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updateLinks="always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flankspeed.sharepoint-mil.us/sites/NAVSAFENTRACEN-CHRON/Shared Documents/CHRON/Archive/Tri-Weekly/"/>
    </mc:Choice>
  </mc:AlternateContent>
  <xr:revisionPtr revIDLastSave="4" documentId="8_{4E53F1FD-02EF-4894-BD35-0BE1B27D9133}" xr6:coauthVersionLast="47" xr6:coauthVersionMax="47" xr10:uidLastSave="{F0526160-992D-41D9-9CCA-48B0A76134C8}"/>
  <workbookProtection workbookAlgorithmName="SHA-512" workbookHashValue="Qd9RYThiTPf8njB+A6ir8bowNlj8dfYdVi3ztGygpiVkS8hEp8MJG3JnWPPFASA4JTQwf9oJifEuprcg42bdIg==" workbookSaltValue="3dqR4uVgFZtwaKlGLQ39ng==" workbookSpinCount="100000" lockStructure="1"/>
  <bookViews>
    <workbookView xWindow="28680" yWindow="-120" windowWidth="29040" windowHeight="15720" tabRatio="831" firstSheet="11" activeTab="11" xr2:uid="{00000000-000D-0000-FFFF-FFFF00000000}"/>
  </bookViews>
  <sheets>
    <sheet name="TSD-%" sheetId="20" state="hidden" r:id="rId1"/>
    <sheet name="TSD- FY26 Canceled Courses" sheetId="41" state="hidden" r:id="rId2"/>
    <sheet name="Detail1" sheetId="37" state="hidden" r:id="rId3"/>
    <sheet name="Detail2" sheetId="38" state="hidden" r:id="rId4"/>
    <sheet name="Detail3" sheetId="39" state="hidden" r:id="rId5"/>
    <sheet name="FLT" sheetId="31" state="hidden" r:id="rId6"/>
    <sheet name="OH" sheetId="28" state="hidden" r:id="rId7"/>
    <sheet name="SAF" sheetId="27" state="hidden" r:id="rId8"/>
    <sheet name="ENV" sheetId="29" state="hidden" r:id="rId9"/>
    <sheet name="Detail4" sheetId="40" state="hidden" r:id="rId10"/>
    <sheet name="Planned vs Need by Course" sheetId="51" state="hidden" r:id="rId11"/>
    <sheet name="FY26 Status" sheetId="17" r:id="rId12"/>
    <sheet name="FY 2026 Schedule" sheetId="1" r:id="rId13"/>
    <sheet name="TSD-Data" sheetId="3" state="hidden" r:id="rId14"/>
    <sheet name="Detail10" sheetId="56" state="hidden" r:id="rId15"/>
    <sheet name="FY26 Needs Assessment Dashboard" sheetId="48" r:id="rId16"/>
    <sheet name="FY26 SOH Global Online All" sheetId="52" r:id="rId17"/>
    <sheet name="FY26  SOH Resident Courses All" sheetId="49" r:id="rId18"/>
    <sheet name="FY26 SAF USE" sheetId="70" r:id="rId19"/>
    <sheet name="FY26 EEM Resident Courses All" sheetId="57" r:id="rId20"/>
    <sheet name="FY26 EEM Online Courses All" sheetId="58" r:id="rId21"/>
    <sheet name="FY26 EEM Use" sheetId="69" r:id="rId22"/>
    <sheet name="Detail5" sheetId="43" state="hidden" r:id="rId23"/>
    <sheet name="Detail6" sheetId="44" state="hidden" r:id="rId24"/>
    <sheet name="Detail7" sheetId="45" state="hidden" r:id="rId25"/>
    <sheet name="Detail8" sheetId="46" state="hidden" r:id="rId26"/>
  </sheets>
  <externalReferences>
    <externalReference r:id="rId27"/>
    <externalReference r:id="rId28"/>
    <externalReference r:id="rId29"/>
  </externalReferences>
  <definedNames>
    <definedName name="_xlnm._FilterDatabase" localSheetId="1" hidden="1">'TSD- FY26 Canceled Courses'!$A$3:$XEX$115</definedName>
    <definedName name="CIN">'TSD-Data'!$B$2:$B$57</definedName>
    <definedName name="Class" localSheetId="8">#REF!</definedName>
    <definedName name="Class" localSheetId="5">#REF!</definedName>
    <definedName name="Class" localSheetId="17">#REF!</definedName>
    <definedName name="Class" localSheetId="20">'[1]TSD-Data'!$A$2:$A$53</definedName>
    <definedName name="Class" localSheetId="19">'[1]TSD-Data'!$A$2:$A$53</definedName>
    <definedName name="Class" localSheetId="21">'[1]TSD-Data'!$A$2:$A$53</definedName>
    <definedName name="Class" localSheetId="15">#REF!</definedName>
    <definedName name="Class" localSheetId="18">'[2]TSD-Data'!$A$2:$A$53</definedName>
    <definedName name="Class" localSheetId="16">#REF!</definedName>
    <definedName name="Class" localSheetId="6">#REF!</definedName>
    <definedName name="Class" localSheetId="7">#REF!</definedName>
    <definedName name="Class">'TSD-Data'!$A$2:$A$57</definedName>
    <definedName name="Courses">'TSD-Data'!$A$2:$C$57</definedName>
    <definedName name="HighlightRow" localSheetId="8">2</definedName>
    <definedName name="HighlightRow" localSheetId="5">2</definedName>
    <definedName name="HighlightRow" localSheetId="12">2</definedName>
    <definedName name="HighlightRow" localSheetId="6">2</definedName>
    <definedName name="HighlightRow" localSheetId="7">2</definedName>
    <definedName name="HighlightRow">10</definedName>
    <definedName name="Instructor" localSheetId="8">#REF!</definedName>
    <definedName name="Instructor" localSheetId="5">#REF!</definedName>
    <definedName name="Instructor" localSheetId="6">#REF!</definedName>
    <definedName name="Instructor" localSheetId="7">#REF!</definedName>
    <definedName name="Instructor">'TSD-Data'!$H$2:$H$37</definedName>
    <definedName name="Location" localSheetId="8">#REF!</definedName>
    <definedName name="Location" localSheetId="5">#REF!</definedName>
    <definedName name="Location" localSheetId="17">#REF!</definedName>
    <definedName name="Location" localSheetId="20">[3]Data!$J$2:$J$112</definedName>
    <definedName name="Location" localSheetId="19">[3]Data!$J$2:$J$112</definedName>
    <definedName name="Location" localSheetId="21">[3]Data!$J$2:$J$112</definedName>
    <definedName name="Location" localSheetId="15">#REF!</definedName>
    <definedName name="Location" localSheetId="18">[3]Data!$J$2:$J$112</definedName>
    <definedName name="Location" localSheetId="16">#REF!</definedName>
    <definedName name="Location" localSheetId="6">#REF!</definedName>
    <definedName name="Location" localSheetId="7">#REF!</definedName>
    <definedName name="Location">'TSD-Data'!$L$2:$L$95</definedName>
    <definedName name="_xlnm.Print_Area" localSheetId="8">ENV!$A$1:$X$164</definedName>
    <definedName name="_xlnm.Print_Area" localSheetId="5">FLT!$A$1:$X$99</definedName>
    <definedName name="_xlnm.Print_Area" localSheetId="12">'FY 2026 Schedule'!$B$1:$AE$665</definedName>
    <definedName name="_xlnm.Print_Area" localSheetId="15">Table119[#All]</definedName>
    <definedName name="_xlnm.Print_Area" localSheetId="11">'FY26 Status'!$B$3:$AA$42</definedName>
    <definedName name="_xlnm.Print_Area" localSheetId="6">OH!$A$1:$X$460</definedName>
    <definedName name="_xlnm.Print_Area" localSheetId="7">SAF!$A$1:$X$460</definedName>
    <definedName name="Roster" localSheetId="8">#REF!</definedName>
    <definedName name="Roster" localSheetId="5">#REF!</definedName>
    <definedName name="Roster" localSheetId="6">#REF!</definedName>
    <definedName name="Roster" localSheetId="7">#REF!</definedName>
    <definedName name="Roster">'TSD-Data'!$N$2:$N$4</definedName>
  </definedNames>
  <calcPr calcId="191028"/>
  <pivotCaches>
    <pivotCache cacheId="14" r:id="rId30"/>
    <pivotCache cacheId="15" r:id="rId31"/>
    <pivotCache cacheId="16" r:id="rId32"/>
    <pivotCache cacheId="17" r:id="rId33"/>
    <pivotCache cacheId="18" r:id="rId34"/>
    <pivotCache cacheId="19" r:id="rId35"/>
    <pivotCache cacheId="20" r:id="rId3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3" i="48" l="1"/>
  <c r="F54" i="48"/>
  <c r="F55" i="48"/>
  <c r="K55" i="48" s="1"/>
  <c r="B53" i="48"/>
  <c r="D53" i="48"/>
  <c r="E53" i="48"/>
  <c r="G53" i="48"/>
  <c r="H53" i="48"/>
  <c r="I53" i="48"/>
  <c r="J53" i="48"/>
  <c r="B54" i="48"/>
  <c r="D54" i="48"/>
  <c r="E54" i="48"/>
  <c r="G54" i="48"/>
  <c r="H54" i="48"/>
  <c r="M54" i="48" s="1"/>
  <c r="I54" i="48"/>
  <c r="J54" i="48"/>
  <c r="B55" i="48"/>
  <c r="D55" i="48"/>
  <c r="E55" i="48"/>
  <c r="G55" i="48"/>
  <c r="H55" i="48"/>
  <c r="I55" i="48"/>
  <c r="J55" i="48"/>
  <c r="M55" i="48"/>
  <c r="K53" i="48" l="1"/>
  <c r="M53" i="48"/>
  <c r="K54" i="48"/>
  <c r="J54" i="17" l="1"/>
  <c r="J55" i="17"/>
  <c r="J56" i="17"/>
  <c r="E54" i="17"/>
  <c r="G54" i="17" s="1"/>
  <c r="I54" i="17" s="1"/>
  <c r="E55" i="17"/>
  <c r="G55" i="17" s="1"/>
  <c r="I55" i="17" s="1"/>
  <c r="E56" i="17"/>
  <c r="G56" i="17" s="1"/>
  <c r="I56" i="17" s="1"/>
  <c r="K55" i="17"/>
  <c r="U55" i="17" s="1"/>
  <c r="L55" i="17"/>
  <c r="M55" i="17"/>
  <c r="N55" i="17"/>
  <c r="O55" i="17"/>
  <c r="Q55" i="17" s="1"/>
  <c r="K56" i="17"/>
  <c r="U56" i="17" s="1"/>
  <c r="L56" i="17"/>
  <c r="M56" i="17"/>
  <c r="N56" i="17"/>
  <c r="O56" i="17"/>
  <c r="Q56" i="17"/>
  <c r="K54" i="17"/>
  <c r="U54" i="17" s="1"/>
  <c r="L54" i="17"/>
  <c r="M54" i="17"/>
  <c r="N54" i="17"/>
  <c r="O54" i="17"/>
  <c r="Q54" i="17" s="1"/>
  <c r="E566" i="1"/>
  <c r="D566" i="1"/>
  <c r="T566" i="1"/>
  <c r="AO566" i="1" s="1"/>
  <c r="U566" i="1"/>
  <c r="V566" i="1"/>
  <c r="AF566" i="1"/>
  <c r="AG566" i="1"/>
  <c r="AH566" i="1"/>
  <c r="AI566" i="1"/>
  <c r="AJ566" i="1"/>
  <c r="AK566" i="1"/>
  <c r="AN566" i="1"/>
  <c r="AN622" i="1"/>
  <c r="AJ622" i="1"/>
  <c r="AI622" i="1"/>
  <c r="AH622" i="1"/>
  <c r="AG622" i="1"/>
  <c r="AF622" i="1"/>
  <c r="V622" i="1"/>
  <c r="U622" i="1"/>
  <c r="T622" i="1"/>
  <c r="AO622" i="1" s="1"/>
  <c r="E622" i="1"/>
  <c r="D622" i="1"/>
  <c r="X25" i="17"/>
  <c r="X26" i="17"/>
  <c r="X27" i="17"/>
  <c r="X32" i="17"/>
  <c r="X34" i="17"/>
  <c r="C124" i="41"/>
  <c r="C123" i="41"/>
  <c r="AM122" i="41"/>
  <c r="AI122" i="41"/>
  <c r="AH122" i="41"/>
  <c r="AG122" i="41"/>
  <c r="AF122" i="41"/>
  <c r="AE122" i="41"/>
  <c r="U122" i="41"/>
  <c r="T122" i="41"/>
  <c r="S122" i="41"/>
  <c r="C122" i="41"/>
  <c r="D477" i="1"/>
  <c r="AN601" i="1"/>
  <c r="AK601" i="1"/>
  <c r="AJ601" i="1"/>
  <c r="AI601" i="1"/>
  <c r="AH601" i="1"/>
  <c r="AG601" i="1"/>
  <c r="AF601" i="1"/>
  <c r="V601" i="1"/>
  <c r="U601" i="1"/>
  <c r="T601" i="1"/>
  <c r="AO601" i="1" s="1"/>
  <c r="E601" i="1"/>
  <c r="D601" i="1"/>
  <c r="AN605" i="1"/>
  <c r="AK605" i="1"/>
  <c r="AJ605" i="1"/>
  <c r="AI605" i="1"/>
  <c r="AH605" i="1"/>
  <c r="AG605" i="1"/>
  <c r="AF605" i="1"/>
  <c r="V605" i="1"/>
  <c r="U605" i="1"/>
  <c r="T605" i="1"/>
  <c r="AO605" i="1" s="1"/>
  <c r="E605" i="1"/>
  <c r="D605" i="1"/>
  <c r="AN604" i="1"/>
  <c r="AJ604" i="1"/>
  <c r="AI604" i="1"/>
  <c r="AH604" i="1"/>
  <c r="AG604" i="1"/>
  <c r="AF604" i="1"/>
  <c r="V604" i="1"/>
  <c r="U604" i="1"/>
  <c r="T604" i="1"/>
  <c r="AO604" i="1" s="1"/>
  <c r="E604" i="1"/>
  <c r="D604" i="1"/>
  <c r="AN611" i="1"/>
  <c r="AK611" i="1"/>
  <c r="AJ611" i="1"/>
  <c r="AI611" i="1"/>
  <c r="AH611" i="1"/>
  <c r="AG611" i="1"/>
  <c r="AF611" i="1"/>
  <c r="V611" i="1"/>
  <c r="U611" i="1"/>
  <c r="T611" i="1"/>
  <c r="AO611" i="1" s="1"/>
  <c r="E611" i="1"/>
  <c r="D611" i="1"/>
  <c r="AN609" i="1"/>
  <c r="AJ609" i="1"/>
  <c r="AI609" i="1"/>
  <c r="AH609" i="1"/>
  <c r="AG609" i="1"/>
  <c r="AF609" i="1"/>
  <c r="V609" i="1"/>
  <c r="U609" i="1"/>
  <c r="T609" i="1"/>
  <c r="AO609" i="1" s="1"/>
  <c r="E609" i="1"/>
  <c r="D609" i="1"/>
  <c r="AN610" i="1"/>
  <c r="AJ610" i="1"/>
  <c r="AI610" i="1"/>
  <c r="AH610" i="1"/>
  <c r="AG610" i="1"/>
  <c r="AF610" i="1"/>
  <c r="V610" i="1"/>
  <c r="U610" i="1"/>
  <c r="T610" i="1"/>
  <c r="AO610" i="1" s="1"/>
  <c r="E610" i="1"/>
  <c r="D610" i="1"/>
  <c r="AN616" i="1"/>
  <c r="AK616" i="1"/>
  <c r="AJ616" i="1"/>
  <c r="AI616" i="1"/>
  <c r="AH616" i="1"/>
  <c r="AG616" i="1"/>
  <c r="AF616" i="1"/>
  <c r="V616" i="1"/>
  <c r="U616" i="1"/>
  <c r="T616" i="1"/>
  <c r="AO616" i="1" s="1"/>
  <c r="E616" i="1"/>
  <c r="D616" i="1"/>
  <c r="AN615" i="1"/>
  <c r="AJ615" i="1"/>
  <c r="AI615" i="1"/>
  <c r="AH615" i="1"/>
  <c r="AG615" i="1"/>
  <c r="AF615" i="1"/>
  <c r="V615" i="1"/>
  <c r="U615" i="1"/>
  <c r="T615" i="1"/>
  <c r="AO615" i="1" s="1"/>
  <c r="E615" i="1"/>
  <c r="D615" i="1"/>
  <c r="AN617" i="1"/>
  <c r="AJ617" i="1"/>
  <c r="AI617" i="1"/>
  <c r="AH617" i="1"/>
  <c r="AG617" i="1"/>
  <c r="AF617" i="1"/>
  <c r="V617" i="1"/>
  <c r="U617" i="1"/>
  <c r="T617" i="1"/>
  <c r="AO617" i="1" s="1"/>
  <c r="E617" i="1"/>
  <c r="D617" i="1"/>
  <c r="AN635" i="1"/>
  <c r="AK635" i="1"/>
  <c r="AJ635" i="1"/>
  <c r="AI635" i="1"/>
  <c r="AH635" i="1"/>
  <c r="AG635" i="1"/>
  <c r="AF635" i="1"/>
  <c r="V635" i="1"/>
  <c r="U635" i="1"/>
  <c r="T635" i="1"/>
  <c r="AO635" i="1" s="1"/>
  <c r="E635" i="1"/>
  <c r="D635" i="1"/>
  <c r="AN636" i="1"/>
  <c r="AK636" i="1"/>
  <c r="AJ636" i="1"/>
  <c r="AI636" i="1"/>
  <c r="AH636" i="1"/>
  <c r="AG636" i="1"/>
  <c r="AF636" i="1"/>
  <c r="V636" i="1"/>
  <c r="U636" i="1"/>
  <c r="T636" i="1"/>
  <c r="AO636" i="1" s="1"/>
  <c r="E636" i="1"/>
  <c r="D636" i="1"/>
  <c r="AN637" i="1"/>
  <c r="AK637" i="1"/>
  <c r="AJ637" i="1"/>
  <c r="AI637" i="1"/>
  <c r="AH637" i="1"/>
  <c r="AG637" i="1"/>
  <c r="AF637" i="1"/>
  <c r="V637" i="1"/>
  <c r="U637" i="1"/>
  <c r="T637" i="1"/>
  <c r="AO637" i="1" s="1"/>
  <c r="E637" i="1"/>
  <c r="D637" i="1"/>
  <c r="AN638" i="1"/>
  <c r="AK638" i="1"/>
  <c r="AJ638" i="1"/>
  <c r="AI638" i="1"/>
  <c r="AH638" i="1"/>
  <c r="AG638" i="1"/>
  <c r="AF638" i="1"/>
  <c r="V638" i="1"/>
  <c r="U638" i="1"/>
  <c r="T638" i="1"/>
  <c r="AO638" i="1" s="1"/>
  <c r="E638" i="1"/>
  <c r="D638" i="1"/>
  <c r="AN645" i="1"/>
  <c r="AJ645" i="1"/>
  <c r="AI645" i="1"/>
  <c r="AH645" i="1"/>
  <c r="AG645" i="1"/>
  <c r="AF645" i="1"/>
  <c r="V645" i="1"/>
  <c r="U645" i="1"/>
  <c r="T645" i="1"/>
  <c r="AO645" i="1" s="1"/>
  <c r="E645" i="1"/>
  <c r="D645" i="1"/>
  <c r="AN644" i="1"/>
  <c r="AJ644" i="1"/>
  <c r="AI644" i="1"/>
  <c r="AH644" i="1"/>
  <c r="AG644" i="1"/>
  <c r="AF644" i="1"/>
  <c r="V644" i="1"/>
  <c r="U644" i="1"/>
  <c r="T644" i="1"/>
  <c r="AO644" i="1" s="1"/>
  <c r="E644" i="1"/>
  <c r="D644" i="1"/>
  <c r="AN648" i="1"/>
  <c r="AJ648" i="1"/>
  <c r="AI648" i="1"/>
  <c r="AH648" i="1"/>
  <c r="AG648" i="1"/>
  <c r="AF648" i="1"/>
  <c r="V648" i="1"/>
  <c r="U648" i="1"/>
  <c r="T648" i="1"/>
  <c r="AO648" i="1" s="1"/>
  <c r="E648" i="1"/>
  <c r="D648" i="1"/>
  <c r="AN649" i="1"/>
  <c r="AJ649" i="1"/>
  <c r="AI649" i="1"/>
  <c r="AH649" i="1"/>
  <c r="AG649" i="1"/>
  <c r="AF649" i="1"/>
  <c r="V649" i="1"/>
  <c r="U649" i="1"/>
  <c r="T649" i="1"/>
  <c r="AO649" i="1" s="1"/>
  <c r="E649" i="1"/>
  <c r="D649" i="1"/>
  <c r="AN651" i="1"/>
  <c r="AK651" i="1"/>
  <c r="AJ651" i="1"/>
  <c r="AI651" i="1"/>
  <c r="AH651" i="1"/>
  <c r="AG651" i="1"/>
  <c r="AF651" i="1"/>
  <c r="V651" i="1"/>
  <c r="U651" i="1"/>
  <c r="T651" i="1"/>
  <c r="AO651" i="1" s="1"/>
  <c r="E651" i="1"/>
  <c r="D651" i="1"/>
  <c r="AN650" i="1"/>
  <c r="AK650" i="1"/>
  <c r="AJ650" i="1"/>
  <c r="AI650" i="1"/>
  <c r="AH650" i="1"/>
  <c r="AG650" i="1"/>
  <c r="AF650" i="1"/>
  <c r="V650" i="1"/>
  <c r="U650" i="1"/>
  <c r="T650" i="1"/>
  <c r="AO650" i="1" s="1"/>
  <c r="E650" i="1"/>
  <c r="D650" i="1"/>
  <c r="AN653" i="1"/>
  <c r="AK653" i="1"/>
  <c r="AJ653" i="1"/>
  <c r="AI653" i="1"/>
  <c r="AH653" i="1"/>
  <c r="AG653" i="1"/>
  <c r="AF653" i="1"/>
  <c r="V653" i="1"/>
  <c r="U653" i="1"/>
  <c r="T653" i="1"/>
  <c r="AO653" i="1" s="1"/>
  <c r="E653" i="1"/>
  <c r="D653" i="1"/>
  <c r="AN654" i="1"/>
  <c r="AK654" i="1"/>
  <c r="AJ654" i="1"/>
  <c r="AI654" i="1"/>
  <c r="AH654" i="1"/>
  <c r="AG654" i="1"/>
  <c r="AF654" i="1"/>
  <c r="V654" i="1"/>
  <c r="U654" i="1"/>
  <c r="T654" i="1"/>
  <c r="AO654" i="1" s="1"/>
  <c r="E654" i="1"/>
  <c r="D654" i="1"/>
  <c r="AN655" i="1"/>
  <c r="AK655" i="1"/>
  <c r="AJ655" i="1"/>
  <c r="AK491" i="1" s="1"/>
  <c r="AI655" i="1"/>
  <c r="AH655" i="1"/>
  <c r="AG655" i="1"/>
  <c r="AF655" i="1"/>
  <c r="V655" i="1"/>
  <c r="U655" i="1"/>
  <c r="T655" i="1"/>
  <c r="AO655" i="1" s="1"/>
  <c r="E655" i="1"/>
  <c r="D655" i="1"/>
  <c r="AN652" i="1"/>
  <c r="AK652" i="1"/>
  <c r="AJ652" i="1"/>
  <c r="AI652" i="1"/>
  <c r="AH652" i="1"/>
  <c r="AG652" i="1"/>
  <c r="AF652" i="1"/>
  <c r="V652" i="1"/>
  <c r="U652" i="1"/>
  <c r="T652" i="1"/>
  <c r="AO652" i="1" s="1"/>
  <c r="E652" i="1"/>
  <c r="D652" i="1"/>
  <c r="AN656" i="1"/>
  <c r="AK656" i="1"/>
  <c r="AJ656" i="1"/>
  <c r="AK559" i="1" s="1"/>
  <c r="AI656" i="1"/>
  <c r="AH656" i="1"/>
  <c r="AG656" i="1"/>
  <c r="AF656" i="1"/>
  <c r="V656" i="1"/>
  <c r="U656" i="1"/>
  <c r="T656" i="1"/>
  <c r="AO656" i="1" s="1"/>
  <c r="E656" i="1"/>
  <c r="D656" i="1"/>
  <c r="AN660" i="1"/>
  <c r="AK660" i="1"/>
  <c r="AJ660" i="1"/>
  <c r="AI660" i="1"/>
  <c r="AH660" i="1"/>
  <c r="AG660" i="1"/>
  <c r="AF660" i="1"/>
  <c r="V660" i="1"/>
  <c r="U660" i="1"/>
  <c r="T660" i="1"/>
  <c r="AO660" i="1" s="1"/>
  <c r="E660" i="1"/>
  <c r="D660" i="1"/>
  <c r="AN661" i="1"/>
  <c r="AK661" i="1"/>
  <c r="AJ661" i="1"/>
  <c r="AI661" i="1"/>
  <c r="AH661" i="1"/>
  <c r="AG661" i="1"/>
  <c r="AF661" i="1"/>
  <c r="V661" i="1"/>
  <c r="U661" i="1"/>
  <c r="T661" i="1"/>
  <c r="AO661" i="1" s="1"/>
  <c r="E661" i="1"/>
  <c r="D661" i="1"/>
  <c r="AN602" i="1"/>
  <c r="AK602" i="1"/>
  <c r="AJ602" i="1"/>
  <c r="AI602" i="1"/>
  <c r="AH602" i="1"/>
  <c r="AG602" i="1"/>
  <c r="AF602" i="1"/>
  <c r="V602" i="1"/>
  <c r="U602" i="1"/>
  <c r="T602" i="1"/>
  <c r="AO602" i="1" s="1"/>
  <c r="E602" i="1"/>
  <c r="D602" i="1"/>
  <c r="AN662" i="1"/>
  <c r="AK662" i="1"/>
  <c r="AJ662" i="1"/>
  <c r="AI662" i="1"/>
  <c r="AH662" i="1"/>
  <c r="AG662" i="1"/>
  <c r="AF662" i="1"/>
  <c r="V662" i="1"/>
  <c r="U662" i="1"/>
  <c r="T662" i="1"/>
  <c r="AO662" i="1" s="1"/>
  <c r="E662" i="1"/>
  <c r="D662" i="1"/>
  <c r="AN538" i="1"/>
  <c r="AK538" i="1"/>
  <c r="AJ538" i="1"/>
  <c r="AI538" i="1"/>
  <c r="AH538" i="1"/>
  <c r="AG538" i="1"/>
  <c r="AF538" i="1"/>
  <c r="V538" i="1"/>
  <c r="U538" i="1"/>
  <c r="T538" i="1"/>
  <c r="AO538" i="1" s="1"/>
  <c r="E538" i="1"/>
  <c r="D538" i="1"/>
  <c r="AN549" i="1"/>
  <c r="AK549" i="1"/>
  <c r="AJ549" i="1"/>
  <c r="AI549" i="1"/>
  <c r="AH549" i="1"/>
  <c r="AG549" i="1"/>
  <c r="AF549" i="1"/>
  <c r="V549" i="1"/>
  <c r="U549" i="1"/>
  <c r="T549" i="1"/>
  <c r="AO549" i="1" s="1"/>
  <c r="E549" i="1"/>
  <c r="D549" i="1"/>
  <c r="AN547" i="1"/>
  <c r="AK547" i="1"/>
  <c r="AJ547" i="1"/>
  <c r="AI547" i="1"/>
  <c r="AH547" i="1"/>
  <c r="AG547" i="1"/>
  <c r="AF547" i="1"/>
  <c r="V547" i="1"/>
  <c r="U547" i="1"/>
  <c r="T547" i="1"/>
  <c r="AO547" i="1" s="1"/>
  <c r="E547" i="1"/>
  <c r="D547" i="1"/>
  <c r="AN548" i="1"/>
  <c r="AK548" i="1"/>
  <c r="AJ548" i="1"/>
  <c r="AI548" i="1"/>
  <c r="AH548" i="1"/>
  <c r="AG548" i="1"/>
  <c r="AF548" i="1"/>
  <c r="V548" i="1"/>
  <c r="U548" i="1"/>
  <c r="T548" i="1"/>
  <c r="AO548" i="1" s="1"/>
  <c r="E548" i="1"/>
  <c r="D548" i="1"/>
  <c r="AN554" i="1"/>
  <c r="AJ554" i="1"/>
  <c r="AI554" i="1"/>
  <c r="AH554" i="1"/>
  <c r="AG554" i="1"/>
  <c r="AF554" i="1"/>
  <c r="V554" i="1"/>
  <c r="U554" i="1"/>
  <c r="T554" i="1"/>
  <c r="AO554" i="1" s="1"/>
  <c r="E554" i="1"/>
  <c r="D554" i="1"/>
  <c r="AN557" i="1"/>
  <c r="AK557" i="1"/>
  <c r="AJ557" i="1"/>
  <c r="AI557" i="1"/>
  <c r="AH557" i="1"/>
  <c r="AG557" i="1"/>
  <c r="AF557" i="1"/>
  <c r="V557" i="1"/>
  <c r="U557" i="1"/>
  <c r="T557" i="1"/>
  <c r="AO557" i="1" s="1"/>
  <c r="E557" i="1"/>
  <c r="D557" i="1"/>
  <c r="AN555" i="1"/>
  <c r="AK555" i="1"/>
  <c r="AJ555" i="1"/>
  <c r="AI555" i="1"/>
  <c r="AH555" i="1"/>
  <c r="AG555" i="1"/>
  <c r="AF555" i="1"/>
  <c r="V555" i="1"/>
  <c r="U555" i="1"/>
  <c r="T555" i="1"/>
  <c r="AO555" i="1" s="1"/>
  <c r="E555" i="1"/>
  <c r="D555" i="1"/>
  <c r="AN556" i="1"/>
  <c r="AJ556" i="1"/>
  <c r="AI556" i="1"/>
  <c r="AH556" i="1"/>
  <c r="AG556" i="1"/>
  <c r="AF556" i="1"/>
  <c r="V556" i="1"/>
  <c r="U556" i="1"/>
  <c r="T556" i="1"/>
  <c r="AO556" i="1" s="1"/>
  <c r="E556" i="1"/>
  <c r="D556" i="1"/>
  <c r="AN558" i="1"/>
  <c r="AK558" i="1"/>
  <c r="AJ558" i="1"/>
  <c r="AI558" i="1"/>
  <c r="AH558" i="1"/>
  <c r="AG558" i="1"/>
  <c r="AF558" i="1"/>
  <c r="V558" i="1"/>
  <c r="U558" i="1"/>
  <c r="T558" i="1"/>
  <c r="AO558" i="1" s="1"/>
  <c r="E558" i="1"/>
  <c r="D558" i="1"/>
  <c r="AN560" i="1"/>
  <c r="AJ560" i="1"/>
  <c r="AI560" i="1"/>
  <c r="AH560" i="1"/>
  <c r="AG560" i="1"/>
  <c r="AF560" i="1"/>
  <c r="V560" i="1"/>
  <c r="U560" i="1"/>
  <c r="T560" i="1"/>
  <c r="AO560" i="1" s="1"/>
  <c r="E560" i="1"/>
  <c r="D560" i="1"/>
  <c r="AN559" i="1"/>
  <c r="AJ559" i="1"/>
  <c r="AI559" i="1"/>
  <c r="AH559" i="1"/>
  <c r="AG559" i="1"/>
  <c r="AF559" i="1"/>
  <c r="V559" i="1"/>
  <c r="U559" i="1"/>
  <c r="T559" i="1"/>
  <c r="AO559" i="1" s="1"/>
  <c r="E559" i="1"/>
  <c r="D559" i="1"/>
  <c r="AN570" i="1"/>
  <c r="AJ570" i="1"/>
  <c r="AI570" i="1"/>
  <c r="AH570" i="1"/>
  <c r="AG570" i="1"/>
  <c r="AF570" i="1"/>
  <c r="V570" i="1"/>
  <c r="U570" i="1"/>
  <c r="T570" i="1"/>
  <c r="AO570" i="1" s="1"/>
  <c r="E570" i="1"/>
  <c r="D570" i="1"/>
  <c r="AN569" i="1"/>
  <c r="AJ569" i="1"/>
  <c r="AI569" i="1"/>
  <c r="AH569" i="1"/>
  <c r="AG569" i="1"/>
  <c r="AF569" i="1"/>
  <c r="V569" i="1"/>
  <c r="U569" i="1"/>
  <c r="T569" i="1"/>
  <c r="AO569" i="1" s="1"/>
  <c r="E569" i="1"/>
  <c r="D569" i="1"/>
  <c r="AN568" i="1"/>
  <c r="AJ568" i="1"/>
  <c r="AI568" i="1"/>
  <c r="AH568" i="1"/>
  <c r="AG568" i="1"/>
  <c r="AF568" i="1"/>
  <c r="V568" i="1"/>
  <c r="U568" i="1"/>
  <c r="T568" i="1"/>
  <c r="AO568" i="1" s="1"/>
  <c r="E568" i="1"/>
  <c r="D568" i="1"/>
  <c r="AN575" i="1"/>
  <c r="AK575" i="1"/>
  <c r="AJ575" i="1"/>
  <c r="AI575" i="1"/>
  <c r="AH575" i="1"/>
  <c r="AG575" i="1"/>
  <c r="AF575" i="1"/>
  <c r="V575" i="1"/>
  <c r="U575" i="1"/>
  <c r="T575" i="1"/>
  <c r="AO575" i="1" s="1"/>
  <c r="E575" i="1"/>
  <c r="D575" i="1"/>
  <c r="AN573" i="1"/>
  <c r="AK573" i="1"/>
  <c r="AJ573" i="1"/>
  <c r="AI573" i="1"/>
  <c r="AH573" i="1"/>
  <c r="AG573" i="1"/>
  <c r="AF573" i="1"/>
  <c r="V573" i="1"/>
  <c r="U573" i="1"/>
  <c r="T573" i="1"/>
  <c r="AO573" i="1" s="1"/>
  <c r="E573" i="1"/>
  <c r="D573" i="1"/>
  <c r="AN572" i="1"/>
  <c r="AJ572" i="1"/>
  <c r="AI572" i="1"/>
  <c r="AH572" i="1"/>
  <c r="AG572" i="1"/>
  <c r="AF572" i="1"/>
  <c r="V572" i="1"/>
  <c r="U572" i="1"/>
  <c r="T572" i="1"/>
  <c r="AO572" i="1" s="1"/>
  <c r="E572" i="1"/>
  <c r="D572" i="1"/>
  <c r="AN574" i="1"/>
  <c r="AK574" i="1"/>
  <c r="AJ574" i="1"/>
  <c r="AI574" i="1"/>
  <c r="AH574" i="1"/>
  <c r="AG574" i="1"/>
  <c r="AF574" i="1"/>
  <c r="V574" i="1"/>
  <c r="U574" i="1"/>
  <c r="T574" i="1"/>
  <c r="AO574" i="1" s="1"/>
  <c r="E574" i="1"/>
  <c r="D574" i="1"/>
  <c r="AN576" i="1"/>
  <c r="AJ576" i="1"/>
  <c r="AI576" i="1"/>
  <c r="AH576" i="1"/>
  <c r="AG576" i="1"/>
  <c r="AF576" i="1"/>
  <c r="V576" i="1"/>
  <c r="U576" i="1"/>
  <c r="T576" i="1"/>
  <c r="AO576" i="1" s="1"/>
  <c r="E576" i="1"/>
  <c r="D576" i="1"/>
  <c r="AN578" i="1"/>
  <c r="AK578" i="1"/>
  <c r="AJ578" i="1"/>
  <c r="AI578" i="1"/>
  <c r="AH578" i="1"/>
  <c r="AG578" i="1"/>
  <c r="AF578" i="1"/>
  <c r="V578" i="1"/>
  <c r="U578" i="1"/>
  <c r="T578" i="1"/>
  <c r="AO578" i="1" s="1"/>
  <c r="E578" i="1"/>
  <c r="D578" i="1"/>
  <c r="AN577" i="1"/>
  <c r="AK577" i="1"/>
  <c r="AJ577" i="1"/>
  <c r="AI577" i="1"/>
  <c r="AH577" i="1"/>
  <c r="AG577" i="1"/>
  <c r="AF577" i="1"/>
  <c r="V577" i="1"/>
  <c r="U577" i="1"/>
  <c r="T577" i="1"/>
  <c r="AO577" i="1" s="1"/>
  <c r="E577" i="1"/>
  <c r="D577" i="1"/>
  <c r="AN579" i="1"/>
  <c r="AK579" i="1"/>
  <c r="AJ579" i="1"/>
  <c r="AI579" i="1"/>
  <c r="AH579" i="1"/>
  <c r="AG579" i="1"/>
  <c r="AF579" i="1"/>
  <c r="V579" i="1"/>
  <c r="U579" i="1"/>
  <c r="T579" i="1"/>
  <c r="AO579" i="1" s="1"/>
  <c r="E579" i="1"/>
  <c r="D579" i="1"/>
  <c r="AN580" i="1"/>
  <c r="AK580" i="1"/>
  <c r="AJ580" i="1"/>
  <c r="AI580" i="1"/>
  <c r="AH580" i="1"/>
  <c r="AG580" i="1"/>
  <c r="AF580" i="1"/>
  <c r="V580" i="1"/>
  <c r="U580" i="1"/>
  <c r="T580" i="1"/>
  <c r="AO580" i="1" s="1"/>
  <c r="E580" i="1"/>
  <c r="D580" i="1"/>
  <c r="AN581" i="1"/>
  <c r="AK581" i="1"/>
  <c r="AJ581" i="1"/>
  <c r="AI581" i="1"/>
  <c r="AH581" i="1"/>
  <c r="AG581" i="1"/>
  <c r="AF581" i="1"/>
  <c r="V581" i="1"/>
  <c r="U581" i="1"/>
  <c r="T581" i="1"/>
  <c r="AO581" i="1" s="1"/>
  <c r="E581" i="1"/>
  <c r="D581" i="1"/>
  <c r="AN592" i="1"/>
  <c r="AK592" i="1"/>
  <c r="AJ592" i="1"/>
  <c r="AI592" i="1"/>
  <c r="AH592" i="1"/>
  <c r="AG592" i="1"/>
  <c r="AF592" i="1"/>
  <c r="V592" i="1"/>
  <c r="U592" i="1"/>
  <c r="T592" i="1"/>
  <c r="AO592" i="1" s="1"/>
  <c r="E592" i="1"/>
  <c r="D592" i="1"/>
  <c r="AN593" i="1"/>
  <c r="AK593" i="1"/>
  <c r="AJ593" i="1"/>
  <c r="AI593" i="1"/>
  <c r="AH593" i="1"/>
  <c r="AG593" i="1"/>
  <c r="AF593" i="1"/>
  <c r="V593" i="1"/>
  <c r="U593" i="1"/>
  <c r="T593" i="1"/>
  <c r="AO593" i="1" s="1"/>
  <c r="E593" i="1"/>
  <c r="D593" i="1"/>
  <c r="AN594" i="1"/>
  <c r="AK594" i="1"/>
  <c r="AJ594" i="1"/>
  <c r="AI594" i="1"/>
  <c r="AH594" i="1"/>
  <c r="AG594" i="1"/>
  <c r="AF594" i="1"/>
  <c r="V594" i="1"/>
  <c r="U594" i="1"/>
  <c r="T594" i="1"/>
  <c r="AO594" i="1" s="1"/>
  <c r="E594" i="1"/>
  <c r="D594" i="1"/>
  <c r="AN595" i="1"/>
  <c r="AK595" i="1"/>
  <c r="AJ595" i="1"/>
  <c r="AI595" i="1"/>
  <c r="AH595" i="1"/>
  <c r="AG595" i="1"/>
  <c r="AF595" i="1"/>
  <c r="V595" i="1"/>
  <c r="U595" i="1"/>
  <c r="T595" i="1"/>
  <c r="AO595" i="1" s="1"/>
  <c r="E595" i="1"/>
  <c r="D595" i="1"/>
  <c r="AN537" i="1"/>
  <c r="AK537" i="1"/>
  <c r="AJ537" i="1"/>
  <c r="AK615" i="1" s="1"/>
  <c r="AI537" i="1"/>
  <c r="AH537" i="1"/>
  <c r="AG537" i="1"/>
  <c r="AF537" i="1"/>
  <c r="V537" i="1"/>
  <c r="U537" i="1"/>
  <c r="T537" i="1"/>
  <c r="AO537" i="1" s="1"/>
  <c r="E537" i="1"/>
  <c r="D537" i="1"/>
  <c r="T483" i="1"/>
  <c r="U483" i="1"/>
  <c r="V483" i="1"/>
  <c r="AF483" i="1"/>
  <c r="AG483" i="1"/>
  <c r="AH483" i="1"/>
  <c r="AI483" i="1"/>
  <c r="AJ483" i="1"/>
  <c r="AK483" i="1"/>
  <c r="AN483" i="1"/>
  <c r="D523" i="1"/>
  <c r="E523" i="1"/>
  <c r="T523" i="1"/>
  <c r="AO523" i="1" s="1"/>
  <c r="U523" i="1"/>
  <c r="V523" i="1"/>
  <c r="AF523" i="1"/>
  <c r="AG523" i="1"/>
  <c r="AH523" i="1"/>
  <c r="AI523" i="1"/>
  <c r="AJ523" i="1"/>
  <c r="AK523" i="1"/>
  <c r="AN523" i="1"/>
  <c r="D525" i="1"/>
  <c r="E525" i="1"/>
  <c r="T525" i="1"/>
  <c r="AO525" i="1" s="1"/>
  <c r="U525" i="1"/>
  <c r="V525" i="1"/>
  <c r="AF525" i="1"/>
  <c r="AG525" i="1"/>
  <c r="AH525" i="1"/>
  <c r="AI525" i="1"/>
  <c r="AJ525" i="1"/>
  <c r="AK525" i="1"/>
  <c r="AN525" i="1"/>
  <c r="D526" i="1"/>
  <c r="E526" i="1"/>
  <c r="T526" i="1"/>
  <c r="AO526" i="1" s="1"/>
  <c r="U526" i="1"/>
  <c r="V526" i="1"/>
  <c r="AF526" i="1"/>
  <c r="AG526" i="1"/>
  <c r="AH526" i="1"/>
  <c r="AI526" i="1"/>
  <c r="AJ526" i="1"/>
  <c r="AK526" i="1"/>
  <c r="AN526" i="1"/>
  <c r="D527" i="1"/>
  <c r="E527" i="1"/>
  <c r="T527" i="1"/>
  <c r="AO527" i="1" s="1"/>
  <c r="U527" i="1"/>
  <c r="V527" i="1"/>
  <c r="AF527" i="1"/>
  <c r="AG527" i="1"/>
  <c r="AH527" i="1"/>
  <c r="AI527" i="1"/>
  <c r="AJ527" i="1"/>
  <c r="AK527" i="1"/>
  <c r="AN527" i="1"/>
  <c r="D515" i="1"/>
  <c r="E515" i="1"/>
  <c r="T515" i="1"/>
  <c r="AO515" i="1" s="1"/>
  <c r="U515" i="1"/>
  <c r="V515" i="1"/>
  <c r="AF515" i="1"/>
  <c r="AG515" i="1"/>
  <c r="AH515" i="1"/>
  <c r="AI515" i="1"/>
  <c r="AJ515" i="1"/>
  <c r="AK515" i="1"/>
  <c r="AN515" i="1"/>
  <c r="D516" i="1"/>
  <c r="E516" i="1"/>
  <c r="T516" i="1"/>
  <c r="AO516" i="1" s="1"/>
  <c r="U516" i="1"/>
  <c r="V516" i="1"/>
  <c r="AF516" i="1"/>
  <c r="AG516" i="1"/>
  <c r="AH516" i="1"/>
  <c r="AI516" i="1"/>
  <c r="AJ516" i="1"/>
  <c r="AK516" i="1"/>
  <c r="AN516" i="1"/>
  <c r="D517" i="1"/>
  <c r="E517" i="1"/>
  <c r="T517" i="1"/>
  <c r="AO517" i="1" s="1"/>
  <c r="U517" i="1"/>
  <c r="V517" i="1"/>
  <c r="AF517" i="1"/>
  <c r="AG517" i="1"/>
  <c r="AH517" i="1"/>
  <c r="AI517" i="1"/>
  <c r="AJ517" i="1"/>
  <c r="AK517" i="1"/>
  <c r="AN517" i="1"/>
  <c r="D514" i="1"/>
  <c r="E514" i="1"/>
  <c r="T514" i="1"/>
  <c r="AO514" i="1" s="1"/>
  <c r="U514" i="1"/>
  <c r="V514" i="1"/>
  <c r="AF514" i="1"/>
  <c r="AG514" i="1"/>
  <c r="AH514" i="1"/>
  <c r="AI514" i="1"/>
  <c r="AJ514" i="1"/>
  <c r="AK644" i="1" s="1"/>
  <c r="AK514" i="1"/>
  <c r="AN514" i="1"/>
  <c r="D512" i="1"/>
  <c r="E512" i="1"/>
  <c r="T512" i="1"/>
  <c r="AO512" i="1" s="1"/>
  <c r="U512" i="1"/>
  <c r="V512" i="1"/>
  <c r="AF512" i="1"/>
  <c r="AG512" i="1"/>
  <c r="AH512" i="1"/>
  <c r="AI512" i="1"/>
  <c r="AJ512" i="1"/>
  <c r="AN512" i="1"/>
  <c r="D513" i="1"/>
  <c r="E513" i="1"/>
  <c r="T513" i="1"/>
  <c r="AO513" i="1" s="1"/>
  <c r="U513" i="1"/>
  <c r="V513" i="1"/>
  <c r="AF513" i="1"/>
  <c r="AG513" i="1"/>
  <c r="AH513" i="1"/>
  <c r="AI513" i="1"/>
  <c r="AJ513" i="1"/>
  <c r="AN513" i="1"/>
  <c r="D511" i="1"/>
  <c r="E511" i="1"/>
  <c r="T511" i="1"/>
  <c r="AO511" i="1" s="1"/>
  <c r="U511" i="1"/>
  <c r="V511" i="1"/>
  <c r="AF511" i="1"/>
  <c r="AG511" i="1"/>
  <c r="AH511" i="1"/>
  <c r="AI511" i="1"/>
  <c r="AJ511" i="1"/>
  <c r="AN511" i="1"/>
  <c r="D507" i="1"/>
  <c r="E507" i="1"/>
  <c r="T507" i="1"/>
  <c r="AO507" i="1" s="1"/>
  <c r="U507" i="1"/>
  <c r="V507" i="1"/>
  <c r="AF507" i="1"/>
  <c r="AG507" i="1"/>
  <c r="AH507" i="1"/>
  <c r="AI507" i="1"/>
  <c r="AJ507" i="1"/>
  <c r="AN507" i="1"/>
  <c r="D508" i="1"/>
  <c r="E508" i="1"/>
  <c r="T508" i="1"/>
  <c r="AO508" i="1" s="1"/>
  <c r="U508" i="1"/>
  <c r="V508" i="1"/>
  <c r="AF508" i="1"/>
  <c r="AG508" i="1"/>
  <c r="AH508" i="1"/>
  <c r="AI508" i="1"/>
  <c r="AJ508" i="1"/>
  <c r="AN508" i="1"/>
  <c r="D509" i="1"/>
  <c r="E509" i="1"/>
  <c r="T509" i="1"/>
  <c r="AO509" i="1" s="1"/>
  <c r="U509" i="1"/>
  <c r="V509" i="1"/>
  <c r="AF509" i="1"/>
  <c r="AG509" i="1"/>
  <c r="AH509" i="1"/>
  <c r="AI509" i="1"/>
  <c r="AJ509" i="1"/>
  <c r="AN509" i="1"/>
  <c r="D503" i="1"/>
  <c r="E503" i="1"/>
  <c r="T503" i="1"/>
  <c r="AO503" i="1" s="1"/>
  <c r="U503" i="1"/>
  <c r="V503" i="1"/>
  <c r="AF503" i="1"/>
  <c r="AG503" i="1"/>
  <c r="AH503" i="1"/>
  <c r="AI503" i="1"/>
  <c r="AJ503" i="1"/>
  <c r="AK503" i="1"/>
  <c r="AN503" i="1"/>
  <c r="D502" i="1"/>
  <c r="E502" i="1"/>
  <c r="T502" i="1"/>
  <c r="AO502" i="1" s="1"/>
  <c r="U502" i="1"/>
  <c r="V502" i="1"/>
  <c r="AF502" i="1"/>
  <c r="AG502" i="1"/>
  <c r="AH502" i="1"/>
  <c r="AI502" i="1"/>
  <c r="AJ502" i="1"/>
  <c r="AK502" i="1"/>
  <c r="AN502" i="1"/>
  <c r="D501" i="1"/>
  <c r="E501" i="1"/>
  <c r="T501" i="1"/>
  <c r="AO501" i="1" s="1"/>
  <c r="U501" i="1"/>
  <c r="V501" i="1"/>
  <c r="AF501" i="1"/>
  <c r="AG501" i="1"/>
  <c r="AH501" i="1"/>
  <c r="AI501" i="1"/>
  <c r="AJ501" i="1"/>
  <c r="AK501" i="1"/>
  <c r="AN501" i="1"/>
  <c r="D663" i="1"/>
  <c r="E663" i="1"/>
  <c r="T663" i="1"/>
  <c r="AO663" i="1" s="1"/>
  <c r="U663" i="1"/>
  <c r="V663" i="1"/>
  <c r="AF663" i="1"/>
  <c r="AG663" i="1"/>
  <c r="AH663" i="1"/>
  <c r="AI663" i="1"/>
  <c r="AJ663" i="1"/>
  <c r="AN663" i="1"/>
  <c r="D500" i="1"/>
  <c r="E500" i="1"/>
  <c r="T500" i="1"/>
  <c r="AO500" i="1" s="1"/>
  <c r="U500" i="1"/>
  <c r="V500" i="1"/>
  <c r="AF500" i="1"/>
  <c r="AG500" i="1"/>
  <c r="AH500" i="1"/>
  <c r="AI500" i="1"/>
  <c r="AJ500" i="1"/>
  <c r="AK500" i="1"/>
  <c r="AN500" i="1"/>
  <c r="D498" i="1"/>
  <c r="E498" i="1"/>
  <c r="T498" i="1"/>
  <c r="X498" i="1" s="1"/>
  <c r="U498" i="1"/>
  <c r="V498" i="1"/>
  <c r="AF498" i="1"/>
  <c r="AG498" i="1"/>
  <c r="AH498" i="1"/>
  <c r="AI498" i="1"/>
  <c r="AJ498" i="1"/>
  <c r="AK498" i="1"/>
  <c r="AN498" i="1"/>
  <c r="E497" i="1"/>
  <c r="D497" i="1"/>
  <c r="T497" i="1"/>
  <c r="U497" i="1"/>
  <c r="V497" i="1"/>
  <c r="AF497" i="1"/>
  <c r="AG497" i="1"/>
  <c r="AH497" i="1"/>
  <c r="AI497" i="1"/>
  <c r="AJ497" i="1"/>
  <c r="AK497" i="1"/>
  <c r="AN497" i="1"/>
  <c r="D490" i="1"/>
  <c r="E490" i="1"/>
  <c r="T490" i="1"/>
  <c r="U490" i="1"/>
  <c r="V490" i="1"/>
  <c r="AF490" i="1"/>
  <c r="AG490" i="1"/>
  <c r="AH490" i="1"/>
  <c r="AI490" i="1"/>
  <c r="AJ490" i="1"/>
  <c r="AN490" i="1"/>
  <c r="D491" i="1"/>
  <c r="E491" i="1"/>
  <c r="T491" i="1"/>
  <c r="U491" i="1"/>
  <c r="V491" i="1"/>
  <c r="AF491" i="1"/>
  <c r="AG491" i="1"/>
  <c r="AH491" i="1"/>
  <c r="AI491" i="1"/>
  <c r="AJ491" i="1"/>
  <c r="AN491" i="1"/>
  <c r="D489" i="1"/>
  <c r="E489" i="1"/>
  <c r="T489" i="1"/>
  <c r="U489" i="1"/>
  <c r="V489" i="1"/>
  <c r="AF489" i="1"/>
  <c r="AG489" i="1"/>
  <c r="AH489" i="1"/>
  <c r="AI489" i="1"/>
  <c r="AJ489" i="1"/>
  <c r="AK489" i="1"/>
  <c r="AN489" i="1"/>
  <c r="D487" i="1"/>
  <c r="E487" i="1"/>
  <c r="T487" i="1"/>
  <c r="U487" i="1"/>
  <c r="V487" i="1"/>
  <c r="AF487" i="1"/>
  <c r="AG487" i="1"/>
  <c r="AH487" i="1"/>
  <c r="AI487" i="1"/>
  <c r="AJ487" i="1"/>
  <c r="AK487" i="1"/>
  <c r="AN487" i="1"/>
  <c r="D486" i="1"/>
  <c r="E486" i="1"/>
  <c r="T486" i="1"/>
  <c r="U486" i="1"/>
  <c r="V486" i="1"/>
  <c r="AF486" i="1"/>
  <c r="AG486" i="1"/>
  <c r="AH486" i="1"/>
  <c r="AI486" i="1"/>
  <c r="AJ486" i="1"/>
  <c r="AK486" i="1"/>
  <c r="AN486" i="1"/>
  <c r="D488" i="1"/>
  <c r="E488" i="1"/>
  <c r="T488" i="1"/>
  <c r="U488" i="1"/>
  <c r="V488" i="1"/>
  <c r="AF488" i="1"/>
  <c r="AG488" i="1"/>
  <c r="AH488" i="1"/>
  <c r="AI488" i="1"/>
  <c r="AJ488" i="1"/>
  <c r="AK488" i="1"/>
  <c r="AN488" i="1"/>
  <c r="D485" i="1"/>
  <c r="E485" i="1"/>
  <c r="T485" i="1"/>
  <c r="U485" i="1"/>
  <c r="V485" i="1"/>
  <c r="AF485" i="1"/>
  <c r="AG485" i="1"/>
  <c r="AH485" i="1"/>
  <c r="AI485" i="1"/>
  <c r="AJ485" i="1"/>
  <c r="AK508" i="1" s="1"/>
  <c r="AK485" i="1"/>
  <c r="AN485" i="1"/>
  <c r="D482" i="1"/>
  <c r="E482" i="1"/>
  <c r="T482" i="1"/>
  <c r="U482" i="1"/>
  <c r="V482" i="1"/>
  <c r="AF482" i="1"/>
  <c r="AG482" i="1"/>
  <c r="AH482" i="1"/>
  <c r="AI482" i="1"/>
  <c r="AJ482" i="1"/>
  <c r="AK482" i="1"/>
  <c r="AN482" i="1"/>
  <c r="D481" i="1"/>
  <c r="E481" i="1"/>
  <c r="T481" i="1"/>
  <c r="U481" i="1"/>
  <c r="V481" i="1"/>
  <c r="AF481" i="1"/>
  <c r="AG481" i="1"/>
  <c r="AH481" i="1"/>
  <c r="AI481" i="1"/>
  <c r="AJ481" i="1"/>
  <c r="AK481" i="1"/>
  <c r="AN481" i="1"/>
  <c r="D483" i="1"/>
  <c r="E483" i="1"/>
  <c r="C664" i="1"/>
  <c r="Y664" i="1"/>
  <c r="Z664" i="1"/>
  <c r="AA664" i="1"/>
  <c r="AB664" i="1"/>
  <c r="AC664" i="1"/>
  <c r="AD664" i="1"/>
  <c r="D496" i="1"/>
  <c r="E496" i="1"/>
  <c r="T496" i="1"/>
  <c r="AO496" i="1" s="1"/>
  <c r="U496" i="1"/>
  <c r="V496" i="1"/>
  <c r="AF496" i="1"/>
  <c r="AG496" i="1"/>
  <c r="AH496" i="1"/>
  <c r="AI496" i="1"/>
  <c r="AJ496" i="1"/>
  <c r="AK496" i="1"/>
  <c r="AN496" i="1"/>
  <c r="E624" i="1"/>
  <c r="D624" i="1"/>
  <c r="E586" i="1"/>
  <c r="D586" i="1"/>
  <c r="E543" i="1"/>
  <c r="D543" i="1"/>
  <c r="T624" i="1"/>
  <c r="AO624" i="1" s="1"/>
  <c r="U624" i="1"/>
  <c r="V624" i="1"/>
  <c r="AF624" i="1"/>
  <c r="AG624" i="1"/>
  <c r="AH624" i="1"/>
  <c r="AI624" i="1"/>
  <c r="AJ624" i="1"/>
  <c r="AN624" i="1"/>
  <c r="T586" i="1"/>
  <c r="AO586" i="1" s="1"/>
  <c r="U586" i="1"/>
  <c r="V586" i="1"/>
  <c r="AF586" i="1"/>
  <c r="AG586" i="1"/>
  <c r="AH586" i="1"/>
  <c r="AI586" i="1"/>
  <c r="AJ586" i="1"/>
  <c r="AN586" i="1"/>
  <c r="T543" i="1"/>
  <c r="AO543" i="1" s="1"/>
  <c r="U543" i="1"/>
  <c r="V543" i="1"/>
  <c r="AF543" i="1"/>
  <c r="AG543" i="1"/>
  <c r="AH543" i="1"/>
  <c r="AI543" i="1"/>
  <c r="AJ543" i="1"/>
  <c r="AN543" i="1"/>
  <c r="E614" i="1"/>
  <c r="D614" i="1"/>
  <c r="T614" i="1"/>
  <c r="AO614" i="1" s="1"/>
  <c r="U614" i="1"/>
  <c r="V614" i="1"/>
  <c r="AF614" i="1"/>
  <c r="AG614" i="1"/>
  <c r="AH614" i="1"/>
  <c r="AI614" i="1"/>
  <c r="AJ614" i="1"/>
  <c r="AN614" i="1"/>
  <c r="E634" i="1"/>
  <c r="D634" i="1"/>
  <c r="T634" i="1"/>
  <c r="AO634" i="1" s="1"/>
  <c r="U634" i="1"/>
  <c r="V634" i="1"/>
  <c r="AF634" i="1"/>
  <c r="AG634" i="1"/>
  <c r="AH634" i="1"/>
  <c r="AI634" i="1"/>
  <c r="AJ634" i="1"/>
  <c r="AN634" i="1"/>
  <c r="AN571" i="1"/>
  <c r="AJ571" i="1"/>
  <c r="AI571" i="1"/>
  <c r="AH571" i="1"/>
  <c r="AG571" i="1"/>
  <c r="AF571" i="1"/>
  <c r="V571" i="1"/>
  <c r="U571" i="1"/>
  <c r="T571" i="1"/>
  <c r="AO571" i="1" s="1"/>
  <c r="E571" i="1"/>
  <c r="D571" i="1"/>
  <c r="AN530" i="1"/>
  <c r="AJ530" i="1"/>
  <c r="AI530" i="1"/>
  <c r="AH530" i="1"/>
  <c r="AG530" i="1"/>
  <c r="AF530" i="1"/>
  <c r="V530" i="1"/>
  <c r="U530" i="1"/>
  <c r="T530" i="1"/>
  <c r="AO530" i="1" s="1"/>
  <c r="E530" i="1"/>
  <c r="D530" i="1"/>
  <c r="J6" i="48"/>
  <c r="AN423" i="1"/>
  <c r="AJ423" i="1"/>
  <c r="AI423" i="1"/>
  <c r="AH423" i="1"/>
  <c r="AG423" i="1"/>
  <c r="AF423" i="1"/>
  <c r="V423" i="1"/>
  <c r="U423" i="1"/>
  <c r="T423" i="1"/>
  <c r="AO423" i="1" s="1"/>
  <c r="E423" i="1"/>
  <c r="D423" i="1"/>
  <c r="AN536" i="1"/>
  <c r="AJ536" i="1"/>
  <c r="AI536" i="1"/>
  <c r="AH536" i="1"/>
  <c r="AG536" i="1"/>
  <c r="AF536" i="1"/>
  <c r="V536" i="1"/>
  <c r="U536" i="1"/>
  <c r="T536" i="1"/>
  <c r="AO536" i="1" s="1"/>
  <c r="E536" i="1"/>
  <c r="D536" i="1"/>
  <c r="AN119" i="41"/>
  <c r="AJ119" i="41"/>
  <c r="AI119" i="41"/>
  <c r="AH119" i="41"/>
  <c r="AG119" i="41"/>
  <c r="AF119" i="41"/>
  <c r="V119" i="41"/>
  <c r="U119" i="41"/>
  <c r="T119" i="41"/>
  <c r="D119" i="41"/>
  <c r="C119" i="41"/>
  <c r="AN619" i="1"/>
  <c r="AJ619" i="1"/>
  <c r="AI619" i="1"/>
  <c r="AH619" i="1"/>
  <c r="AG619" i="1"/>
  <c r="AF619" i="1"/>
  <c r="V619" i="1"/>
  <c r="U619" i="1"/>
  <c r="T619" i="1"/>
  <c r="X619" i="1" s="1"/>
  <c r="E619" i="1"/>
  <c r="D619" i="1"/>
  <c r="Q42" i="17"/>
  <c r="O40" i="17"/>
  <c r="S55" i="17" l="1"/>
  <c r="S56" i="17"/>
  <c r="S54" i="17"/>
  <c r="Z55" i="17"/>
  <c r="R55" i="17"/>
  <c r="Z56" i="17"/>
  <c r="R56" i="17"/>
  <c r="Z54" i="17"/>
  <c r="R54" i="17"/>
  <c r="X616" i="1"/>
  <c r="X609" i="1"/>
  <c r="X605" i="1"/>
  <c r="X566" i="1"/>
  <c r="X507" i="1"/>
  <c r="X527" i="1"/>
  <c r="X502" i="1"/>
  <c r="X526" i="1"/>
  <c r="X525" i="1"/>
  <c r="X655" i="1"/>
  <c r="X601" i="1"/>
  <c r="X595" i="1"/>
  <c r="X581" i="1"/>
  <c r="X575" i="1"/>
  <c r="X559" i="1"/>
  <c r="X558" i="1"/>
  <c r="X511" i="1"/>
  <c r="X604" i="1"/>
  <c r="X523" i="1"/>
  <c r="X662" i="1"/>
  <c r="X577" i="1"/>
  <c r="X663" i="1"/>
  <c r="X576" i="1"/>
  <c r="X661" i="1"/>
  <c r="X572" i="1"/>
  <c r="X656" i="1"/>
  <c r="X569" i="1"/>
  <c r="X571" i="1"/>
  <c r="X651" i="1"/>
  <c r="X650" i="1"/>
  <c r="X560" i="1"/>
  <c r="X649" i="1"/>
  <c r="X644" i="1"/>
  <c r="X638" i="1"/>
  <c r="X557" i="1"/>
  <c r="X624" i="1"/>
  <c r="X556" i="1"/>
  <c r="X555" i="1"/>
  <c r="X580" i="1"/>
  <c r="X530" i="1"/>
  <c r="X617" i="1"/>
  <c r="X554" i="1"/>
  <c r="X501" i="1"/>
  <c r="X574" i="1"/>
  <c r="X594" i="1"/>
  <c r="X508" i="1"/>
  <c r="X614" i="1"/>
  <c r="X515" i="1"/>
  <c r="X635" i="1"/>
  <c r="X517" i="1"/>
  <c r="X634" i="1"/>
  <c r="X516" i="1"/>
  <c r="X654" i="1"/>
  <c r="X611" i="1"/>
  <c r="X549" i="1"/>
  <c r="X602" i="1"/>
  <c r="X536" i="1"/>
  <c r="X622" i="1"/>
  <c r="X578" i="1"/>
  <c r="X537" i="1"/>
  <c r="X496" i="1"/>
  <c r="X573" i="1"/>
  <c r="X660" i="1"/>
  <c r="X568" i="1"/>
  <c r="X514" i="1"/>
  <c r="X653" i="1"/>
  <c r="X610" i="1"/>
  <c r="X593" i="1"/>
  <c r="X548" i="1"/>
  <c r="X503" i="1"/>
  <c r="X637" i="1"/>
  <c r="X615" i="1"/>
  <c r="X570" i="1"/>
  <c r="X509" i="1"/>
  <c r="X513" i="1"/>
  <c r="X652" i="1"/>
  <c r="X592" i="1"/>
  <c r="X547" i="1"/>
  <c r="X648" i="1"/>
  <c r="X579" i="1"/>
  <c r="X538" i="1"/>
  <c r="X645" i="1"/>
  <c r="X500" i="1"/>
  <c r="X636" i="1"/>
  <c r="X512" i="1"/>
  <c r="X586" i="1"/>
  <c r="X543" i="1"/>
  <c r="AO497" i="1"/>
  <c r="X497" i="1"/>
  <c r="AO498" i="1"/>
  <c r="AO485" i="1"/>
  <c r="X485" i="1"/>
  <c r="AO488" i="1"/>
  <c r="X488" i="1"/>
  <c r="AO486" i="1"/>
  <c r="X486" i="1"/>
  <c r="AO487" i="1"/>
  <c r="X487" i="1"/>
  <c r="AO489" i="1"/>
  <c r="X489" i="1"/>
  <c r="AO491" i="1"/>
  <c r="X491" i="1"/>
  <c r="AO490" i="1"/>
  <c r="X490" i="1"/>
  <c r="AO483" i="1"/>
  <c r="X483" i="1"/>
  <c r="AO481" i="1"/>
  <c r="X481" i="1"/>
  <c r="AO482" i="1"/>
  <c r="X482" i="1"/>
  <c r="AO619" i="1"/>
  <c r="C117" i="41"/>
  <c r="C116" i="41"/>
  <c r="F3" i="48"/>
  <c r="F4" i="48"/>
  <c r="F5" i="48"/>
  <c r="F6" i="48"/>
  <c r="F7" i="48"/>
  <c r="F8" i="48"/>
  <c r="F9" i="48"/>
  <c r="F10" i="48"/>
  <c r="F11" i="48"/>
  <c r="F12" i="48"/>
  <c r="F13" i="48"/>
  <c r="F14" i="48"/>
  <c r="F15" i="48"/>
  <c r="F16" i="48"/>
  <c r="F17" i="48"/>
  <c r="F18" i="48"/>
  <c r="F19" i="48"/>
  <c r="F20" i="48"/>
  <c r="F21" i="48"/>
  <c r="F22" i="48"/>
  <c r="F23" i="48"/>
  <c r="F24" i="48"/>
  <c r="F25" i="48"/>
  <c r="F26" i="48"/>
  <c r="F27" i="48"/>
  <c r="F28" i="48"/>
  <c r="F29" i="48"/>
  <c r="F30" i="48"/>
  <c r="F31" i="48"/>
  <c r="F32" i="48"/>
  <c r="F33" i="48"/>
  <c r="F34" i="48"/>
  <c r="F35" i="48"/>
  <c r="F36" i="48"/>
  <c r="F37" i="48"/>
  <c r="F38" i="48"/>
  <c r="F39" i="48"/>
  <c r="F40" i="48"/>
  <c r="F41" i="48"/>
  <c r="F42" i="48"/>
  <c r="F43" i="48"/>
  <c r="F44" i="48"/>
  <c r="F45" i="48"/>
  <c r="F46" i="48"/>
  <c r="F47" i="48"/>
  <c r="F48" i="48"/>
  <c r="F49" i="48"/>
  <c r="F50" i="48"/>
  <c r="F51" i="48"/>
  <c r="F52" i="48"/>
  <c r="F56" i="48"/>
  <c r="F57" i="48"/>
  <c r="F58" i="48"/>
  <c r="F59" i="48"/>
  <c r="F60" i="48"/>
  <c r="F61" i="48"/>
  <c r="F62" i="48"/>
  <c r="F63" i="48"/>
  <c r="F64" i="48"/>
  <c r="F2" i="48"/>
  <c r="I3" i="48"/>
  <c r="J3" i="48"/>
  <c r="I4" i="48"/>
  <c r="J4" i="48"/>
  <c r="I5" i="48"/>
  <c r="J5" i="48"/>
  <c r="I6" i="48"/>
  <c r="I7" i="48"/>
  <c r="J7" i="48"/>
  <c r="I8" i="48"/>
  <c r="J8" i="48"/>
  <c r="I9" i="48"/>
  <c r="J9" i="48"/>
  <c r="I10" i="48"/>
  <c r="J10" i="48"/>
  <c r="I11" i="48"/>
  <c r="J11" i="48"/>
  <c r="I12" i="48"/>
  <c r="J12" i="48"/>
  <c r="I13" i="48"/>
  <c r="J13" i="48"/>
  <c r="I14" i="48"/>
  <c r="J14" i="48"/>
  <c r="I15" i="48"/>
  <c r="J15" i="48"/>
  <c r="I16" i="48"/>
  <c r="J16" i="48"/>
  <c r="I17" i="48"/>
  <c r="J17" i="48"/>
  <c r="I18" i="48"/>
  <c r="J18" i="48"/>
  <c r="I19" i="48"/>
  <c r="J19" i="48"/>
  <c r="I20" i="48"/>
  <c r="J20" i="48"/>
  <c r="I21" i="48"/>
  <c r="J21" i="48"/>
  <c r="I22" i="48"/>
  <c r="J22" i="48"/>
  <c r="I23" i="48"/>
  <c r="J23" i="48"/>
  <c r="I24" i="48"/>
  <c r="J24" i="48"/>
  <c r="I25" i="48"/>
  <c r="J25" i="48"/>
  <c r="I26" i="48"/>
  <c r="J26" i="48"/>
  <c r="I27" i="48"/>
  <c r="J27" i="48"/>
  <c r="I28" i="48"/>
  <c r="J28" i="48"/>
  <c r="I29" i="48"/>
  <c r="J29" i="48"/>
  <c r="I30" i="48"/>
  <c r="J30" i="48"/>
  <c r="I31" i="48"/>
  <c r="J31" i="48"/>
  <c r="I32" i="48"/>
  <c r="J32" i="48"/>
  <c r="I33" i="48"/>
  <c r="J33" i="48"/>
  <c r="I34" i="48"/>
  <c r="J34" i="48"/>
  <c r="I35" i="48"/>
  <c r="J35" i="48"/>
  <c r="I36" i="48"/>
  <c r="J36" i="48"/>
  <c r="I37" i="48"/>
  <c r="J37" i="48"/>
  <c r="I38" i="48"/>
  <c r="J38" i="48"/>
  <c r="I39" i="48"/>
  <c r="J39" i="48"/>
  <c r="I40" i="48"/>
  <c r="J40" i="48"/>
  <c r="I41" i="48"/>
  <c r="J41" i="48"/>
  <c r="I42" i="48"/>
  <c r="J42" i="48"/>
  <c r="I43" i="48"/>
  <c r="J43" i="48"/>
  <c r="I44" i="48"/>
  <c r="J44" i="48"/>
  <c r="I45" i="48"/>
  <c r="J45" i="48"/>
  <c r="I46" i="48"/>
  <c r="J46" i="48"/>
  <c r="I47" i="48"/>
  <c r="J47" i="48"/>
  <c r="I48" i="48"/>
  <c r="J48" i="48"/>
  <c r="I49" i="48"/>
  <c r="J49" i="48"/>
  <c r="I50" i="48"/>
  <c r="J50" i="48"/>
  <c r="I51" i="48"/>
  <c r="J51" i="48"/>
  <c r="I52" i="48"/>
  <c r="J52" i="48"/>
  <c r="I56" i="48"/>
  <c r="J56" i="48"/>
  <c r="I57" i="48"/>
  <c r="J57" i="48"/>
  <c r="I58" i="48"/>
  <c r="J58" i="48"/>
  <c r="I59" i="48"/>
  <c r="J59" i="48"/>
  <c r="I60" i="48"/>
  <c r="J60" i="48"/>
  <c r="I61" i="48"/>
  <c r="J61" i="48"/>
  <c r="I62" i="48"/>
  <c r="J62" i="48"/>
  <c r="I63" i="48"/>
  <c r="J63" i="48"/>
  <c r="I64" i="48"/>
  <c r="J64" i="48"/>
  <c r="J2" i="48"/>
  <c r="I2" i="48"/>
  <c r="H3" i="48"/>
  <c r="H4" i="48"/>
  <c r="H5" i="48"/>
  <c r="H6" i="48"/>
  <c r="H7" i="48"/>
  <c r="H8" i="48"/>
  <c r="H9" i="48"/>
  <c r="H10" i="48"/>
  <c r="H11" i="48"/>
  <c r="H12" i="48"/>
  <c r="H13" i="48"/>
  <c r="H14" i="48"/>
  <c r="H15" i="48"/>
  <c r="H16" i="48"/>
  <c r="H17" i="48"/>
  <c r="H18" i="48"/>
  <c r="H19" i="48"/>
  <c r="H20" i="48"/>
  <c r="H21" i="48"/>
  <c r="H22" i="48"/>
  <c r="H23" i="48"/>
  <c r="H24" i="48"/>
  <c r="H25" i="48"/>
  <c r="H26" i="48"/>
  <c r="H27" i="48"/>
  <c r="H28" i="48"/>
  <c r="H29" i="48"/>
  <c r="H30" i="48"/>
  <c r="H31" i="48"/>
  <c r="H32" i="48"/>
  <c r="H33" i="48"/>
  <c r="H34" i="48"/>
  <c r="H35" i="48"/>
  <c r="H36" i="48"/>
  <c r="H37" i="48"/>
  <c r="H38" i="48"/>
  <c r="H39" i="48"/>
  <c r="H40" i="48"/>
  <c r="H41" i="48"/>
  <c r="H42" i="48"/>
  <c r="H43" i="48"/>
  <c r="H44" i="48"/>
  <c r="H45" i="48"/>
  <c r="H46" i="48"/>
  <c r="H47" i="48"/>
  <c r="H48" i="48"/>
  <c r="H49" i="48"/>
  <c r="H50" i="48"/>
  <c r="H51" i="48"/>
  <c r="H52" i="48"/>
  <c r="H56" i="48"/>
  <c r="H57" i="48"/>
  <c r="H58" i="48"/>
  <c r="H59" i="48"/>
  <c r="H60" i="48"/>
  <c r="H61" i="48"/>
  <c r="H62" i="48"/>
  <c r="H63" i="48"/>
  <c r="H64" i="48"/>
  <c r="H2" i="48"/>
  <c r="AN374" i="1"/>
  <c r="AJ374" i="1"/>
  <c r="AI374" i="1"/>
  <c r="AH374" i="1"/>
  <c r="AG374" i="1"/>
  <c r="AF374" i="1"/>
  <c r="V374" i="1"/>
  <c r="U374" i="1"/>
  <c r="T374" i="1"/>
  <c r="AO374" i="1" s="1"/>
  <c r="E374" i="1"/>
  <c r="D374" i="1"/>
  <c r="M13" i="48" l="1"/>
  <c r="M25" i="48"/>
  <c r="M3" i="48"/>
  <c r="M12" i="48"/>
  <c r="M19" i="48"/>
  <c r="M18" i="48"/>
  <c r="M2" i="48"/>
  <c r="K4" i="48"/>
  <c r="M24" i="48"/>
  <c r="M23" i="48"/>
  <c r="M17" i="48"/>
  <c r="M64" i="48"/>
  <c r="M35" i="48"/>
  <c r="M22" i="48"/>
  <c r="M21" i="48"/>
  <c r="M20" i="48"/>
  <c r="M63" i="48"/>
  <c r="M16" i="48"/>
  <c r="M15" i="48"/>
  <c r="M14" i="48"/>
  <c r="M11" i="48"/>
  <c r="M10" i="48"/>
  <c r="K3" i="48"/>
  <c r="D325" i="1"/>
  <c r="E325" i="1"/>
  <c r="T325" i="1"/>
  <c r="AO325" i="1" s="1"/>
  <c r="U325" i="1"/>
  <c r="V325" i="1"/>
  <c r="AF325" i="1"/>
  <c r="AG325" i="1"/>
  <c r="AH325" i="1"/>
  <c r="AI325" i="1"/>
  <c r="AJ325" i="1"/>
  <c r="AN325" i="1"/>
  <c r="P40" i="17"/>
  <c r="AK325" i="1" l="1"/>
  <c r="C115" i="41"/>
  <c r="C114" i="41"/>
  <c r="C113" i="41"/>
  <c r="C112" i="41"/>
  <c r="C111" i="41"/>
  <c r="C110" i="41"/>
  <c r="C109" i="41"/>
  <c r="C108" i="41"/>
  <c r="C107" i="41"/>
  <c r="C106" i="41"/>
  <c r="C105" i="41"/>
  <c r="C104" i="41"/>
  <c r="C103" i="41"/>
  <c r="C102" i="41"/>
  <c r="C101" i="41"/>
  <c r="C100" i="41"/>
  <c r="C99" i="41"/>
  <c r="C98" i="41"/>
  <c r="C97" i="41"/>
  <c r="C96" i="41"/>
  <c r="C95" i="41"/>
  <c r="C94" i="41"/>
  <c r="C93" i="41"/>
  <c r="C92" i="41"/>
  <c r="C91" i="41"/>
  <c r="C90" i="41"/>
  <c r="C89" i="41"/>
  <c r="C88" i="41"/>
  <c r="C87" i="41"/>
  <c r="C86" i="41"/>
  <c r="C85" i="41"/>
  <c r="C84" i="41"/>
  <c r="C83" i="41"/>
  <c r="C82" i="41"/>
  <c r="C81" i="41"/>
  <c r="C80" i="41"/>
  <c r="C79" i="41"/>
  <c r="C78" i="41"/>
  <c r="C77" i="41"/>
  <c r="C76" i="41"/>
  <c r="C75" i="41"/>
  <c r="C74" i="41"/>
  <c r="C73" i="41"/>
  <c r="C72" i="41"/>
  <c r="C71" i="41"/>
  <c r="C70" i="41"/>
  <c r="C69" i="41"/>
  <c r="C68" i="41"/>
  <c r="C67" i="41"/>
  <c r="C66" i="41"/>
  <c r="C65" i="41"/>
  <c r="C64" i="41"/>
  <c r="C63" i="41"/>
  <c r="C62" i="41"/>
  <c r="C61" i="41"/>
  <c r="C60" i="41"/>
  <c r="C59" i="41"/>
  <c r="C58" i="41"/>
  <c r="C57" i="41"/>
  <c r="C56" i="41"/>
  <c r="D373" i="1"/>
  <c r="E373" i="1"/>
  <c r="D380" i="1"/>
  <c r="E380" i="1"/>
  <c r="D381" i="1"/>
  <c r="E381" i="1"/>
  <c r="D383" i="1"/>
  <c r="E383" i="1"/>
  <c r="D382" i="1"/>
  <c r="E382" i="1"/>
  <c r="D384" i="1"/>
  <c r="E384" i="1"/>
  <c r="D385" i="1"/>
  <c r="E385" i="1"/>
  <c r="D386" i="1"/>
  <c r="E386" i="1"/>
  <c r="D387" i="1"/>
  <c r="E387" i="1"/>
  <c r="D388" i="1"/>
  <c r="E388" i="1"/>
  <c r="D390" i="1"/>
  <c r="E390" i="1"/>
  <c r="D389" i="1"/>
  <c r="E389" i="1"/>
  <c r="D391" i="1"/>
  <c r="E391" i="1"/>
  <c r="D392" i="1"/>
  <c r="E392" i="1"/>
  <c r="D393" i="1"/>
  <c r="E393" i="1"/>
  <c r="D394" i="1"/>
  <c r="E394" i="1"/>
  <c r="D395" i="1"/>
  <c r="E395" i="1"/>
  <c r="D396" i="1"/>
  <c r="E396" i="1"/>
  <c r="D397" i="1"/>
  <c r="E397" i="1"/>
  <c r="D398" i="1"/>
  <c r="E398" i="1"/>
  <c r="D399" i="1"/>
  <c r="E399" i="1"/>
  <c r="D400" i="1"/>
  <c r="E400" i="1"/>
  <c r="D401" i="1"/>
  <c r="E401" i="1"/>
  <c r="D402" i="1"/>
  <c r="E402" i="1"/>
  <c r="D403" i="1"/>
  <c r="E403" i="1"/>
  <c r="D404" i="1"/>
  <c r="E404" i="1"/>
  <c r="D405" i="1"/>
  <c r="E405" i="1"/>
  <c r="D406" i="1"/>
  <c r="E406" i="1"/>
  <c r="D407" i="1"/>
  <c r="E407" i="1"/>
  <c r="D409" i="1"/>
  <c r="E409" i="1"/>
  <c r="D410" i="1"/>
  <c r="E410" i="1"/>
  <c r="D408" i="1"/>
  <c r="E408" i="1"/>
  <c r="D411" i="1"/>
  <c r="E411" i="1"/>
  <c r="D412" i="1"/>
  <c r="E412" i="1"/>
  <c r="D413" i="1"/>
  <c r="E413" i="1"/>
  <c r="D414" i="1"/>
  <c r="E414" i="1"/>
  <c r="D415" i="1"/>
  <c r="E415" i="1"/>
  <c r="D416" i="1"/>
  <c r="E416" i="1"/>
  <c r="D417" i="1"/>
  <c r="E417" i="1"/>
  <c r="D418" i="1"/>
  <c r="E418" i="1"/>
  <c r="D419" i="1"/>
  <c r="E419" i="1"/>
  <c r="D420" i="1"/>
  <c r="E420" i="1"/>
  <c r="D421" i="1"/>
  <c r="E421" i="1"/>
  <c r="D422" i="1"/>
  <c r="E422" i="1"/>
  <c r="D424" i="1"/>
  <c r="E424" i="1"/>
  <c r="D425" i="1"/>
  <c r="E425" i="1"/>
  <c r="D426" i="1"/>
  <c r="E426" i="1"/>
  <c r="D427" i="1"/>
  <c r="E427" i="1"/>
  <c r="D428" i="1"/>
  <c r="E428" i="1"/>
  <c r="D429" i="1"/>
  <c r="E429" i="1"/>
  <c r="D430" i="1"/>
  <c r="E430" i="1"/>
  <c r="D445" i="1"/>
  <c r="E445" i="1"/>
  <c r="D431" i="1"/>
  <c r="E431" i="1"/>
  <c r="D432" i="1"/>
  <c r="E432" i="1"/>
  <c r="D433" i="1"/>
  <c r="E433" i="1"/>
  <c r="D434" i="1"/>
  <c r="E434" i="1"/>
  <c r="D435" i="1"/>
  <c r="E435" i="1"/>
  <c r="D436" i="1"/>
  <c r="E436" i="1"/>
  <c r="D437" i="1"/>
  <c r="E437" i="1"/>
  <c r="D438" i="1"/>
  <c r="E438" i="1"/>
  <c r="D439" i="1"/>
  <c r="E439" i="1"/>
  <c r="D440" i="1"/>
  <c r="E440" i="1"/>
  <c r="D441" i="1"/>
  <c r="E441" i="1"/>
  <c r="D442" i="1"/>
  <c r="E442" i="1"/>
  <c r="D443" i="1"/>
  <c r="E443" i="1"/>
  <c r="D444" i="1"/>
  <c r="E444" i="1"/>
  <c r="D446" i="1"/>
  <c r="E446" i="1"/>
  <c r="D447" i="1"/>
  <c r="E447" i="1"/>
  <c r="D448" i="1"/>
  <c r="E448" i="1"/>
  <c r="D449" i="1"/>
  <c r="E449" i="1"/>
  <c r="D450" i="1"/>
  <c r="E450" i="1"/>
  <c r="D451" i="1"/>
  <c r="E451" i="1"/>
  <c r="D452" i="1"/>
  <c r="E452" i="1"/>
  <c r="D453" i="1"/>
  <c r="E453" i="1"/>
  <c r="D454" i="1"/>
  <c r="E454" i="1"/>
  <c r="D455" i="1"/>
  <c r="E455" i="1"/>
  <c r="D456" i="1"/>
  <c r="E456" i="1"/>
  <c r="D457" i="1"/>
  <c r="E457" i="1"/>
  <c r="D458" i="1"/>
  <c r="E458" i="1"/>
  <c r="D584" i="1"/>
  <c r="E584" i="1"/>
  <c r="D459" i="1"/>
  <c r="E459" i="1"/>
  <c r="D460" i="1"/>
  <c r="E460" i="1"/>
  <c r="D461" i="1"/>
  <c r="E461" i="1"/>
  <c r="D462" i="1"/>
  <c r="E462" i="1"/>
  <c r="D463" i="1"/>
  <c r="E463" i="1"/>
  <c r="D464" i="1"/>
  <c r="E464" i="1"/>
  <c r="D465" i="1"/>
  <c r="E465" i="1"/>
  <c r="D466" i="1"/>
  <c r="E466" i="1"/>
  <c r="D467" i="1"/>
  <c r="E467" i="1"/>
  <c r="D468" i="1"/>
  <c r="E468" i="1"/>
  <c r="D469" i="1"/>
  <c r="E469" i="1"/>
  <c r="D470" i="1"/>
  <c r="E470" i="1"/>
  <c r="D471" i="1"/>
  <c r="E471" i="1"/>
  <c r="D472" i="1"/>
  <c r="E472" i="1"/>
  <c r="D473" i="1"/>
  <c r="E473" i="1"/>
  <c r="D474" i="1"/>
  <c r="E474" i="1"/>
  <c r="D475" i="1"/>
  <c r="E475" i="1"/>
  <c r="D476" i="1"/>
  <c r="E476" i="1"/>
  <c r="E477" i="1"/>
  <c r="D480" i="1"/>
  <c r="E480" i="1"/>
  <c r="D478" i="1"/>
  <c r="E478" i="1"/>
  <c r="D479" i="1"/>
  <c r="E479" i="1"/>
  <c r="D484" i="1"/>
  <c r="E484" i="1"/>
  <c r="D493" i="1"/>
  <c r="E493" i="1"/>
  <c r="D492" i="1"/>
  <c r="E492" i="1"/>
  <c r="D494" i="1"/>
  <c r="E494" i="1"/>
  <c r="D495" i="1"/>
  <c r="E495" i="1"/>
  <c r="D499" i="1"/>
  <c r="E499" i="1"/>
  <c r="D504" i="1"/>
  <c r="E504" i="1"/>
  <c r="D505" i="1"/>
  <c r="E505" i="1"/>
  <c r="D506" i="1"/>
  <c r="E506" i="1"/>
  <c r="D510" i="1"/>
  <c r="E510" i="1"/>
  <c r="D518" i="1"/>
  <c r="E518" i="1"/>
  <c r="D519" i="1"/>
  <c r="E519" i="1"/>
  <c r="D520" i="1"/>
  <c r="E520" i="1"/>
  <c r="D521" i="1"/>
  <c r="E521" i="1"/>
  <c r="D522" i="1"/>
  <c r="E522" i="1"/>
  <c r="D524" i="1"/>
  <c r="E524" i="1"/>
  <c r="D528" i="1"/>
  <c r="E528" i="1"/>
  <c r="D529" i="1"/>
  <c r="E529" i="1"/>
  <c r="D531" i="1"/>
  <c r="E531" i="1"/>
  <c r="D532" i="1"/>
  <c r="E532" i="1"/>
  <c r="D533" i="1"/>
  <c r="E533" i="1"/>
  <c r="D534" i="1"/>
  <c r="E534" i="1"/>
  <c r="D535" i="1"/>
  <c r="E535" i="1"/>
  <c r="D612" i="1"/>
  <c r="E612" i="1"/>
  <c r="D551" i="1"/>
  <c r="E551" i="1"/>
  <c r="D582" i="1"/>
  <c r="E582" i="1"/>
  <c r="D539" i="1"/>
  <c r="E539" i="1"/>
  <c r="D540" i="1"/>
  <c r="E540" i="1"/>
  <c r="D541" i="1"/>
  <c r="E541" i="1"/>
  <c r="D542" i="1"/>
  <c r="E542" i="1"/>
  <c r="D552" i="1"/>
  <c r="E552" i="1"/>
  <c r="D544" i="1"/>
  <c r="E544" i="1"/>
  <c r="D545" i="1"/>
  <c r="E545" i="1"/>
  <c r="D627" i="1"/>
  <c r="E627" i="1"/>
  <c r="D546" i="1"/>
  <c r="E546" i="1"/>
  <c r="D550" i="1"/>
  <c r="E550" i="1"/>
  <c r="D599" i="1"/>
  <c r="E599" i="1"/>
  <c r="D553" i="1"/>
  <c r="E553" i="1"/>
  <c r="D597" i="1"/>
  <c r="E597" i="1"/>
  <c r="D596" i="1"/>
  <c r="E596" i="1"/>
  <c r="D606" i="1"/>
  <c r="E606" i="1"/>
  <c r="D563" i="1"/>
  <c r="E563" i="1"/>
  <c r="D561" i="1"/>
  <c r="E561" i="1"/>
  <c r="D562" i="1"/>
  <c r="E562" i="1"/>
  <c r="D564" i="1"/>
  <c r="E564" i="1"/>
  <c r="D565" i="1"/>
  <c r="E565" i="1"/>
  <c r="D567" i="1"/>
  <c r="E567" i="1"/>
  <c r="D583" i="1"/>
  <c r="E583" i="1"/>
  <c r="D585" i="1"/>
  <c r="E585" i="1"/>
  <c r="D587" i="1"/>
  <c r="E587" i="1"/>
  <c r="D588" i="1"/>
  <c r="E588" i="1"/>
  <c r="D589" i="1"/>
  <c r="E589" i="1"/>
  <c r="D590" i="1"/>
  <c r="E590" i="1"/>
  <c r="D591" i="1"/>
  <c r="E591" i="1"/>
  <c r="D598" i="1"/>
  <c r="E598" i="1"/>
  <c r="D600" i="1"/>
  <c r="E600" i="1"/>
  <c r="D603" i="1"/>
  <c r="E603" i="1"/>
  <c r="D607" i="1"/>
  <c r="E607" i="1"/>
  <c r="D608" i="1"/>
  <c r="E608" i="1"/>
  <c r="D613" i="1"/>
  <c r="E613" i="1"/>
  <c r="D618" i="1"/>
  <c r="E618" i="1"/>
  <c r="D620" i="1"/>
  <c r="E620" i="1"/>
  <c r="D621" i="1"/>
  <c r="E621" i="1"/>
  <c r="D623" i="1"/>
  <c r="E623" i="1"/>
  <c r="D646" i="1"/>
  <c r="E646" i="1"/>
  <c r="D625" i="1"/>
  <c r="E625" i="1"/>
  <c r="D626" i="1"/>
  <c r="E626" i="1"/>
  <c r="D628" i="1"/>
  <c r="E628" i="1"/>
  <c r="D629" i="1"/>
  <c r="E629" i="1"/>
  <c r="D630" i="1"/>
  <c r="E630" i="1"/>
  <c r="D631" i="1"/>
  <c r="E631" i="1"/>
  <c r="D633" i="1"/>
  <c r="E633" i="1"/>
  <c r="D632" i="1"/>
  <c r="E632" i="1"/>
  <c r="H6" i="58"/>
  <c r="H5" i="58"/>
  <c r="H4" i="58"/>
  <c r="CU14" i="57"/>
  <c r="CT14" i="57"/>
  <c r="CS14" i="57"/>
  <c r="CR14" i="57"/>
  <c r="CQ14" i="57"/>
  <c r="CP14" i="57"/>
  <c r="CO14" i="57"/>
  <c r="CN14" i="57"/>
  <c r="CM14" i="57"/>
  <c r="CL14" i="57"/>
  <c r="CK14" i="57"/>
  <c r="CJ14" i="57"/>
  <c r="CI14" i="57"/>
  <c r="CH14" i="57"/>
  <c r="CG14" i="57"/>
  <c r="CF14" i="57"/>
  <c r="CE14" i="57"/>
  <c r="CD14" i="57"/>
  <c r="CC14" i="57"/>
  <c r="CB14" i="57"/>
  <c r="CA14" i="57"/>
  <c r="BZ14" i="57"/>
  <c r="BY14" i="57"/>
  <c r="BX14" i="57"/>
  <c r="BW14" i="57"/>
  <c r="BV14" i="57"/>
  <c r="BU14" i="57"/>
  <c r="BT14" i="57"/>
  <c r="BS14" i="57"/>
  <c r="BR14" i="57"/>
  <c r="BQ14" i="57"/>
  <c r="BP14" i="57"/>
  <c r="BO14" i="57"/>
  <c r="BN14" i="57"/>
  <c r="BM14" i="57"/>
  <c r="BL14" i="57"/>
  <c r="BK14" i="57"/>
  <c r="BJ14" i="57"/>
  <c r="BI14" i="57"/>
  <c r="BH14" i="57"/>
  <c r="BG14" i="57"/>
  <c r="BF14" i="57"/>
  <c r="BE14" i="57"/>
  <c r="BD14" i="57"/>
  <c r="BC14" i="57"/>
  <c r="BB14" i="57"/>
  <c r="BA14" i="57"/>
  <c r="AZ14" i="57"/>
  <c r="AY14" i="57"/>
  <c r="AX14" i="57"/>
  <c r="AW14" i="57"/>
  <c r="AV14" i="57"/>
  <c r="AU14" i="57"/>
  <c r="AT14" i="57"/>
  <c r="AS14" i="57"/>
  <c r="AR14" i="57"/>
  <c r="AQ14" i="57"/>
  <c r="AP14" i="57"/>
  <c r="AO14" i="57"/>
  <c r="AN14" i="57"/>
  <c r="AM14" i="57"/>
  <c r="AL14" i="57"/>
  <c r="AK14" i="57"/>
  <c r="AJ14" i="57"/>
  <c r="AI14" i="57"/>
  <c r="AH14" i="57"/>
  <c r="AG14" i="57"/>
  <c r="AF14" i="57"/>
  <c r="AE14" i="57"/>
  <c r="AD14" i="57"/>
  <c r="AC14" i="57"/>
  <c r="AB14" i="57"/>
  <c r="AA14" i="57"/>
  <c r="Z14" i="57"/>
  <c r="Y14" i="57"/>
  <c r="X14" i="57"/>
  <c r="W14" i="57"/>
  <c r="V14" i="57"/>
  <c r="U14" i="57"/>
  <c r="T14" i="57"/>
  <c r="S14" i="57"/>
  <c r="R14" i="57"/>
  <c r="Q14" i="57"/>
  <c r="P14" i="57"/>
  <c r="O14" i="57"/>
  <c r="N14" i="57"/>
  <c r="M14" i="57"/>
  <c r="L14" i="57"/>
  <c r="K14" i="57"/>
  <c r="J14" i="57"/>
  <c r="I14" i="57"/>
  <c r="H14" i="57"/>
  <c r="G14" i="57"/>
  <c r="F14" i="57"/>
  <c r="E14" i="57"/>
  <c r="D14" i="57"/>
  <c r="C14" i="57"/>
  <c r="B14" i="57"/>
  <c r="AM55" i="41" l="1"/>
  <c r="AJ55" i="41"/>
  <c r="AI55" i="41"/>
  <c r="AH55" i="41"/>
  <c r="AG55" i="41"/>
  <c r="AF55" i="41"/>
  <c r="AE55" i="41"/>
  <c r="U55" i="41"/>
  <c r="T55" i="41"/>
  <c r="S55" i="41"/>
  <c r="C55" i="41"/>
  <c r="AM54" i="41"/>
  <c r="AJ54" i="41"/>
  <c r="AI54" i="41"/>
  <c r="AH54" i="41"/>
  <c r="AG54" i="41"/>
  <c r="AF54" i="41"/>
  <c r="AE54" i="41"/>
  <c r="U54" i="41"/>
  <c r="T54" i="41"/>
  <c r="S54" i="41"/>
  <c r="C54" i="41"/>
  <c r="C51" i="41"/>
  <c r="AV10" i="48"/>
  <c r="AN10" i="48"/>
  <c r="AL10" i="48"/>
  <c r="AF10" i="48"/>
  <c r="AD10" i="48"/>
  <c r="V10" i="48"/>
  <c r="T10" i="48"/>
  <c r="K10" i="48"/>
  <c r="G10" i="48"/>
  <c r="E10" i="48"/>
  <c r="D10" i="48"/>
  <c r="B10" i="48"/>
  <c r="T442" i="1"/>
  <c r="U442" i="1"/>
  <c r="V442" i="1"/>
  <c r="AF442" i="1"/>
  <c r="AG442" i="1"/>
  <c r="AH442" i="1"/>
  <c r="AI442" i="1"/>
  <c r="AJ442" i="1"/>
  <c r="AN442" i="1"/>
  <c r="T443" i="1"/>
  <c r="U443" i="1"/>
  <c r="V443" i="1"/>
  <c r="AF443" i="1"/>
  <c r="AG443" i="1"/>
  <c r="AH443" i="1"/>
  <c r="AI443" i="1"/>
  <c r="AJ443" i="1"/>
  <c r="AN443" i="1"/>
  <c r="T441" i="1"/>
  <c r="U441" i="1"/>
  <c r="V441" i="1"/>
  <c r="AF441" i="1"/>
  <c r="AG441" i="1"/>
  <c r="AH441" i="1"/>
  <c r="AI441" i="1"/>
  <c r="AJ441" i="1"/>
  <c r="AN441" i="1"/>
  <c r="T449" i="1"/>
  <c r="U449" i="1"/>
  <c r="V449" i="1"/>
  <c r="AF449" i="1"/>
  <c r="AG449" i="1"/>
  <c r="AH449" i="1"/>
  <c r="AI449" i="1"/>
  <c r="AJ449" i="1"/>
  <c r="AN449" i="1"/>
  <c r="T448" i="1"/>
  <c r="U448" i="1"/>
  <c r="V448" i="1"/>
  <c r="AF448" i="1"/>
  <c r="AG448" i="1"/>
  <c r="AH448" i="1"/>
  <c r="AI448" i="1"/>
  <c r="AJ448" i="1"/>
  <c r="AN448" i="1"/>
  <c r="T452" i="1"/>
  <c r="U452" i="1"/>
  <c r="V452" i="1"/>
  <c r="AF452" i="1"/>
  <c r="AG452" i="1"/>
  <c r="AH452" i="1"/>
  <c r="AI452" i="1"/>
  <c r="AJ452" i="1"/>
  <c r="AN452" i="1"/>
  <c r="T451" i="1"/>
  <c r="U451" i="1"/>
  <c r="V451" i="1"/>
  <c r="AF451" i="1"/>
  <c r="AG451" i="1"/>
  <c r="AH451" i="1"/>
  <c r="AI451" i="1"/>
  <c r="AJ451" i="1"/>
  <c r="AN451" i="1"/>
  <c r="T450" i="1"/>
  <c r="U450" i="1"/>
  <c r="V450" i="1"/>
  <c r="AF450" i="1"/>
  <c r="AG450" i="1"/>
  <c r="AH450" i="1"/>
  <c r="AI450" i="1"/>
  <c r="AJ450" i="1"/>
  <c r="AK622" i="1" s="1"/>
  <c r="AN450" i="1"/>
  <c r="T453" i="1"/>
  <c r="U453" i="1"/>
  <c r="V453" i="1"/>
  <c r="AF453" i="1"/>
  <c r="AG453" i="1"/>
  <c r="AH453" i="1"/>
  <c r="AI453" i="1"/>
  <c r="AJ453" i="1"/>
  <c r="AN453" i="1"/>
  <c r="T454" i="1"/>
  <c r="U454" i="1"/>
  <c r="V454" i="1"/>
  <c r="AF454" i="1"/>
  <c r="AG454" i="1"/>
  <c r="AH454" i="1"/>
  <c r="AI454" i="1"/>
  <c r="AJ454" i="1"/>
  <c r="AN454" i="1"/>
  <c r="T456" i="1"/>
  <c r="U456" i="1"/>
  <c r="V456" i="1"/>
  <c r="AF456" i="1"/>
  <c r="AG456" i="1"/>
  <c r="AH456" i="1"/>
  <c r="AI456" i="1"/>
  <c r="AJ456" i="1"/>
  <c r="AN456" i="1"/>
  <c r="T467" i="1"/>
  <c r="U467" i="1"/>
  <c r="V467" i="1"/>
  <c r="AF467" i="1"/>
  <c r="AG467" i="1"/>
  <c r="AH467" i="1"/>
  <c r="AI467" i="1"/>
  <c r="AJ467" i="1"/>
  <c r="AN467" i="1"/>
  <c r="T440" i="1"/>
  <c r="U440" i="1"/>
  <c r="V440" i="1"/>
  <c r="AF440" i="1"/>
  <c r="AG440" i="1"/>
  <c r="AH440" i="1"/>
  <c r="AI440" i="1"/>
  <c r="AJ440" i="1"/>
  <c r="AN440" i="1"/>
  <c r="T466" i="1"/>
  <c r="U466" i="1"/>
  <c r="V466" i="1"/>
  <c r="AF466" i="1"/>
  <c r="AG466" i="1"/>
  <c r="AH466" i="1"/>
  <c r="AI466" i="1"/>
  <c r="AJ466" i="1"/>
  <c r="AN466" i="1"/>
  <c r="T468" i="1"/>
  <c r="U468" i="1"/>
  <c r="V468" i="1"/>
  <c r="AF468" i="1"/>
  <c r="AG468" i="1"/>
  <c r="AH468" i="1"/>
  <c r="AI468" i="1"/>
  <c r="AJ468" i="1"/>
  <c r="AN468" i="1"/>
  <c r="T464" i="1"/>
  <c r="U464" i="1"/>
  <c r="V464" i="1"/>
  <c r="AF464" i="1"/>
  <c r="AG464" i="1"/>
  <c r="AH464" i="1"/>
  <c r="AI464" i="1"/>
  <c r="AJ464" i="1"/>
  <c r="AN464" i="1"/>
  <c r="T455" i="1"/>
  <c r="U455" i="1"/>
  <c r="V455" i="1"/>
  <c r="AF455" i="1"/>
  <c r="AG455" i="1"/>
  <c r="AH455" i="1"/>
  <c r="AI455" i="1"/>
  <c r="AJ455" i="1"/>
  <c r="AN455" i="1"/>
  <c r="T465" i="1"/>
  <c r="U465" i="1"/>
  <c r="V465" i="1"/>
  <c r="AF465" i="1"/>
  <c r="AG465" i="1"/>
  <c r="AH465" i="1"/>
  <c r="AI465" i="1"/>
  <c r="AJ465" i="1"/>
  <c r="AN465" i="1"/>
  <c r="T399" i="1"/>
  <c r="U399" i="1"/>
  <c r="V399" i="1"/>
  <c r="T4" i="1"/>
  <c r="AO4" i="1" s="1"/>
  <c r="T5" i="1"/>
  <c r="AO5" i="1" s="1"/>
  <c r="T6" i="1"/>
  <c r="AO6" i="1" s="1"/>
  <c r="T7" i="1"/>
  <c r="AO7" i="1" s="1"/>
  <c r="T8" i="1"/>
  <c r="AO8" i="1" s="1"/>
  <c r="T9" i="1"/>
  <c r="AO9" i="1" s="1"/>
  <c r="T10" i="1"/>
  <c r="AO10" i="1" s="1"/>
  <c r="T11" i="1"/>
  <c r="AO11" i="1" s="1"/>
  <c r="T12" i="1"/>
  <c r="AO12" i="1" s="1"/>
  <c r="T13" i="1"/>
  <c r="AO13" i="1" s="1"/>
  <c r="T14" i="1"/>
  <c r="AO14" i="1" s="1"/>
  <c r="T15" i="1"/>
  <c r="AO15" i="1" s="1"/>
  <c r="T16" i="1"/>
  <c r="AO16" i="1" s="1"/>
  <c r="T17" i="1"/>
  <c r="AO17" i="1" s="1"/>
  <c r="T18" i="1"/>
  <c r="AO18" i="1" s="1"/>
  <c r="T19" i="1"/>
  <c r="AO19" i="1" s="1"/>
  <c r="T20" i="1"/>
  <c r="AO20" i="1" s="1"/>
  <c r="T21" i="1"/>
  <c r="AO21" i="1" s="1"/>
  <c r="T23" i="1"/>
  <c r="AO23" i="1" s="1"/>
  <c r="T22" i="1"/>
  <c r="AO22" i="1" s="1"/>
  <c r="T24" i="1"/>
  <c r="AO24" i="1" s="1"/>
  <c r="T25" i="1"/>
  <c r="AO25" i="1" s="1"/>
  <c r="T26" i="1"/>
  <c r="AO26" i="1" s="1"/>
  <c r="T27" i="1"/>
  <c r="AO27" i="1" s="1"/>
  <c r="T28" i="1"/>
  <c r="AO28" i="1" s="1"/>
  <c r="T29" i="1"/>
  <c r="AO29" i="1" s="1"/>
  <c r="T30" i="1"/>
  <c r="AO30" i="1" s="1"/>
  <c r="T31" i="1"/>
  <c r="AO31" i="1" s="1"/>
  <c r="T32" i="1"/>
  <c r="AO32" i="1" s="1"/>
  <c r="T33" i="1"/>
  <c r="AO33" i="1" s="1"/>
  <c r="T34" i="1"/>
  <c r="AO34" i="1" s="1"/>
  <c r="T35" i="1"/>
  <c r="AO35" i="1" s="1"/>
  <c r="T36" i="1"/>
  <c r="AO36" i="1" s="1"/>
  <c r="T37" i="1"/>
  <c r="AO37" i="1" s="1"/>
  <c r="T38" i="1"/>
  <c r="AO38" i="1" s="1"/>
  <c r="T39" i="1"/>
  <c r="AO39" i="1" s="1"/>
  <c r="T40" i="1"/>
  <c r="AO40" i="1" s="1"/>
  <c r="T41" i="1"/>
  <c r="AO41" i="1" s="1"/>
  <c r="T42" i="1"/>
  <c r="AO42" i="1" s="1"/>
  <c r="T43" i="1"/>
  <c r="AO43" i="1" s="1"/>
  <c r="T44" i="1"/>
  <c r="AO44" i="1" s="1"/>
  <c r="T45" i="1"/>
  <c r="AO45" i="1" s="1"/>
  <c r="T46" i="1"/>
  <c r="AO46" i="1" s="1"/>
  <c r="T47" i="1"/>
  <c r="AO47" i="1" s="1"/>
  <c r="T48" i="1"/>
  <c r="AO48" i="1" s="1"/>
  <c r="T49" i="1"/>
  <c r="AO49" i="1" s="1"/>
  <c r="T50" i="1"/>
  <c r="AO50" i="1" s="1"/>
  <c r="T51" i="1"/>
  <c r="AO51" i="1" s="1"/>
  <c r="T52" i="1"/>
  <c r="AO52" i="1" s="1"/>
  <c r="T53" i="1"/>
  <c r="AO53" i="1" s="1"/>
  <c r="T54" i="1"/>
  <c r="AO54" i="1" s="1"/>
  <c r="T55" i="1"/>
  <c r="AO55" i="1" s="1"/>
  <c r="T56" i="1"/>
  <c r="AO56" i="1" s="1"/>
  <c r="T57" i="1"/>
  <c r="AO57" i="1" s="1"/>
  <c r="T58" i="1"/>
  <c r="AO58" i="1" s="1"/>
  <c r="T59" i="1"/>
  <c r="AO59" i="1" s="1"/>
  <c r="T60" i="1"/>
  <c r="AO60" i="1" s="1"/>
  <c r="T61" i="1"/>
  <c r="AO61" i="1" s="1"/>
  <c r="T62" i="1"/>
  <c r="AO62" i="1" s="1"/>
  <c r="T63" i="1"/>
  <c r="AO63" i="1" s="1"/>
  <c r="T64" i="1"/>
  <c r="AO64" i="1" s="1"/>
  <c r="T65" i="1"/>
  <c r="AO65" i="1" s="1"/>
  <c r="T66" i="1"/>
  <c r="AO66" i="1" s="1"/>
  <c r="T67" i="1"/>
  <c r="AO67" i="1" s="1"/>
  <c r="T68" i="1"/>
  <c r="AO68" i="1" s="1"/>
  <c r="T69" i="1"/>
  <c r="AO69" i="1" s="1"/>
  <c r="T70" i="1"/>
  <c r="AO70" i="1" s="1"/>
  <c r="T71" i="1"/>
  <c r="AO71" i="1" s="1"/>
  <c r="T72" i="1"/>
  <c r="AO72" i="1" s="1"/>
  <c r="T73" i="1"/>
  <c r="AO73" i="1" s="1"/>
  <c r="T74" i="1"/>
  <c r="AO74" i="1" s="1"/>
  <c r="T75" i="1"/>
  <c r="AO75" i="1" s="1"/>
  <c r="T76" i="1"/>
  <c r="AO76" i="1" s="1"/>
  <c r="T77" i="1"/>
  <c r="AO77" i="1" s="1"/>
  <c r="T78" i="1"/>
  <c r="AO78" i="1" s="1"/>
  <c r="T79" i="1"/>
  <c r="AO79" i="1" s="1"/>
  <c r="T80" i="1"/>
  <c r="AO80" i="1" s="1"/>
  <c r="T81" i="1"/>
  <c r="AO81" i="1" s="1"/>
  <c r="T83" i="1"/>
  <c r="AO83" i="1" s="1"/>
  <c r="T84" i="1"/>
  <c r="AO84" i="1" s="1"/>
  <c r="T82" i="1"/>
  <c r="AO82" i="1" s="1"/>
  <c r="T85" i="1"/>
  <c r="AO85" i="1" s="1"/>
  <c r="T86" i="1"/>
  <c r="AO86" i="1" s="1"/>
  <c r="T87" i="1"/>
  <c r="AO87" i="1" s="1"/>
  <c r="T88" i="1"/>
  <c r="AO88" i="1" s="1"/>
  <c r="T89" i="1"/>
  <c r="AO89" i="1" s="1"/>
  <c r="T90" i="1"/>
  <c r="AO90" i="1" s="1"/>
  <c r="T91" i="1"/>
  <c r="AO91" i="1" s="1"/>
  <c r="T92" i="1"/>
  <c r="AO92" i="1" s="1"/>
  <c r="T93" i="1"/>
  <c r="AO93" i="1" s="1"/>
  <c r="T94" i="1"/>
  <c r="AO94" i="1" s="1"/>
  <c r="T95" i="1"/>
  <c r="AO95" i="1" s="1"/>
  <c r="T96" i="1"/>
  <c r="AO96" i="1" s="1"/>
  <c r="T97" i="1"/>
  <c r="AO97" i="1" s="1"/>
  <c r="T98" i="1"/>
  <c r="AO98" i="1" s="1"/>
  <c r="T99" i="1"/>
  <c r="AO99" i="1" s="1"/>
  <c r="T100" i="1"/>
  <c r="AO100" i="1" s="1"/>
  <c r="T101" i="1"/>
  <c r="AO101" i="1" s="1"/>
  <c r="T102" i="1"/>
  <c r="AO102" i="1" s="1"/>
  <c r="T103" i="1"/>
  <c r="AO103" i="1" s="1"/>
  <c r="T104" i="1"/>
  <c r="AO104" i="1" s="1"/>
  <c r="T105" i="1"/>
  <c r="AO105" i="1" s="1"/>
  <c r="T106" i="1"/>
  <c r="AO106" i="1" s="1"/>
  <c r="T107" i="1"/>
  <c r="AO107" i="1" s="1"/>
  <c r="T108" i="1"/>
  <c r="AO108" i="1" s="1"/>
  <c r="T109" i="1"/>
  <c r="AO109" i="1" s="1"/>
  <c r="T110" i="1"/>
  <c r="AO110" i="1" s="1"/>
  <c r="T111" i="1"/>
  <c r="AO111" i="1" s="1"/>
  <c r="T112" i="1"/>
  <c r="AO112" i="1" s="1"/>
  <c r="T113" i="1"/>
  <c r="AO113" i="1" s="1"/>
  <c r="T114" i="1"/>
  <c r="AO114" i="1" s="1"/>
  <c r="T115" i="1"/>
  <c r="AO115" i="1" s="1"/>
  <c r="T116" i="1"/>
  <c r="AO116" i="1" s="1"/>
  <c r="T117" i="1"/>
  <c r="AO117" i="1" s="1"/>
  <c r="T118" i="1"/>
  <c r="AO118" i="1" s="1"/>
  <c r="T119" i="1"/>
  <c r="T120" i="1"/>
  <c r="AO120" i="1" s="1"/>
  <c r="T121" i="1"/>
  <c r="AO121" i="1" s="1"/>
  <c r="T122" i="1"/>
  <c r="AO122" i="1" s="1"/>
  <c r="T123" i="1"/>
  <c r="AO123" i="1" s="1"/>
  <c r="T124" i="1"/>
  <c r="T125" i="1"/>
  <c r="AO125" i="1" s="1"/>
  <c r="T126" i="1"/>
  <c r="AO126" i="1" s="1"/>
  <c r="T127" i="1"/>
  <c r="AO127" i="1" s="1"/>
  <c r="T128" i="1"/>
  <c r="AO128" i="1" s="1"/>
  <c r="T129" i="1"/>
  <c r="AO129" i="1" s="1"/>
  <c r="T130" i="1"/>
  <c r="AO130" i="1" s="1"/>
  <c r="T131" i="1"/>
  <c r="AO131" i="1" s="1"/>
  <c r="T132" i="1"/>
  <c r="AO132" i="1" s="1"/>
  <c r="T133" i="1"/>
  <c r="AO133" i="1" s="1"/>
  <c r="T134" i="1"/>
  <c r="AO134" i="1" s="1"/>
  <c r="T135" i="1"/>
  <c r="AO135" i="1" s="1"/>
  <c r="T136" i="1"/>
  <c r="AO136" i="1" s="1"/>
  <c r="T137" i="1"/>
  <c r="AO137" i="1" s="1"/>
  <c r="T139" i="1"/>
  <c r="AO139" i="1" s="1"/>
  <c r="T138" i="1"/>
  <c r="AO138" i="1" s="1"/>
  <c r="T140" i="1"/>
  <c r="AO140" i="1" s="1"/>
  <c r="T141" i="1"/>
  <c r="AO141" i="1" s="1"/>
  <c r="T142" i="1"/>
  <c r="AO142" i="1" s="1"/>
  <c r="T143" i="1"/>
  <c r="AO143" i="1" s="1"/>
  <c r="T144" i="1"/>
  <c r="AO144" i="1" s="1"/>
  <c r="T146" i="1"/>
  <c r="AO146" i="1" s="1"/>
  <c r="T145" i="1"/>
  <c r="AO145" i="1" s="1"/>
  <c r="T147" i="1"/>
  <c r="AO147" i="1" s="1"/>
  <c r="T148" i="1"/>
  <c r="AO148" i="1" s="1"/>
  <c r="T150" i="1"/>
  <c r="AO150" i="1" s="1"/>
  <c r="T149" i="1"/>
  <c r="AO149" i="1" s="1"/>
  <c r="T151" i="1"/>
  <c r="AO151" i="1" s="1"/>
  <c r="T155" i="1"/>
  <c r="AO155" i="1" s="1"/>
  <c r="T152" i="1"/>
  <c r="AO152" i="1" s="1"/>
  <c r="T153" i="1"/>
  <c r="AO153" i="1" s="1"/>
  <c r="T154" i="1"/>
  <c r="AO154" i="1" s="1"/>
  <c r="T156" i="1"/>
  <c r="AO156" i="1" s="1"/>
  <c r="T157" i="1"/>
  <c r="AO157" i="1" s="1"/>
  <c r="T158" i="1"/>
  <c r="AO158" i="1" s="1"/>
  <c r="T159" i="1"/>
  <c r="AO159" i="1" s="1"/>
  <c r="T160" i="1"/>
  <c r="AO160" i="1" s="1"/>
  <c r="T161" i="1"/>
  <c r="AO161" i="1" s="1"/>
  <c r="T162" i="1"/>
  <c r="AO162" i="1" s="1"/>
  <c r="T163" i="1"/>
  <c r="AO163" i="1" s="1"/>
  <c r="T164" i="1"/>
  <c r="AO164" i="1" s="1"/>
  <c r="T168" i="1"/>
  <c r="AO168" i="1" s="1"/>
  <c r="T165" i="1"/>
  <c r="AO165" i="1" s="1"/>
  <c r="T166" i="1"/>
  <c r="AO166" i="1" s="1"/>
  <c r="T167" i="1"/>
  <c r="AO167" i="1" s="1"/>
  <c r="T173" i="1"/>
  <c r="AO173" i="1" s="1"/>
  <c r="T169" i="1"/>
  <c r="AO169" i="1" s="1"/>
  <c r="T170" i="1"/>
  <c r="AO170" i="1" s="1"/>
  <c r="T171" i="1"/>
  <c r="AO171" i="1" s="1"/>
  <c r="T172" i="1"/>
  <c r="AO172" i="1" s="1"/>
  <c r="T174" i="1"/>
  <c r="AO174" i="1" s="1"/>
  <c r="T175" i="1"/>
  <c r="AO175" i="1" s="1"/>
  <c r="T176" i="1"/>
  <c r="AO176" i="1" s="1"/>
  <c r="T177" i="1"/>
  <c r="AO177" i="1" s="1"/>
  <c r="T178" i="1"/>
  <c r="AO178" i="1" s="1"/>
  <c r="T179" i="1"/>
  <c r="AO179" i="1" s="1"/>
  <c r="T180" i="1"/>
  <c r="AO180" i="1" s="1"/>
  <c r="T181" i="1"/>
  <c r="AO181" i="1" s="1"/>
  <c r="T184" i="1"/>
  <c r="AO184" i="1" s="1"/>
  <c r="T182" i="1"/>
  <c r="AO182" i="1" s="1"/>
  <c r="T183" i="1"/>
  <c r="AO183" i="1" s="1"/>
  <c r="T185" i="1"/>
  <c r="AO185" i="1" s="1"/>
  <c r="T187" i="1"/>
  <c r="AO187" i="1" s="1"/>
  <c r="T186" i="1"/>
  <c r="AO186" i="1" s="1"/>
  <c r="T188" i="1"/>
  <c r="AO188" i="1" s="1"/>
  <c r="T189" i="1"/>
  <c r="AO189" i="1" s="1"/>
  <c r="T190" i="1"/>
  <c r="AO190" i="1" s="1"/>
  <c r="T192" i="1"/>
  <c r="AO192" i="1" s="1"/>
  <c r="T191" i="1"/>
  <c r="AO191" i="1" s="1"/>
  <c r="T193" i="1"/>
  <c r="AO193" i="1" s="1"/>
  <c r="T194" i="1"/>
  <c r="AO194" i="1" s="1"/>
  <c r="T195" i="1"/>
  <c r="AO195" i="1" s="1"/>
  <c r="T196" i="1"/>
  <c r="AO196" i="1" s="1"/>
  <c r="T197" i="1"/>
  <c r="AO197" i="1" s="1"/>
  <c r="T198" i="1"/>
  <c r="AO198" i="1" s="1"/>
  <c r="T199" i="1"/>
  <c r="AO199" i="1" s="1"/>
  <c r="T200" i="1"/>
  <c r="AO200" i="1" s="1"/>
  <c r="T201" i="1"/>
  <c r="AO201" i="1" s="1"/>
  <c r="T202" i="1"/>
  <c r="AO202" i="1" s="1"/>
  <c r="T203" i="1"/>
  <c r="AO203" i="1" s="1"/>
  <c r="T206" i="1"/>
  <c r="AO206" i="1" s="1"/>
  <c r="T204" i="1"/>
  <c r="AO204" i="1" s="1"/>
  <c r="T205" i="1"/>
  <c r="AO205" i="1" s="1"/>
  <c r="T208" i="1"/>
  <c r="AO208" i="1" s="1"/>
  <c r="T207" i="1"/>
  <c r="AO207" i="1" s="1"/>
  <c r="T209" i="1"/>
  <c r="AO209" i="1" s="1"/>
  <c r="T210" i="1"/>
  <c r="AO210" i="1" s="1"/>
  <c r="T211" i="1"/>
  <c r="AO211" i="1" s="1"/>
  <c r="T212" i="1"/>
  <c r="AO212" i="1" s="1"/>
  <c r="T213" i="1"/>
  <c r="AO213" i="1" s="1"/>
  <c r="T214" i="1"/>
  <c r="AO214" i="1" s="1"/>
  <c r="T215" i="1"/>
  <c r="AO215" i="1" s="1"/>
  <c r="T216" i="1"/>
  <c r="AO216" i="1" s="1"/>
  <c r="T217" i="1"/>
  <c r="AO217" i="1" s="1"/>
  <c r="T218" i="1"/>
  <c r="AO218" i="1" s="1"/>
  <c r="T220" i="1"/>
  <c r="AO220" i="1" s="1"/>
  <c r="T219" i="1"/>
  <c r="AO219" i="1" s="1"/>
  <c r="T221" i="1"/>
  <c r="AO221" i="1" s="1"/>
  <c r="T223" i="1"/>
  <c r="AO223" i="1" s="1"/>
  <c r="T222" i="1"/>
  <c r="AO222" i="1" s="1"/>
  <c r="T225" i="1"/>
  <c r="AO225" i="1" s="1"/>
  <c r="T224" i="1"/>
  <c r="AO224" i="1" s="1"/>
  <c r="T228" i="1"/>
  <c r="AO228" i="1" s="1"/>
  <c r="T229" i="1"/>
  <c r="AO229" i="1" s="1"/>
  <c r="T227" i="1"/>
  <c r="AO227" i="1" s="1"/>
  <c r="T226" i="1"/>
  <c r="AO226" i="1" s="1"/>
  <c r="T230" i="1"/>
  <c r="AO230" i="1" s="1"/>
  <c r="T231" i="1"/>
  <c r="AO231" i="1" s="1"/>
  <c r="T232" i="1"/>
  <c r="AO232" i="1" s="1"/>
  <c r="T233" i="1"/>
  <c r="AO233" i="1" s="1"/>
  <c r="T234" i="1"/>
  <c r="AO234" i="1" s="1"/>
  <c r="T235" i="1"/>
  <c r="AO235" i="1" s="1"/>
  <c r="T236" i="1"/>
  <c r="AO236" i="1" s="1"/>
  <c r="T237" i="1"/>
  <c r="AO237" i="1" s="1"/>
  <c r="T238" i="1"/>
  <c r="AO238" i="1" s="1"/>
  <c r="T239" i="1"/>
  <c r="AO239" i="1" s="1"/>
  <c r="T240" i="1"/>
  <c r="AO240" i="1" s="1"/>
  <c r="T241" i="1"/>
  <c r="AO241" i="1" s="1"/>
  <c r="T242" i="1"/>
  <c r="AO242" i="1" s="1"/>
  <c r="T243" i="1"/>
  <c r="AO243" i="1" s="1"/>
  <c r="T244" i="1"/>
  <c r="AO244" i="1" s="1"/>
  <c r="T245" i="1"/>
  <c r="AO245" i="1" s="1"/>
  <c r="T246" i="1"/>
  <c r="AO246" i="1" s="1"/>
  <c r="T247" i="1"/>
  <c r="AO247" i="1" s="1"/>
  <c r="T248" i="1"/>
  <c r="AO248" i="1" s="1"/>
  <c r="T249" i="1"/>
  <c r="AO249" i="1" s="1"/>
  <c r="T250" i="1"/>
  <c r="AO250" i="1" s="1"/>
  <c r="T251" i="1"/>
  <c r="AO251" i="1" s="1"/>
  <c r="T252" i="1"/>
  <c r="AO252" i="1" s="1"/>
  <c r="T253" i="1"/>
  <c r="AO253" i="1" s="1"/>
  <c r="T254" i="1"/>
  <c r="AO254" i="1" s="1"/>
  <c r="T255" i="1"/>
  <c r="AO255" i="1" s="1"/>
  <c r="T256" i="1"/>
  <c r="AO256" i="1" s="1"/>
  <c r="T257" i="1"/>
  <c r="AO257" i="1" s="1"/>
  <c r="T258" i="1"/>
  <c r="AO258" i="1" s="1"/>
  <c r="T259" i="1"/>
  <c r="AO259" i="1" s="1"/>
  <c r="T260" i="1"/>
  <c r="AO260" i="1" s="1"/>
  <c r="T261" i="1"/>
  <c r="AO261" i="1" s="1"/>
  <c r="T262" i="1"/>
  <c r="AO262" i="1" s="1"/>
  <c r="T265" i="1"/>
  <c r="AO265" i="1" s="1"/>
  <c r="T264" i="1"/>
  <c r="AO264" i="1" s="1"/>
  <c r="T263" i="1"/>
  <c r="AO263" i="1" s="1"/>
  <c r="T266" i="1"/>
  <c r="AO266" i="1" s="1"/>
  <c r="T267" i="1"/>
  <c r="AO267" i="1" s="1"/>
  <c r="T268" i="1"/>
  <c r="AO268" i="1" s="1"/>
  <c r="T270" i="1"/>
  <c r="AO270" i="1" s="1"/>
  <c r="T269" i="1"/>
  <c r="AO269" i="1" s="1"/>
  <c r="T271" i="1"/>
  <c r="AO271" i="1" s="1"/>
  <c r="T272" i="1"/>
  <c r="AO272" i="1" s="1"/>
  <c r="T273" i="1"/>
  <c r="AO273" i="1" s="1"/>
  <c r="T274" i="1"/>
  <c r="AO274" i="1" s="1"/>
  <c r="T275" i="1"/>
  <c r="AO275" i="1" s="1"/>
  <c r="T277" i="1"/>
  <c r="AO277" i="1" s="1"/>
  <c r="T276" i="1"/>
  <c r="AO276" i="1" s="1"/>
  <c r="T278" i="1"/>
  <c r="AO278" i="1" s="1"/>
  <c r="T279" i="1"/>
  <c r="AO279" i="1" s="1"/>
  <c r="T280" i="1"/>
  <c r="AO280" i="1" s="1"/>
  <c r="T281" i="1"/>
  <c r="AO281" i="1" s="1"/>
  <c r="T282" i="1"/>
  <c r="AO282" i="1" s="1"/>
  <c r="T283" i="1"/>
  <c r="AO283" i="1" s="1"/>
  <c r="T284" i="1"/>
  <c r="AO284" i="1" s="1"/>
  <c r="T286" i="1"/>
  <c r="AO286" i="1" s="1"/>
  <c r="T285" i="1"/>
  <c r="AO285" i="1" s="1"/>
  <c r="T292" i="1"/>
  <c r="AO292" i="1" s="1"/>
  <c r="T287" i="1"/>
  <c r="AO287" i="1" s="1"/>
  <c r="T288" i="1"/>
  <c r="AO288" i="1" s="1"/>
  <c r="T289" i="1"/>
  <c r="AO289" i="1" s="1"/>
  <c r="T290" i="1"/>
  <c r="AO290" i="1" s="1"/>
  <c r="T296" i="1"/>
  <c r="AO296" i="1" s="1"/>
  <c r="T291" i="1"/>
  <c r="AO291" i="1" s="1"/>
  <c r="T293" i="1"/>
  <c r="AO293" i="1" s="1"/>
  <c r="T294" i="1"/>
  <c r="AO294" i="1" s="1"/>
  <c r="T295" i="1"/>
  <c r="AO295" i="1" s="1"/>
  <c r="T297" i="1"/>
  <c r="AO297" i="1" s="1"/>
  <c r="T298" i="1"/>
  <c r="AO298" i="1" s="1"/>
  <c r="T299" i="1"/>
  <c r="AO299" i="1" s="1"/>
  <c r="T303" i="1"/>
  <c r="AO303" i="1" s="1"/>
  <c r="T300" i="1"/>
  <c r="AO300" i="1" s="1"/>
  <c r="T301" i="1"/>
  <c r="AO301" i="1" s="1"/>
  <c r="T302" i="1"/>
  <c r="AO302" i="1" s="1"/>
  <c r="T304" i="1"/>
  <c r="AO304" i="1" s="1"/>
  <c r="T305" i="1"/>
  <c r="AO305" i="1" s="1"/>
  <c r="T306" i="1"/>
  <c r="AO306" i="1" s="1"/>
  <c r="T307" i="1"/>
  <c r="AO307" i="1" s="1"/>
  <c r="T308" i="1"/>
  <c r="AO308" i="1" s="1"/>
  <c r="T312" i="1"/>
  <c r="AO312" i="1" s="1"/>
  <c r="T309" i="1"/>
  <c r="AO309" i="1" s="1"/>
  <c r="T310" i="1"/>
  <c r="AO310" i="1" s="1"/>
  <c r="T311" i="1"/>
  <c r="AO311" i="1" s="1"/>
  <c r="T313" i="1"/>
  <c r="AO313" i="1" s="1"/>
  <c r="T314" i="1"/>
  <c r="AO314" i="1" s="1"/>
  <c r="T315" i="1"/>
  <c r="AO315" i="1" s="1"/>
  <c r="T316" i="1"/>
  <c r="AO316" i="1" s="1"/>
  <c r="T317" i="1"/>
  <c r="AO317" i="1" s="1"/>
  <c r="T318" i="1"/>
  <c r="AO318" i="1" s="1"/>
  <c r="T319" i="1"/>
  <c r="AO319" i="1" s="1"/>
  <c r="T320" i="1"/>
  <c r="AO320" i="1" s="1"/>
  <c r="T321" i="1"/>
  <c r="AO321" i="1" s="1"/>
  <c r="T322" i="1"/>
  <c r="AO322" i="1" s="1"/>
  <c r="T323" i="1"/>
  <c r="AO323" i="1" s="1"/>
  <c r="T328" i="1"/>
  <c r="AO328" i="1" s="1"/>
  <c r="T324" i="1"/>
  <c r="AO324" i="1" s="1"/>
  <c r="T326" i="1"/>
  <c r="AO326" i="1" s="1"/>
  <c r="T327" i="1"/>
  <c r="AO327" i="1" s="1"/>
  <c r="T329" i="1"/>
  <c r="AO329" i="1" s="1"/>
  <c r="T330" i="1"/>
  <c r="AO330" i="1" s="1"/>
  <c r="T336" i="1"/>
  <c r="AO336" i="1" s="1"/>
  <c r="T331" i="1"/>
  <c r="AO331" i="1" s="1"/>
  <c r="T332" i="1"/>
  <c r="AO332" i="1" s="1"/>
  <c r="T333" i="1"/>
  <c r="AO333" i="1" s="1"/>
  <c r="T335" i="1"/>
  <c r="AO335" i="1" s="1"/>
  <c r="T334" i="1"/>
  <c r="AO334" i="1" s="1"/>
  <c r="T337" i="1"/>
  <c r="AO337" i="1" s="1"/>
  <c r="T340" i="1"/>
  <c r="T338" i="1"/>
  <c r="T341" i="1"/>
  <c r="T339" i="1"/>
  <c r="T345" i="1"/>
  <c r="AO345" i="1" s="1"/>
  <c r="T342" i="1"/>
  <c r="AO342" i="1" s="1"/>
  <c r="T344" i="1"/>
  <c r="T343" i="1"/>
  <c r="T348" i="1"/>
  <c r="T347" i="1"/>
  <c r="T346" i="1"/>
  <c r="T349" i="1"/>
  <c r="AO349" i="1" s="1"/>
  <c r="T350" i="1"/>
  <c r="AO350" i="1" s="1"/>
  <c r="T353" i="1"/>
  <c r="T351" i="1"/>
  <c r="T352" i="1"/>
  <c r="T354" i="1"/>
  <c r="T360" i="1"/>
  <c r="AO360" i="1" s="1"/>
  <c r="T358" i="1"/>
  <c r="T357" i="1"/>
  <c r="T359" i="1"/>
  <c r="T355" i="1"/>
  <c r="T356" i="1"/>
  <c r="T361" i="1"/>
  <c r="AO361" i="1" s="1"/>
  <c r="T362" i="1"/>
  <c r="AO362" i="1" s="1"/>
  <c r="T363" i="1"/>
  <c r="AO363" i="1" s="1"/>
  <c r="T365" i="1"/>
  <c r="AO365" i="1" s="1"/>
  <c r="T364" i="1"/>
  <c r="AO364" i="1" s="1"/>
  <c r="T366" i="1"/>
  <c r="AO366" i="1" s="1"/>
  <c r="T367" i="1"/>
  <c r="AO367" i="1" s="1"/>
  <c r="T370" i="1"/>
  <c r="AO370" i="1" s="1"/>
  <c r="T368" i="1"/>
  <c r="AO368" i="1" s="1"/>
  <c r="T369" i="1"/>
  <c r="AO369" i="1" s="1"/>
  <c r="T373" i="1"/>
  <c r="AO373" i="1" s="1"/>
  <c r="T375" i="1"/>
  <c r="AO375" i="1" s="1"/>
  <c r="T372" i="1"/>
  <c r="AO372" i="1" s="1"/>
  <c r="T378" i="1"/>
  <c r="AO378" i="1" s="1"/>
  <c r="T379" i="1"/>
  <c r="AO379" i="1" s="1"/>
  <c r="T371" i="1"/>
  <c r="AO371" i="1" s="1"/>
  <c r="T376" i="1"/>
  <c r="AO376" i="1" s="1"/>
  <c r="T377" i="1"/>
  <c r="AO377" i="1" s="1"/>
  <c r="T380" i="1"/>
  <c r="AO380" i="1" s="1"/>
  <c r="T381" i="1"/>
  <c r="AO381" i="1" s="1"/>
  <c r="T383" i="1"/>
  <c r="AO383" i="1" s="1"/>
  <c r="T382" i="1"/>
  <c r="AO382" i="1" s="1"/>
  <c r="T384" i="1"/>
  <c r="AO384" i="1" s="1"/>
  <c r="T385" i="1"/>
  <c r="AO385" i="1" s="1"/>
  <c r="T386" i="1"/>
  <c r="AO386" i="1" s="1"/>
  <c r="T387" i="1"/>
  <c r="AO387" i="1" s="1"/>
  <c r="T388" i="1"/>
  <c r="AO388" i="1" s="1"/>
  <c r="T390" i="1"/>
  <c r="AO390" i="1" s="1"/>
  <c r="T389" i="1"/>
  <c r="AO389" i="1" s="1"/>
  <c r="T397" i="1"/>
  <c r="AO397" i="1" s="1"/>
  <c r="T391" i="1"/>
  <c r="AO391" i="1" s="1"/>
  <c r="T394" i="1"/>
  <c r="AO394" i="1" s="1"/>
  <c r="T393" i="1"/>
  <c r="AO393" i="1" s="1"/>
  <c r="T392" i="1"/>
  <c r="AO392" i="1" s="1"/>
  <c r="T395" i="1"/>
  <c r="AO395" i="1" s="1"/>
  <c r="T396" i="1"/>
  <c r="AO396" i="1" s="1"/>
  <c r="T398" i="1"/>
  <c r="AO398" i="1" s="1"/>
  <c r="T403" i="1"/>
  <c r="AO403" i="1" s="1"/>
  <c r="T404" i="1"/>
  <c r="AO404" i="1" s="1"/>
  <c r="T405" i="1"/>
  <c r="AO405" i="1" s="1"/>
  <c r="T420" i="1"/>
  <c r="AO420" i="1" s="1"/>
  <c r="T422" i="1"/>
  <c r="AO422" i="1" s="1"/>
  <c r="T421" i="1"/>
  <c r="AO421" i="1" s="1"/>
  <c r="T424" i="1"/>
  <c r="AO424" i="1" s="1"/>
  <c r="T429" i="1"/>
  <c r="AO429" i="1" s="1"/>
  <c r="T445" i="1"/>
  <c r="AO445" i="1" s="1"/>
  <c r="T425" i="1"/>
  <c r="AO425" i="1" s="1"/>
  <c r="T426" i="1"/>
  <c r="AO426" i="1" s="1"/>
  <c r="T427" i="1"/>
  <c r="AO427" i="1" s="1"/>
  <c r="T428" i="1"/>
  <c r="AO428" i="1" s="1"/>
  <c r="T430" i="1"/>
  <c r="AO430" i="1" s="1"/>
  <c r="T434" i="1"/>
  <c r="AO434" i="1" s="1"/>
  <c r="T431" i="1"/>
  <c r="AO431" i="1" s="1"/>
  <c r="T433" i="1"/>
  <c r="AO433" i="1" s="1"/>
  <c r="T432" i="1"/>
  <c r="AO432" i="1" s="1"/>
  <c r="T435" i="1"/>
  <c r="AO435" i="1" s="1"/>
  <c r="T436" i="1"/>
  <c r="AO436" i="1" s="1"/>
  <c r="T437" i="1"/>
  <c r="AO437" i="1" s="1"/>
  <c r="T438" i="1"/>
  <c r="AO438" i="1" s="1"/>
  <c r="T439" i="1"/>
  <c r="AO439" i="1" s="1"/>
  <c r="T444" i="1"/>
  <c r="AO444" i="1" s="1"/>
  <c r="T446" i="1"/>
  <c r="AO446" i="1" s="1"/>
  <c r="T447" i="1"/>
  <c r="AO447" i="1" s="1"/>
  <c r="T457" i="1"/>
  <c r="AO457" i="1" s="1"/>
  <c r="T462" i="1"/>
  <c r="AO462" i="1" s="1"/>
  <c r="T461" i="1"/>
  <c r="AO461" i="1" s="1"/>
  <c r="T458" i="1"/>
  <c r="AO458" i="1" s="1"/>
  <c r="T584" i="1"/>
  <c r="T459" i="1"/>
  <c r="AO459" i="1" s="1"/>
  <c r="T460" i="1"/>
  <c r="AO460" i="1" s="1"/>
  <c r="T463" i="1"/>
  <c r="AO463" i="1" s="1"/>
  <c r="T470" i="1"/>
  <c r="AO470" i="1" s="1"/>
  <c r="T469" i="1"/>
  <c r="AO469" i="1" s="1"/>
  <c r="T471" i="1"/>
  <c r="AO471" i="1" s="1"/>
  <c r="T472" i="1"/>
  <c r="AO472" i="1" s="1"/>
  <c r="T473" i="1"/>
  <c r="AO473" i="1" s="1"/>
  <c r="T474" i="1"/>
  <c r="AO474" i="1" s="1"/>
  <c r="T475" i="1"/>
  <c r="AO475" i="1" s="1"/>
  <c r="T476" i="1"/>
  <c r="AO476" i="1" s="1"/>
  <c r="T477" i="1"/>
  <c r="T480" i="1"/>
  <c r="T478" i="1"/>
  <c r="T479" i="1"/>
  <c r="T484" i="1"/>
  <c r="T493" i="1"/>
  <c r="T492" i="1"/>
  <c r="T494" i="1"/>
  <c r="T495" i="1"/>
  <c r="T499" i="1"/>
  <c r="T505" i="1"/>
  <c r="T504" i="1"/>
  <c r="T506" i="1"/>
  <c r="T531" i="1"/>
  <c r="T552" i="1"/>
  <c r="X552" i="1" s="1"/>
  <c r="T510" i="1"/>
  <c r="T518" i="1"/>
  <c r="T519" i="1"/>
  <c r="T520" i="1"/>
  <c r="T521" i="1"/>
  <c r="T522" i="1"/>
  <c r="T546" i="1"/>
  <c r="X546" i="1" s="1"/>
  <c r="T524" i="1"/>
  <c r="T528" i="1"/>
  <c r="T529" i="1"/>
  <c r="T532" i="1"/>
  <c r="T533" i="1"/>
  <c r="T534" i="1"/>
  <c r="T535" i="1"/>
  <c r="T612" i="1"/>
  <c r="X612" i="1" s="1"/>
  <c r="T582" i="1"/>
  <c r="X582" i="1" s="1"/>
  <c r="T539" i="1"/>
  <c r="T540" i="1"/>
  <c r="T541" i="1"/>
  <c r="X541" i="1" s="1"/>
  <c r="T542" i="1"/>
  <c r="X542" i="1" s="1"/>
  <c r="T544" i="1"/>
  <c r="X544" i="1" s="1"/>
  <c r="T545" i="1"/>
  <c r="X545" i="1" s="1"/>
  <c r="T627" i="1"/>
  <c r="X627" i="1" s="1"/>
  <c r="T550" i="1"/>
  <c r="X550" i="1" s="1"/>
  <c r="T551" i="1"/>
  <c r="X551" i="1" s="1"/>
  <c r="T599" i="1"/>
  <c r="X599" i="1" s="1"/>
  <c r="T553" i="1"/>
  <c r="X553" i="1" s="1"/>
  <c r="T597" i="1"/>
  <c r="X597" i="1" s="1"/>
  <c r="T596" i="1"/>
  <c r="X596" i="1" s="1"/>
  <c r="T606" i="1"/>
  <c r="T563" i="1"/>
  <c r="X563" i="1" s="1"/>
  <c r="T561" i="1"/>
  <c r="X561" i="1" s="1"/>
  <c r="T562" i="1"/>
  <c r="X562" i="1" s="1"/>
  <c r="T564" i="1"/>
  <c r="X564" i="1" s="1"/>
  <c r="T591" i="1"/>
  <c r="X591" i="1" s="1"/>
  <c r="T565" i="1"/>
  <c r="X565" i="1" s="1"/>
  <c r="T567" i="1"/>
  <c r="X567" i="1" s="1"/>
  <c r="T583" i="1"/>
  <c r="X583" i="1" s="1"/>
  <c r="T585" i="1"/>
  <c r="X585" i="1" s="1"/>
  <c r="T587" i="1"/>
  <c r="X587" i="1" s="1"/>
  <c r="T588" i="1"/>
  <c r="X588" i="1" s="1"/>
  <c r="T589" i="1"/>
  <c r="X589" i="1" s="1"/>
  <c r="T590" i="1"/>
  <c r="X590" i="1" s="1"/>
  <c r="T598" i="1"/>
  <c r="X598" i="1" s="1"/>
  <c r="T600" i="1"/>
  <c r="X600" i="1" s="1"/>
  <c r="T603" i="1"/>
  <c r="X603" i="1" s="1"/>
  <c r="T607" i="1"/>
  <c r="X607" i="1" s="1"/>
  <c r="T608" i="1"/>
  <c r="X608" i="1" s="1"/>
  <c r="T613" i="1"/>
  <c r="X613" i="1" s="1"/>
  <c r="T618" i="1"/>
  <c r="X618" i="1" s="1"/>
  <c r="T621" i="1"/>
  <c r="X621" i="1" s="1"/>
  <c r="T620" i="1"/>
  <c r="X620" i="1" s="1"/>
  <c r="T623" i="1"/>
  <c r="X623" i="1" s="1"/>
  <c r="T646" i="1"/>
  <c r="X646" i="1" s="1"/>
  <c r="T625" i="1"/>
  <c r="X625" i="1" s="1"/>
  <c r="T626" i="1"/>
  <c r="X626" i="1" s="1"/>
  <c r="T629" i="1"/>
  <c r="X629" i="1" s="1"/>
  <c r="T628" i="1"/>
  <c r="X628" i="1" s="1"/>
  <c r="T630" i="1"/>
  <c r="X630" i="1" s="1"/>
  <c r="T631" i="1"/>
  <c r="X631" i="1" s="1"/>
  <c r="T633" i="1"/>
  <c r="X633" i="1" s="1"/>
  <c r="T632" i="1"/>
  <c r="X632" i="1" s="1"/>
  <c r="T639" i="1"/>
  <c r="X639" i="1" s="1"/>
  <c r="T640" i="1"/>
  <c r="X640" i="1" s="1"/>
  <c r="T641" i="1"/>
  <c r="X641" i="1" s="1"/>
  <c r="T642" i="1"/>
  <c r="X642" i="1" s="1"/>
  <c r="T643" i="1"/>
  <c r="X643" i="1" s="1"/>
  <c r="T647" i="1"/>
  <c r="X647" i="1" s="1"/>
  <c r="T658" i="1"/>
  <c r="X658" i="1" s="1"/>
  <c r="T657" i="1"/>
  <c r="X657" i="1" s="1"/>
  <c r="T659" i="1"/>
  <c r="X659" i="1" s="1"/>
  <c r="T401" i="1"/>
  <c r="T402" i="1"/>
  <c r="T400" i="1"/>
  <c r="T407" i="1"/>
  <c r="T406" i="1"/>
  <c r="T410" i="1"/>
  <c r="T409" i="1"/>
  <c r="T408" i="1"/>
  <c r="T413" i="1"/>
  <c r="T411" i="1"/>
  <c r="T412" i="1"/>
  <c r="T414" i="1"/>
  <c r="T418" i="1"/>
  <c r="T417" i="1"/>
  <c r="T419" i="1"/>
  <c r="T415" i="1"/>
  <c r="T416" i="1"/>
  <c r="AF399" i="1"/>
  <c r="AG399" i="1"/>
  <c r="AH399" i="1"/>
  <c r="AI399" i="1"/>
  <c r="AJ399" i="1"/>
  <c r="AN399" i="1"/>
  <c r="U401" i="1"/>
  <c r="V401" i="1"/>
  <c r="AF401" i="1"/>
  <c r="AG401" i="1"/>
  <c r="AH401" i="1"/>
  <c r="AI401" i="1"/>
  <c r="AJ401" i="1"/>
  <c r="AN401" i="1"/>
  <c r="U402" i="1"/>
  <c r="V402" i="1"/>
  <c r="AF402" i="1"/>
  <c r="AG402" i="1"/>
  <c r="AH402" i="1"/>
  <c r="AI402" i="1"/>
  <c r="AJ402" i="1"/>
  <c r="AN402" i="1"/>
  <c r="U407" i="1"/>
  <c r="V407" i="1"/>
  <c r="AF407" i="1"/>
  <c r="AG407" i="1"/>
  <c r="AH407" i="1"/>
  <c r="AI407" i="1"/>
  <c r="AJ407" i="1"/>
  <c r="AN407" i="1"/>
  <c r="U406" i="1"/>
  <c r="V406" i="1"/>
  <c r="AF406" i="1"/>
  <c r="AG406" i="1"/>
  <c r="AH406" i="1"/>
  <c r="AI406" i="1"/>
  <c r="AJ406" i="1"/>
  <c r="AN406" i="1"/>
  <c r="U410" i="1"/>
  <c r="V410" i="1"/>
  <c r="AF410" i="1"/>
  <c r="AG410" i="1"/>
  <c r="AH410" i="1"/>
  <c r="AI410" i="1"/>
  <c r="AJ410" i="1"/>
  <c r="AN410" i="1"/>
  <c r="U409" i="1"/>
  <c r="V409" i="1"/>
  <c r="AF409" i="1"/>
  <c r="AG409" i="1"/>
  <c r="AH409" i="1"/>
  <c r="AI409" i="1"/>
  <c r="AJ409" i="1"/>
  <c r="AN409" i="1"/>
  <c r="U408" i="1"/>
  <c r="V408" i="1"/>
  <c r="AF408" i="1"/>
  <c r="AG408" i="1"/>
  <c r="AH408" i="1"/>
  <c r="AI408" i="1"/>
  <c r="AJ408" i="1"/>
  <c r="AN408" i="1"/>
  <c r="U413" i="1"/>
  <c r="V413" i="1"/>
  <c r="AF413" i="1"/>
  <c r="AG413" i="1"/>
  <c r="AH413" i="1"/>
  <c r="AI413" i="1"/>
  <c r="AJ413" i="1"/>
  <c r="AK509" i="1" s="1"/>
  <c r="AN413" i="1"/>
  <c r="U411" i="1"/>
  <c r="V411" i="1"/>
  <c r="AF411" i="1"/>
  <c r="AG411" i="1"/>
  <c r="AH411" i="1"/>
  <c r="AI411" i="1"/>
  <c r="AJ411" i="1"/>
  <c r="AN411" i="1"/>
  <c r="U412" i="1"/>
  <c r="V412" i="1"/>
  <c r="AF412" i="1"/>
  <c r="AG412" i="1"/>
  <c r="AH412" i="1"/>
  <c r="AI412" i="1"/>
  <c r="AJ412" i="1"/>
  <c r="AN412" i="1"/>
  <c r="U414" i="1"/>
  <c r="V414" i="1"/>
  <c r="AF414" i="1"/>
  <c r="AG414" i="1"/>
  <c r="AH414" i="1"/>
  <c r="AI414" i="1"/>
  <c r="AJ414" i="1"/>
  <c r="AN414" i="1"/>
  <c r="U418" i="1"/>
  <c r="V418" i="1"/>
  <c r="AF418" i="1"/>
  <c r="AG418" i="1"/>
  <c r="AH418" i="1"/>
  <c r="AI418" i="1"/>
  <c r="AJ418" i="1"/>
  <c r="AN418" i="1"/>
  <c r="U419" i="1"/>
  <c r="V419" i="1"/>
  <c r="AF419" i="1"/>
  <c r="AG419" i="1"/>
  <c r="AH419" i="1"/>
  <c r="AI419" i="1"/>
  <c r="AJ419" i="1"/>
  <c r="AN419" i="1"/>
  <c r="U415" i="1"/>
  <c r="V415" i="1"/>
  <c r="AF415" i="1"/>
  <c r="AG415" i="1"/>
  <c r="AH415" i="1"/>
  <c r="AI415" i="1"/>
  <c r="AJ415" i="1"/>
  <c r="AN415" i="1"/>
  <c r="U416" i="1"/>
  <c r="V416" i="1"/>
  <c r="AF416" i="1"/>
  <c r="AG416" i="1"/>
  <c r="AH416" i="1"/>
  <c r="AI416" i="1"/>
  <c r="AJ416" i="1"/>
  <c r="AN416" i="1"/>
  <c r="AN339" i="1"/>
  <c r="AJ339" i="1"/>
  <c r="AI339" i="1"/>
  <c r="AH339" i="1"/>
  <c r="AG339" i="1"/>
  <c r="AF339" i="1"/>
  <c r="V339" i="1"/>
  <c r="U339" i="1"/>
  <c r="E339" i="1"/>
  <c r="D339" i="1"/>
  <c r="AN344" i="1"/>
  <c r="AJ344" i="1"/>
  <c r="AI344" i="1"/>
  <c r="AH344" i="1"/>
  <c r="AG344" i="1"/>
  <c r="AF344" i="1"/>
  <c r="V344" i="1"/>
  <c r="U344" i="1"/>
  <c r="E344" i="1"/>
  <c r="D344" i="1"/>
  <c r="AN343" i="1"/>
  <c r="AJ343" i="1"/>
  <c r="AI343" i="1"/>
  <c r="AH343" i="1"/>
  <c r="AG343" i="1"/>
  <c r="AF343" i="1"/>
  <c r="V343" i="1"/>
  <c r="U343" i="1"/>
  <c r="E343" i="1"/>
  <c r="D343" i="1"/>
  <c r="AN348" i="1"/>
  <c r="AJ348" i="1"/>
  <c r="AI348" i="1"/>
  <c r="AH348" i="1"/>
  <c r="AG348" i="1"/>
  <c r="AF348" i="1"/>
  <c r="V348" i="1"/>
  <c r="U348" i="1"/>
  <c r="E348" i="1"/>
  <c r="D348" i="1"/>
  <c r="AN347" i="1"/>
  <c r="AJ347" i="1"/>
  <c r="AI347" i="1"/>
  <c r="AH347" i="1"/>
  <c r="AG347" i="1"/>
  <c r="AF347" i="1"/>
  <c r="V347" i="1"/>
  <c r="U347" i="1"/>
  <c r="E347" i="1"/>
  <c r="D347" i="1"/>
  <c r="AN346" i="1"/>
  <c r="AJ346" i="1"/>
  <c r="AI346" i="1"/>
  <c r="AH346" i="1"/>
  <c r="AG346" i="1"/>
  <c r="AF346" i="1"/>
  <c r="V346" i="1"/>
  <c r="U346" i="1"/>
  <c r="E346" i="1"/>
  <c r="D346" i="1"/>
  <c r="AN353" i="1"/>
  <c r="AJ353" i="1"/>
  <c r="AI353" i="1"/>
  <c r="AH353" i="1"/>
  <c r="AG353" i="1"/>
  <c r="AF353" i="1"/>
  <c r="V353" i="1"/>
  <c r="U353" i="1"/>
  <c r="E353" i="1"/>
  <c r="D353" i="1"/>
  <c r="AN351" i="1"/>
  <c r="AJ351" i="1"/>
  <c r="AI351" i="1"/>
  <c r="AH351" i="1"/>
  <c r="AG351" i="1"/>
  <c r="AF351" i="1"/>
  <c r="V351" i="1"/>
  <c r="U351" i="1"/>
  <c r="E351" i="1"/>
  <c r="D351" i="1"/>
  <c r="AN352" i="1"/>
  <c r="AJ352" i="1"/>
  <c r="AI352" i="1"/>
  <c r="AH352" i="1"/>
  <c r="AG352" i="1"/>
  <c r="AF352" i="1"/>
  <c r="V352" i="1"/>
  <c r="U352" i="1"/>
  <c r="E352" i="1"/>
  <c r="D352" i="1"/>
  <c r="AN341" i="1"/>
  <c r="AJ341" i="1"/>
  <c r="AI341" i="1"/>
  <c r="AH341" i="1"/>
  <c r="AG341" i="1"/>
  <c r="AF341" i="1"/>
  <c r="V341" i="1"/>
  <c r="U341" i="1"/>
  <c r="E341" i="1"/>
  <c r="D341" i="1"/>
  <c r="AN358" i="1"/>
  <c r="AJ358" i="1"/>
  <c r="AI358" i="1"/>
  <c r="AH358" i="1"/>
  <c r="AG358" i="1"/>
  <c r="AF358" i="1"/>
  <c r="V358" i="1"/>
  <c r="U358" i="1"/>
  <c r="E358" i="1"/>
  <c r="D358" i="1"/>
  <c r="AN357" i="1"/>
  <c r="AJ357" i="1"/>
  <c r="AI357" i="1"/>
  <c r="AH357" i="1"/>
  <c r="AG357" i="1"/>
  <c r="AF357" i="1"/>
  <c r="V357" i="1"/>
  <c r="U357" i="1"/>
  <c r="E357" i="1"/>
  <c r="D357" i="1"/>
  <c r="AN359" i="1"/>
  <c r="AJ359" i="1"/>
  <c r="AI359" i="1"/>
  <c r="AH359" i="1"/>
  <c r="AG359" i="1"/>
  <c r="AF359" i="1"/>
  <c r="V359" i="1"/>
  <c r="U359" i="1"/>
  <c r="E359" i="1"/>
  <c r="D359" i="1"/>
  <c r="AN354" i="1"/>
  <c r="AJ354" i="1"/>
  <c r="AI354" i="1"/>
  <c r="AH354" i="1"/>
  <c r="AG354" i="1"/>
  <c r="AF354" i="1"/>
  <c r="V354" i="1"/>
  <c r="U354" i="1"/>
  <c r="E354" i="1"/>
  <c r="D354" i="1"/>
  <c r="AN355" i="1"/>
  <c r="AJ355" i="1"/>
  <c r="AI355" i="1"/>
  <c r="AH355" i="1"/>
  <c r="AG355" i="1"/>
  <c r="AF355" i="1"/>
  <c r="V355" i="1"/>
  <c r="U355" i="1"/>
  <c r="E355" i="1"/>
  <c r="D355" i="1"/>
  <c r="AN356" i="1"/>
  <c r="AJ356" i="1"/>
  <c r="AI356" i="1"/>
  <c r="AH356" i="1"/>
  <c r="AG356" i="1"/>
  <c r="AF356" i="1"/>
  <c r="V356" i="1"/>
  <c r="U356" i="1"/>
  <c r="E356" i="1"/>
  <c r="D356" i="1"/>
  <c r="AN417" i="1"/>
  <c r="AJ417" i="1"/>
  <c r="AI417" i="1"/>
  <c r="AH417" i="1"/>
  <c r="AG417" i="1"/>
  <c r="AF417" i="1"/>
  <c r="V417" i="1"/>
  <c r="U417" i="1"/>
  <c r="AN400" i="1"/>
  <c r="AJ400" i="1"/>
  <c r="AI400" i="1"/>
  <c r="AH400" i="1"/>
  <c r="AG400" i="1"/>
  <c r="AF400" i="1"/>
  <c r="V400" i="1"/>
  <c r="U400" i="1"/>
  <c r="AN338" i="1"/>
  <c r="AJ338" i="1"/>
  <c r="AI338" i="1"/>
  <c r="AH338" i="1"/>
  <c r="AG338" i="1"/>
  <c r="AF338" i="1"/>
  <c r="V338" i="1"/>
  <c r="U338" i="1"/>
  <c r="E338" i="1"/>
  <c r="D338" i="1"/>
  <c r="M4" i="48"/>
  <c r="M5" i="48"/>
  <c r="M6" i="48"/>
  <c r="M7" i="48"/>
  <c r="M8" i="48"/>
  <c r="M9" i="48"/>
  <c r="M26" i="48"/>
  <c r="M27" i="48"/>
  <c r="M28" i="48"/>
  <c r="M29" i="48"/>
  <c r="M30" i="48"/>
  <c r="M31" i="48"/>
  <c r="M32" i="48"/>
  <c r="M33" i="48"/>
  <c r="M34" i="48"/>
  <c r="M36" i="48"/>
  <c r="M37" i="48"/>
  <c r="M38" i="48"/>
  <c r="M39" i="48"/>
  <c r="M40" i="48"/>
  <c r="M41" i="48"/>
  <c r="M42" i="48"/>
  <c r="M43" i="48"/>
  <c r="M44" i="48"/>
  <c r="M45" i="48"/>
  <c r="M46" i="48"/>
  <c r="M47" i="48"/>
  <c r="M48" i="48"/>
  <c r="M49" i="48"/>
  <c r="M50" i="48"/>
  <c r="M51" i="48"/>
  <c r="M52" i="48"/>
  <c r="M56" i="48"/>
  <c r="M57" i="48"/>
  <c r="M58" i="48"/>
  <c r="M59" i="48"/>
  <c r="M60" i="48"/>
  <c r="M61" i="48"/>
  <c r="M62" i="48"/>
  <c r="J65" i="48"/>
  <c r="I65" i="48"/>
  <c r="H65" i="48"/>
  <c r="F65" i="48"/>
  <c r="AO606" i="1" l="1"/>
  <c r="X606" i="1"/>
  <c r="AO584" i="1"/>
  <c r="X584" i="1"/>
  <c r="AN122" i="41"/>
  <c r="W122" i="41"/>
  <c r="AO124" i="1"/>
  <c r="T664" i="1"/>
  <c r="AO659" i="1"/>
  <c r="AO657" i="1"/>
  <c r="AO658" i="1"/>
  <c r="AO647" i="1"/>
  <c r="AO643" i="1"/>
  <c r="AO642" i="1"/>
  <c r="AO641" i="1"/>
  <c r="AO640" i="1"/>
  <c r="AO639" i="1"/>
  <c r="AO632" i="1"/>
  <c r="AO633" i="1"/>
  <c r="AO631" i="1"/>
  <c r="AO630" i="1"/>
  <c r="AO628" i="1"/>
  <c r="AO629" i="1"/>
  <c r="AO626" i="1"/>
  <c r="AO625" i="1"/>
  <c r="AO646" i="1"/>
  <c r="AO623" i="1"/>
  <c r="AO620" i="1"/>
  <c r="AO621" i="1"/>
  <c r="AO618" i="1"/>
  <c r="AO613" i="1"/>
  <c r="AO608" i="1"/>
  <c r="AO607" i="1"/>
  <c r="AO603" i="1"/>
  <c r="AO600" i="1"/>
  <c r="AO598" i="1"/>
  <c r="AO590" i="1"/>
  <c r="AO589" i="1"/>
  <c r="AO588" i="1"/>
  <c r="AO587" i="1"/>
  <c r="AO585" i="1"/>
  <c r="AO567" i="1"/>
  <c r="AO565" i="1"/>
  <c r="AO591" i="1"/>
  <c r="AO564" i="1"/>
  <c r="AO562" i="1"/>
  <c r="AO561" i="1"/>
  <c r="AO563" i="1"/>
  <c r="AO596" i="1"/>
  <c r="AO597" i="1"/>
  <c r="AO553" i="1"/>
  <c r="AO599" i="1"/>
  <c r="AO551" i="1"/>
  <c r="AO550" i="1"/>
  <c r="AO627" i="1"/>
  <c r="AO545" i="1"/>
  <c r="AO544" i="1"/>
  <c r="AO542" i="1"/>
  <c r="AO541" i="1"/>
  <c r="AO540" i="1"/>
  <c r="X540" i="1"/>
  <c r="AO539" i="1"/>
  <c r="X539" i="1"/>
  <c r="AO582" i="1"/>
  <c r="AO612" i="1"/>
  <c r="AO535" i="1"/>
  <c r="X535" i="1"/>
  <c r="AO534" i="1"/>
  <c r="X534" i="1"/>
  <c r="AO533" i="1"/>
  <c r="X533" i="1"/>
  <c r="AO532" i="1"/>
  <c r="X532" i="1"/>
  <c r="AO529" i="1"/>
  <c r="X529" i="1"/>
  <c r="AO528" i="1"/>
  <c r="X528" i="1"/>
  <c r="AO524" i="1"/>
  <c r="X524" i="1"/>
  <c r="AO546" i="1"/>
  <c r="AO522" i="1"/>
  <c r="X522" i="1"/>
  <c r="AO521" i="1"/>
  <c r="X521" i="1"/>
  <c r="AO520" i="1"/>
  <c r="X520" i="1"/>
  <c r="AO519" i="1"/>
  <c r="X519" i="1"/>
  <c r="AO518" i="1"/>
  <c r="X518" i="1"/>
  <c r="AO510" i="1"/>
  <c r="X510" i="1"/>
  <c r="AO552" i="1"/>
  <c r="AO531" i="1"/>
  <c r="X531" i="1"/>
  <c r="AO506" i="1"/>
  <c r="X506" i="1"/>
  <c r="AO504" i="1"/>
  <c r="X504" i="1"/>
  <c r="AO505" i="1"/>
  <c r="X505" i="1"/>
  <c r="AO499" i="1"/>
  <c r="X499" i="1"/>
  <c r="AO495" i="1"/>
  <c r="X495" i="1"/>
  <c r="AO494" i="1"/>
  <c r="X494" i="1"/>
  <c r="AO492" i="1"/>
  <c r="X492" i="1"/>
  <c r="AO493" i="1"/>
  <c r="X493" i="1"/>
  <c r="AO484" i="1"/>
  <c r="X484" i="1"/>
  <c r="AO479" i="1"/>
  <c r="X479" i="1"/>
  <c r="AO478" i="1"/>
  <c r="X478" i="1"/>
  <c r="AO480" i="1"/>
  <c r="X480" i="1"/>
  <c r="AO119" i="1"/>
  <c r="AO119" i="41"/>
  <c r="X119" i="41"/>
  <c r="AO583" i="1"/>
  <c r="AO477" i="1"/>
  <c r="X477" i="1"/>
  <c r="X346" i="1"/>
  <c r="AO346" i="1"/>
  <c r="X466" i="1"/>
  <c r="AO466" i="1"/>
  <c r="X441" i="1"/>
  <c r="AO441" i="1"/>
  <c r="X417" i="1"/>
  <c r="AO417" i="1"/>
  <c r="X347" i="1"/>
  <c r="AO347" i="1"/>
  <c r="X419" i="1"/>
  <c r="AO419" i="1"/>
  <c r="X418" i="1"/>
  <c r="AO418" i="1"/>
  <c r="X348" i="1"/>
  <c r="AO348" i="1"/>
  <c r="X464" i="1"/>
  <c r="AO464" i="1"/>
  <c r="X448" i="1"/>
  <c r="AO448" i="1"/>
  <c r="X412" i="1"/>
  <c r="AO412" i="1"/>
  <c r="X451" i="1"/>
  <c r="AO451" i="1"/>
  <c r="X414" i="1"/>
  <c r="AO414" i="1"/>
  <c r="X454" i="1"/>
  <c r="AO454" i="1"/>
  <c r="X416" i="1"/>
  <c r="AO416" i="1"/>
  <c r="X467" i="1"/>
  <c r="AO467" i="1"/>
  <c r="X465" i="1"/>
  <c r="AO465" i="1"/>
  <c r="X411" i="1"/>
  <c r="AO411" i="1"/>
  <c r="X413" i="1"/>
  <c r="AO413" i="1"/>
  <c r="X406" i="1"/>
  <c r="AO406" i="1"/>
  <c r="X443" i="1"/>
  <c r="AO443" i="1"/>
  <c r="X400" i="1"/>
  <c r="AO400" i="1"/>
  <c r="X359" i="1"/>
  <c r="AO359" i="1"/>
  <c r="X468" i="1"/>
  <c r="AO468" i="1"/>
  <c r="X449" i="1"/>
  <c r="AO449" i="1"/>
  <c r="X442" i="1"/>
  <c r="AO442" i="1"/>
  <c r="X344" i="1"/>
  <c r="AO344" i="1"/>
  <c r="X453" i="1"/>
  <c r="AO453" i="1"/>
  <c r="X410" i="1"/>
  <c r="AO410" i="1"/>
  <c r="X338" i="1"/>
  <c r="AO338" i="1"/>
  <c r="X356" i="1"/>
  <c r="AO356" i="1"/>
  <c r="X402" i="1"/>
  <c r="AO402" i="1"/>
  <c r="X357" i="1"/>
  <c r="AO357" i="1"/>
  <c r="X455" i="1"/>
  <c r="AO455" i="1"/>
  <c r="X452" i="1"/>
  <c r="AO452" i="1"/>
  <c r="X353" i="1"/>
  <c r="AO353" i="1"/>
  <c r="X415" i="1"/>
  <c r="AO415" i="1"/>
  <c r="X343" i="1"/>
  <c r="AO343" i="1"/>
  <c r="X339" i="1"/>
  <c r="AO339" i="1"/>
  <c r="X409" i="1"/>
  <c r="AO409" i="1"/>
  <c r="X456" i="1"/>
  <c r="AO456" i="1"/>
  <c r="X440" i="1"/>
  <c r="AO440" i="1"/>
  <c r="X407" i="1"/>
  <c r="AO407" i="1"/>
  <c r="X401" i="1"/>
  <c r="AO401" i="1"/>
  <c r="X358" i="1"/>
  <c r="AO358" i="1"/>
  <c r="X399" i="1"/>
  <c r="AO399" i="1"/>
  <c r="X450" i="1"/>
  <c r="AO450" i="1"/>
  <c r="X351" i="1"/>
  <c r="AO351" i="1"/>
  <c r="X408" i="1"/>
  <c r="AO408" i="1"/>
  <c r="X341" i="1"/>
  <c r="AO341" i="1"/>
  <c r="X340" i="1"/>
  <c r="AO340" i="1"/>
  <c r="X355" i="1"/>
  <c r="AO355" i="1"/>
  <c r="X354" i="1"/>
  <c r="AO354" i="1"/>
  <c r="X352" i="1"/>
  <c r="AO352" i="1"/>
  <c r="AN49" i="41"/>
  <c r="AK49" i="41"/>
  <c r="AJ49" i="41"/>
  <c r="AI49" i="41"/>
  <c r="AH49" i="41"/>
  <c r="AG49" i="41"/>
  <c r="AF49" i="41"/>
  <c r="V49" i="41"/>
  <c r="U49" i="41"/>
  <c r="T49" i="41"/>
  <c r="D49" i="41"/>
  <c r="C49" i="41"/>
  <c r="L65" i="48"/>
  <c r="Z65" i="48"/>
  <c r="AA65" i="48"/>
  <c r="AB65" i="48"/>
  <c r="AC65" i="48"/>
  <c r="AE65" i="48"/>
  <c r="AH65" i="48"/>
  <c r="AI65" i="48"/>
  <c r="AJ65" i="48"/>
  <c r="AK65" i="48"/>
  <c r="AQ65" i="48"/>
  <c r="AR65" i="48"/>
  <c r="AS65" i="48"/>
  <c r="AU65" i="48"/>
  <c r="U65" i="48" l="1"/>
  <c r="C48" i="41"/>
  <c r="C47" i="41"/>
  <c r="C46" i="41"/>
  <c r="C45" i="41"/>
  <c r="AN44" i="41"/>
  <c r="AK44" i="41"/>
  <c r="AJ44" i="41"/>
  <c r="AI44" i="41"/>
  <c r="AH44" i="41"/>
  <c r="AG44" i="41"/>
  <c r="AF44" i="41"/>
  <c r="V44" i="41"/>
  <c r="U44" i="41"/>
  <c r="T44" i="41"/>
  <c r="C44" i="41"/>
  <c r="AN43" i="41"/>
  <c r="AK43" i="41"/>
  <c r="AJ43" i="41"/>
  <c r="AI43" i="41"/>
  <c r="AH43" i="41"/>
  <c r="AG43" i="41"/>
  <c r="AF43" i="41"/>
  <c r="V43" i="41"/>
  <c r="U43" i="41"/>
  <c r="T43" i="41"/>
  <c r="C43" i="41"/>
  <c r="C42" i="41"/>
  <c r="C41" i="41"/>
  <c r="C40" i="41"/>
  <c r="C39" i="41"/>
  <c r="C38" i="41"/>
  <c r="C37" i="41"/>
  <c r="C36" i="41"/>
  <c r="C35" i="41"/>
  <c r="C34" i="41"/>
  <c r="C33" i="41"/>
  <c r="C31" i="41"/>
  <c r="C32" i="41"/>
  <c r="C30" i="41"/>
  <c r="D30" i="41"/>
  <c r="C29" i="41"/>
  <c r="D29" i="41"/>
  <c r="C28" i="41"/>
  <c r="D28" i="41"/>
  <c r="AM27" i="41"/>
  <c r="AI27" i="41"/>
  <c r="AH27" i="41"/>
  <c r="AG27" i="41"/>
  <c r="AF27" i="41"/>
  <c r="AE27" i="41"/>
  <c r="U27" i="41"/>
  <c r="T27" i="41"/>
  <c r="S27" i="41"/>
  <c r="D27" i="41"/>
  <c r="C27" i="41"/>
  <c r="U612" i="1"/>
  <c r="V612" i="1"/>
  <c r="AF612" i="1"/>
  <c r="AG612" i="1"/>
  <c r="AH612" i="1"/>
  <c r="AI612" i="1"/>
  <c r="AJ612" i="1"/>
  <c r="AK570" i="1" s="1"/>
  <c r="AN612" i="1"/>
  <c r="D370" i="1"/>
  <c r="E370" i="1"/>
  <c r="U370" i="1"/>
  <c r="V370" i="1"/>
  <c r="AF370" i="1"/>
  <c r="AG370" i="1"/>
  <c r="AH370" i="1"/>
  <c r="AI370" i="1"/>
  <c r="AJ370" i="1"/>
  <c r="AN370" i="1"/>
  <c r="AM26" i="41"/>
  <c r="AE26" i="41"/>
  <c r="AF26" i="41"/>
  <c r="AG26" i="41"/>
  <c r="AH26" i="41"/>
  <c r="AI26" i="41"/>
  <c r="S26" i="41"/>
  <c r="T26" i="41"/>
  <c r="U26" i="41"/>
  <c r="C26" i="41"/>
  <c r="D26" i="41"/>
  <c r="D25" i="41"/>
  <c r="C25" i="41"/>
  <c r="E213" i="1"/>
  <c r="E201" i="1"/>
  <c r="C24" i="41"/>
  <c r="C23" i="41"/>
  <c r="D15" i="1"/>
  <c r="V122" i="1"/>
  <c r="U122" i="1"/>
  <c r="X122" i="1"/>
  <c r="AK370" i="1" l="1"/>
  <c r="AK612" i="1"/>
  <c r="C22" i="41"/>
  <c r="C21" i="41"/>
  <c r="E322" i="1"/>
  <c r="AM20" i="41"/>
  <c r="AI20" i="41"/>
  <c r="AH20" i="41"/>
  <c r="AG20" i="41"/>
  <c r="AF20" i="41"/>
  <c r="AE20" i="41"/>
  <c r="U20" i="41"/>
  <c r="T20" i="41"/>
  <c r="S20" i="41"/>
  <c r="C20" i="41"/>
  <c r="E128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1" i="1"/>
  <c r="E23" i="1"/>
  <c r="E25" i="1"/>
  <c r="E26" i="1"/>
  <c r="E27" i="1"/>
  <c r="E28" i="1"/>
  <c r="E30" i="1"/>
  <c r="E20" i="1"/>
  <c r="E22" i="1"/>
  <c r="E24" i="1"/>
  <c r="E29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50" i="1"/>
  <c r="E51" i="1"/>
  <c r="E48" i="1"/>
  <c r="E49" i="1"/>
  <c r="E52" i="1"/>
  <c r="E53" i="1"/>
  <c r="E56" i="1"/>
  <c r="E59" i="1"/>
  <c r="E60" i="1"/>
  <c r="E61" i="1"/>
  <c r="E62" i="1"/>
  <c r="E63" i="1"/>
  <c r="E64" i="1"/>
  <c r="E54" i="1"/>
  <c r="E55" i="1"/>
  <c r="E57" i="1"/>
  <c r="E58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3" i="1"/>
  <c r="E84" i="1"/>
  <c r="E86" i="1"/>
  <c r="E89" i="1"/>
  <c r="E90" i="1"/>
  <c r="E91" i="1"/>
  <c r="E82" i="1"/>
  <c r="E85" i="1"/>
  <c r="E87" i="1"/>
  <c r="E88" i="1"/>
  <c r="E92" i="1"/>
  <c r="E93" i="1"/>
  <c r="E94" i="1"/>
  <c r="E95" i="1"/>
  <c r="E100" i="1"/>
  <c r="E96" i="1"/>
  <c r="E97" i="1"/>
  <c r="E98" i="1"/>
  <c r="E99" i="1"/>
  <c r="E101" i="1"/>
  <c r="E102" i="1"/>
  <c r="E103" i="1"/>
  <c r="E106" i="1"/>
  <c r="E107" i="1"/>
  <c r="E104" i="1"/>
  <c r="E105" i="1"/>
  <c r="E108" i="1"/>
  <c r="E109" i="1"/>
  <c r="E110" i="1"/>
  <c r="E111" i="1"/>
  <c r="E112" i="1"/>
  <c r="E113" i="1"/>
  <c r="E114" i="1"/>
  <c r="E115" i="1"/>
  <c r="E118" i="1"/>
  <c r="E119" i="1"/>
  <c r="E120" i="1"/>
  <c r="E121" i="1"/>
  <c r="E116" i="1"/>
  <c r="E117" i="1"/>
  <c r="E122" i="1"/>
  <c r="E123" i="1"/>
  <c r="E124" i="1"/>
  <c r="E125" i="1"/>
  <c r="E126" i="1"/>
  <c r="E127" i="1"/>
  <c r="E129" i="1"/>
  <c r="E130" i="1"/>
  <c r="E131" i="1"/>
  <c r="E132" i="1"/>
  <c r="E133" i="1"/>
  <c r="E134" i="1"/>
  <c r="E135" i="1"/>
  <c r="E136" i="1"/>
  <c r="E137" i="1"/>
  <c r="E139" i="1"/>
  <c r="E140" i="1"/>
  <c r="E141" i="1"/>
  <c r="E138" i="1"/>
  <c r="E142" i="1"/>
  <c r="E145" i="1"/>
  <c r="E146" i="1"/>
  <c r="E143" i="1"/>
  <c r="E144" i="1"/>
  <c r="E147" i="1"/>
  <c r="E148" i="1"/>
  <c r="E150" i="1"/>
  <c r="E151" i="1"/>
  <c r="E155" i="1"/>
  <c r="E152" i="1"/>
  <c r="E153" i="1"/>
  <c r="E154" i="1"/>
  <c r="E156" i="1"/>
  <c r="E157" i="1"/>
  <c r="E158" i="1"/>
  <c r="E159" i="1"/>
  <c r="E160" i="1"/>
  <c r="E149" i="1"/>
  <c r="E162" i="1"/>
  <c r="E163" i="1"/>
  <c r="E164" i="1"/>
  <c r="E161" i="1"/>
  <c r="E168" i="1"/>
  <c r="E165" i="1"/>
  <c r="E166" i="1"/>
  <c r="E167" i="1"/>
  <c r="E173" i="1"/>
  <c r="E169" i="1"/>
  <c r="E170" i="1"/>
  <c r="E171" i="1"/>
  <c r="E172" i="1"/>
  <c r="E174" i="1"/>
  <c r="E175" i="1"/>
  <c r="E176" i="1"/>
  <c r="E177" i="1"/>
  <c r="E178" i="1"/>
  <c r="E179" i="1"/>
  <c r="E180" i="1"/>
  <c r="E181" i="1"/>
  <c r="E184" i="1"/>
  <c r="E182" i="1"/>
  <c r="E183" i="1"/>
  <c r="E187" i="1"/>
  <c r="E186" i="1"/>
  <c r="E188" i="1"/>
  <c r="E190" i="1"/>
  <c r="E192" i="1"/>
  <c r="E191" i="1"/>
  <c r="E193" i="1"/>
  <c r="E189" i="1"/>
  <c r="E194" i="1"/>
  <c r="E195" i="1"/>
  <c r="E196" i="1"/>
  <c r="E198" i="1"/>
  <c r="E197" i="1"/>
  <c r="E199" i="1"/>
  <c r="E200" i="1"/>
  <c r="E203" i="1"/>
  <c r="E202" i="1"/>
  <c r="E206" i="1"/>
  <c r="E204" i="1"/>
  <c r="E208" i="1"/>
  <c r="E205" i="1"/>
  <c r="E207" i="1"/>
  <c r="E209" i="1"/>
  <c r="E210" i="1"/>
  <c r="E211" i="1"/>
  <c r="E212" i="1"/>
  <c r="E214" i="1"/>
  <c r="E215" i="1"/>
  <c r="E216" i="1"/>
  <c r="E220" i="1"/>
  <c r="E219" i="1"/>
  <c r="E217" i="1"/>
  <c r="E218" i="1"/>
  <c r="E221" i="1"/>
  <c r="E223" i="1"/>
  <c r="E222" i="1"/>
  <c r="E225" i="1"/>
  <c r="E224" i="1"/>
  <c r="E228" i="1"/>
  <c r="E229" i="1"/>
  <c r="E227" i="1"/>
  <c r="E230" i="1"/>
  <c r="E231" i="1"/>
  <c r="E232" i="1"/>
  <c r="E233" i="1"/>
  <c r="E234" i="1"/>
  <c r="E235" i="1"/>
  <c r="E237" i="1"/>
  <c r="E226" i="1"/>
  <c r="E236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6" i="1"/>
  <c r="E257" i="1"/>
  <c r="E255" i="1"/>
  <c r="E258" i="1"/>
  <c r="E259" i="1"/>
  <c r="E261" i="1"/>
  <c r="E260" i="1"/>
  <c r="E262" i="1"/>
  <c r="E265" i="1"/>
  <c r="E264" i="1"/>
  <c r="E263" i="1"/>
  <c r="E268" i="1"/>
  <c r="E266" i="1"/>
  <c r="E267" i="1"/>
  <c r="E270" i="1"/>
  <c r="E269" i="1"/>
  <c r="E271" i="1"/>
  <c r="E272" i="1"/>
  <c r="E275" i="1"/>
  <c r="E273" i="1"/>
  <c r="E274" i="1"/>
  <c r="E277" i="1"/>
  <c r="E278" i="1"/>
  <c r="E279" i="1"/>
  <c r="E276" i="1"/>
  <c r="E280" i="1"/>
  <c r="E281" i="1"/>
  <c r="E282" i="1"/>
  <c r="E283" i="1"/>
  <c r="E284" i="1"/>
  <c r="E286" i="1"/>
  <c r="E285" i="1"/>
  <c r="E292" i="1"/>
  <c r="E287" i="1"/>
  <c r="E290" i="1"/>
  <c r="E296" i="1"/>
  <c r="E291" i="1"/>
  <c r="E293" i="1"/>
  <c r="E294" i="1"/>
  <c r="E295" i="1"/>
  <c r="E297" i="1"/>
  <c r="E298" i="1"/>
  <c r="E299" i="1"/>
  <c r="E288" i="1"/>
  <c r="E289" i="1"/>
  <c r="E303" i="1"/>
  <c r="E300" i="1"/>
  <c r="E301" i="1"/>
  <c r="E302" i="1"/>
  <c r="E304" i="1"/>
  <c r="E305" i="1"/>
  <c r="E306" i="1"/>
  <c r="E307" i="1"/>
  <c r="E308" i="1"/>
  <c r="E312" i="1"/>
  <c r="E309" i="1"/>
  <c r="E310" i="1"/>
  <c r="E311" i="1"/>
  <c r="E313" i="1"/>
  <c r="E314" i="1"/>
  <c r="E315" i="1"/>
  <c r="E316" i="1"/>
  <c r="E317" i="1"/>
  <c r="E318" i="1"/>
  <c r="E319" i="1"/>
  <c r="E321" i="1"/>
  <c r="E320" i="1"/>
  <c r="E323" i="1"/>
  <c r="E324" i="1"/>
  <c r="E326" i="1"/>
  <c r="E327" i="1"/>
  <c r="E328" i="1"/>
  <c r="E329" i="1"/>
  <c r="E330" i="1"/>
  <c r="E331" i="1"/>
  <c r="E332" i="1"/>
  <c r="E336" i="1"/>
  <c r="E333" i="1"/>
  <c r="E334" i="1"/>
  <c r="E335" i="1"/>
  <c r="E337" i="1"/>
  <c r="E342" i="1"/>
  <c r="E345" i="1"/>
  <c r="E349" i="1"/>
  <c r="E350" i="1"/>
  <c r="E360" i="1"/>
  <c r="E361" i="1"/>
  <c r="E362" i="1"/>
  <c r="E367" i="1"/>
  <c r="E363" i="1"/>
  <c r="E365" i="1"/>
  <c r="E364" i="1"/>
  <c r="E366" i="1"/>
  <c r="E368" i="1"/>
  <c r="E369" i="1"/>
  <c r="E371" i="1"/>
  <c r="E375" i="1"/>
  <c r="E377" i="1"/>
  <c r="E376" i="1"/>
  <c r="E379" i="1"/>
  <c r="E372" i="1"/>
  <c r="E378" i="1"/>
  <c r="E658" i="1"/>
  <c r="E639" i="1"/>
  <c r="E640" i="1"/>
  <c r="E641" i="1"/>
  <c r="E642" i="1"/>
  <c r="E643" i="1"/>
  <c r="E647" i="1"/>
  <c r="E657" i="1"/>
  <c r="E659" i="1"/>
  <c r="E340" i="1"/>
  <c r="C19" i="41"/>
  <c r="D19" i="41"/>
  <c r="AN295" i="1"/>
  <c r="AN297" i="1"/>
  <c r="AN294" i="1"/>
  <c r="AN293" i="1"/>
  <c r="AN301" i="1"/>
  <c r="AN302" i="1"/>
  <c r="AN300" i="1"/>
  <c r="AN304" i="1"/>
  <c r="AN306" i="1"/>
  <c r="AN305" i="1"/>
  <c r="AN307" i="1"/>
  <c r="AN310" i="1"/>
  <c r="AN313" i="1"/>
  <c r="AN311" i="1"/>
  <c r="AN314" i="1"/>
  <c r="AN309" i="1"/>
  <c r="AN315" i="1"/>
  <c r="D295" i="1"/>
  <c r="X295" i="1"/>
  <c r="U295" i="1"/>
  <c r="V295" i="1"/>
  <c r="AF295" i="1"/>
  <c r="AG295" i="1"/>
  <c r="AH295" i="1"/>
  <c r="AI295" i="1"/>
  <c r="AJ295" i="1"/>
  <c r="D297" i="1"/>
  <c r="X297" i="1"/>
  <c r="U297" i="1"/>
  <c r="V297" i="1"/>
  <c r="AF297" i="1"/>
  <c r="AG297" i="1"/>
  <c r="AH297" i="1"/>
  <c r="AI297" i="1"/>
  <c r="AJ297" i="1"/>
  <c r="D294" i="1"/>
  <c r="X294" i="1"/>
  <c r="U294" i="1"/>
  <c r="V294" i="1"/>
  <c r="AF294" i="1"/>
  <c r="AG294" i="1"/>
  <c r="AH294" i="1"/>
  <c r="AI294" i="1"/>
  <c r="AJ294" i="1"/>
  <c r="D293" i="1"/>
  <c r="X293" i="1"/>
  <c r="U293" i="1"/>
  <c r="V293" i="1"/>
  <c r="AF293" i="1"/>
  <c r="AG293" i="1"/>
  <c r="AH293" i="1"/>
  <c r="AI293" i="1"/>
  <c r="AJ293" i="1"/>
  <c r="D301" i="1"/>
  <c r="X301" i="1"/>
  <c r="U301" i="1"/>
  <c r="V301" i="1"/>
  <c r="AF301" i="1"/>
  <c r="AG301" i="1"/>
  <c r="AH301" i="1"/>
  <c r="AI301" i="1"/>
  <c r="AJ301" i="1"/>
  <c r="D302" i="1"/>
  <c r="X302" i="1"/>
  <c r="U302" i="1"/>
  <c r="V302" i="1"/>
  <c r="AF302" i="1"/>
  <c r="AG302" i="1"/>
  <c r="AH302" i="1"/>
  <c r="AI302" i="1"/>
  <c r="AJ302" i="1"/>
  <c r="D300" i="1"/>
  <c r="X300" i="1"/>
  <c r="U300" i="1"/>
  <c r="V300" i="1"/>
  <c r="AF300" i="1"/>
  <c r="AG300" i="1"/>
  <c r="AH300" i="1"/>
  <c r="AI300" i="1"/>
  <c r="AJ300" i="1"/>
  <c r="D304" i="1"/>
  <c r="X304" i="1"/>
  <c r="U304" i="1"/>
  <c r="V304" i="1"/>
  <c r="AF304" i="1"/>
  <c r="AG304" i="1"/>
  <c r="AH304" i="1"/>
  <c r="AI304" i="1"/>
  <c r="AJ304" i="1"/>
  <c r="D306" i="1"/>
  <c r="X306" i="1"/>
  <c r="U306" i="1"/>
  <c r="V306" i="1"/>
  <c r="AF306" i="1"/>
  <c r="AG306" i="1"/>
  <c r="AH306" i="1"/>
  <c r="AI306" i="1"/>
  <c r="AJ306" i="1"/>
  <c r="D305" i="1"/>
  <c r="X305" i="1"/>
  <c r="U305" i="1"/>
  <c r="V305" i="1"/>
  <c r="AF305" i="1"/>
  <c r="AG305" i="1"/>
  <c r="AH305" i="1"/>
  <c r="AI305" i="1"/>
  <c r="AJ305" i="1"/>
  <c r="D307" i="1"/>
  <c r="X307" i="1"/>
  <c r="U307" i="1"/>
  <c r="V307" i="1"/>
  <c r="AF307" i="1"/>
  <c r="AG307" i="1"/>
  <c r="AH307" i="1"/>
  <c r="AI307" i="1"/>
  <c r="AJ307" i="1"/>
  <c r="D310" i="1"/>
  <c r="X310" i="1"/>
  <c r="U310" i="1"/>
  <c r="V310" i="1"/>
  <c r="AF310" i="1"/>
  <c r="AG310" i="1"/>
  <c r="AH310" i="1"/>
  <c r="AI310" i="1"/>
  <c r="AJ310" i="1"/>
  <c r="D313" i="1"/>
  <c r="X313" i="1"/>
  <c r="U313" i="1"/>
  <c r="V313" i="1"/>
  <c r="AF313" i="1"/>
  <c r="AG313" i="1"/>
  <c r="AH313" i="1"/>
  <c r="AI313" i="1"/>
  <c r="AJ313" i="1"/>
  <c r="D311" i="1"/>
  <c r="X311" i="1"/>
  <c r="U311" i="1"/>
  <c r="V311" i="1"/>
  <c r="AF311" i="1"/>
  <c r="AG311" i="1"/>
  <c r="AH311" i="1"/>
  <c r="AI311" i="1"/>
  <c r="AJ311" i="1"/>
  <c r="D314" i="1"/>
  <c r="X314" i="1"/>
  <c r="U314" i="1"/>
  <c r="V314" i="1"/>
  <c r="AF314" i="1"/>
  <c r="AG314" i="1"/>
  <c r="AH314" i="1"/>
  <c r="AI314" i="1"/>
  <c r="AJ314" i="1"/>
  <c r="D309" i="1"/>
  <c r="X309" i="1"/>
  <c r="U309" i="1"/>
  <c r="V309" i="1"/>
  <c r="AF309" i="1"/>
  <c r="AG309" i="1"/>
  <c r="AH309" i="1"/>
  <c r="AI309" i="1"/>
  <c r="AJ309" i="1"/>
  <c r="D315" i="1"/>
  <c r="X315" i="1"/>
  <c r="U315" i="1"/>
  <c r="V315" i="1"/>
  <c r="AF315" i="1"/>
  <c r="AG315" i="1"/>
  <c r="AH315" i="1"/>
  <c r="AI315" i="1"/>
  <c r="AJ315" i="1"/>
  <c r="U176" i="1"/>
  <c r="U250" i="1"/>
  <c r="U249" i="1"/>
  <c r="U253" i="1"/>
  <c r="U251" i="1"/>
  <c r="U252" i="1"/>
  <c r="U245" i="1"/>
  <c r="U247" i="1"/>
  <c r="U244" i="1"/>
  <c r="U246" i="1"/>
  <c r="U240" i="1"/>
  <c r="U241" i="1"/>
  <c r="U242" i="1"/>
  <c r="U238" i="1"/>
  <c r="U239" i="1"/>
  <c r="U233" i="1"/>
  <c r="U235" i="1"/>
  <c r="U234" i="1"/>
  <c r="U232" i="1"/>
  <c r="U175" i="1"/>
  <c r="U179" i="1"/>
  <c r="U177" i="1"/>
  <c r="V177" i="1"/>
  <c r="V179" i="1"/>
  <c r="V175" i="1"/>
  <c r="V232" i="1"/>
  <c r="V234" i="1"/>
  <c r="V235" i="1"/>
  <c r="V233" i="1"/>
  <c r="V239" i="1"/>
  <c r="V238" i="1"/>
  <c r="V242" i="1"/>
  <c r="V241" i="1"/>
  <c r="V240" i="1"/>
  <c r="V246" i="1"/>
  <c r="V244" i="1"/>
  <c r="V247" i="1"/>
  <c r="V245" i="1"/>
  <c r="V252" i="1"/>
  <c r="V251" i="1"/>
  <c r="V253" i="1"/>
  <c r="V249" i="1"/>
  <c r="V250" i="1"/>
  <c r="V4" i="1"/>
  <c r="V5" i="1"/>
  <c r="V6" i="1"/>
  <c r="V10" i="1"/>
  <c r="V12" i="1"/>
  <c r="V9" i="1"/>
  <c r="V7" i="1"/>
  <c r="V8" i="1"/>
  <c r="V13" i="1"/>
  <c r="V11" i="1"/>
  <c r="V14" i="1"/>
  <c r="V15" i="1"/>
  <c r="V16" i="1"/>
  <c r="V17" i="1"/>
  <c r="V18" i="1"/>
  <c r="V23" i="1"/>
  <c r="V30" i="1"/>
  <c r="V24" i="1"/>
  <c r="V20" i="1"/>
  <c r="V25" i="1"/>
  <c r="V27" i="1"/>
  <c r="V28" i="1"/>
  <c r="V26" i="1"/>
  <c r="V21" i="1"/>
  <c r="V29" i="1"/>
  <c r="V19" i="1"/>
  <c r="V22" i="1"/>
  <c r="V33" i="1"/>
  <c r="V32" i="1"/>
  <c r="V31" i="1"/>
  <c r="V36" i="1"/>
  <c r="V35" i="1"/>
  <c r="V34" i="1"/>
  <c r="V39" i="1"/>
  <c r="V37" i="1"/>
  <c r="V38" i="1"/>
  <c r="V40" i="1"/>
  <c r="V41" i="1"/>
  <c r="V44" i="1"/>
  <c r="V45" i="1"/>
  <c r="V42" i="1"/>
  <c r="V43" i="1"/>
  <c r="V46" i="1"/>
  <c r="V47" i="1"/>
  <c r="V48" i="1"/>
  <c r="V49" i="1"/>
  <c r="V50" i="1"/>
  <c r="V51" i="1"/>
  <c r="V52" i="1"/>
  <c r="V53" i="1"/>
  <c r="V58" i="1"/>
  <c r="V57" i="1"/>
  <c r="V56" i="1"/>
  <c r="V63" i="1"/>
  <c r="V55" i="1"/>
  <c r="V64" i="1"/>
  <c r="V54" i="1"/>
  <c r="V59" i="1"/>
  <c r="V60" i="1"/>
  <c r="V61" i="1"/>
  <c r="V62" i="1"/>
  <c r="V66" i="1"/>
  <c r="V65" i="1"/>
  <c r="V69" i="1"/>
  <c r="V68" i="1"/>
  <c r="V67" i="1"/>
  <c r="V72" i="1"/>
  <c r="V70" i="1"/>
  <c r="V71" i="1"/>
  <c r="V73" i="1"/>
  <c r="V74" i="1"/>
  <c r="V77" i="1"/>
  <c r="V78" i="1"/>
  <c r="V75" i="1"/>
  <c r="V76" i="1"/>
  <c r="V79" i="1"/>
  <c r="V80" i="1"/>
  <c r="V88" i="1"/>
  <c r="V89" i="1"/>
  <c r="V83" i="1"/>
  <c r="V84" i="1"/>
  <c r="V87" i="1"/>
  <c r="V86" i="1"/>
  <c r="V91" i="1"/>
  <c r="V81" i="1"/>
  <c r="V85" i="1"/>
  <c r="V82" i="1"/>
  <c r="V90" i="1"/>
  <c r="V92" i="1"/>
  <c r="V93" i="1"/>
  <c r="V94" i="1"/>
  <c r="V95" i="1"/>
  <c r="V99" i="1"/>
  <c r="V100" i="1"/>
  <c r="V98" i="1"/>
  <c r="V96" i="1"/>
  <c r="V97" i="1"/>
  <c r="V101" i="1"/>
  <c r="V105" i="1"/>
  <c r="V107" i="1"/>
  <c r="V103" i="1"/>
  <c r="V104" i="1"/>
  <c r="V106" i="1"/>
  <c r="V102" i="1"/>
  <c r="V108" i="1"/>
  <c r="V109" i="1"/>
  <c r="V111" i="1"/>
  <c r="V110" i="1"/>
  <c r="V112" i="1"/>
  <c r="V113" i="1"/>
  <c r="V114" i="1"/>
  <c r="V120" i="1"/>
  <c r="V115" i="1"/>
  <c r="V116" i="1"/>
  <c r="V117" i="1"/>
  <c r="V121" i="1"/>
  <c r="V119" i="1"/>
  <c r="V118" i="1"/>
  <c r="V124" i="1"/>
  <c r="V123" i="1"/>
  <c r="V126" i="1"/>
  <c r="V127" i="1"/>
  <c r="V128" i="1"/>
  <c r="V129" i="1"/>
  <c r="V125" i="1"/>
  <c r="V130" i="1"/>
  <c r="V132" i="1"/>
  <c r="V134" i="1"/>
  <c r="V133" i="1"/>
  <c r="V131" i="1"/>
  <c r="V154" i="1"/>
  <c r="V157" i="1"/>
  <c r="V156" i="1"/>
  <c r="V158" i="1"/>
  <c r="V164" i="1"/>
  <c r="V163" i="1"/>
  <c r="V167" i="1"/>
  <c r="V166" i="1"/>
  <c r="V165" i="1"/>
  <c r="V171" i="1"/>
  <c r="V169" i="1"/>
  <c r="V170" i="1"/>
  <c r="V172" i="1"/>
  <c r="V178" i="1"/>
  <c r="V283" i="1"/>
  <c r="V176" i="1"/>
  <c r="V135" i="1"/>
  <c r="V136" i="1"/>
  <c r="V139" i="1"/>
  <c r="V141" i="1"/>
  <c r="V138" i="1"/>
  <c r="V137" i="1"/>
  <c r="V140" i="1"/>
  <c r="V142" i="1"/>
  <c r="V151" i="1"/>
  <c r="V148" i="1"/>
  <c r="V150" i="1"/>
  <c r="V155" i="1"/>
  <c r="V143" i="1"/>
  <c r="V149" i="1"/>
  <c r="V159" i="1"/>
  <c r="V144" i="1"/>
  <c r="V145" i="1"/>
  <c r="V146" i="1"/>
  <c r="V160" i="1"/>
  <c r="V152" i="1"/>
  <c r="V147" i="1"/>
  <c r="V153" i="1"/>
  <c r="V162" i="1"/>
  <c r="V161" i="1"/>
  <c r="V168" i="1"/>
  <c r="V173" i="1"/>
  <c r="V174" i="1"/>
  <c r="V180" i="1"/>
  <c r="V183" i="1"/>
  <c r="V185" i="1"/>
  <c r="V184" i="1"/>
  <c r="V182" i="1"/>
  <c r="V181" i="1"/>
  <c r="V193" i="1"/>
  <c r="V189" i="1"/>
  <c r="V187" i="1"/>
  <c r="V186" i="1"/>
  <c r="V188" i="1"/>
  <c r="V190" i="1"/>
  <c r="V192" i="1"/>
  <c r="V191" i="1"/>
  <c r="V194" i="1"/>
  <c r="V197" i="1"/>
  <c r="V195" i="1"/>
  <c r="V196" i="1"/>
  <c r="V198" i="1"/>
  <c r="V199" i="1"/>
  <c r="V200" i="1"/>
  <c r="V201" i="1"/>
  <c r="V206" i="1"/>
  <c r="V203" i="1"/>
  <c r="V208" i="1"/>
  <c r="V207" i="1"/>
  <c r="V205" i="1"/>
  <c r="V204" i="1"/>
  <c r="V202" i="1"/>
  <c r="V209" i="1"/>
  <c r="V210" i="1"/>
  <c r="V211" i="1"/>
  <c r="V212" i="1"/>
  <c r="V213" i="1"/>
  <c r="V214" i="1"/>
  <c r="V215" i="1"/>
  <c r="V216" i="1"/>
  <c r="V219" i="1"/>
  <c r="V220" i="1"/>
  <c r="V217" i="1"/>
  <c r="V218" i="1"/>
  <c r="V221" i="1"/>
  <c r="V227" i="1"/>
  <c r="V230" i="1"/>
  <c r="V226" i="1"/>
  <c r="V225" i="1"/>
  <c r="V228" i="1"/>
  <c r="V229" i="1"/>
  <c r="V223" i="1"/>
  <c r="V237" i="1"/>
  <c r="V222" i="1"/>
  <c r="V224" i="1"/>
  <c r="V236" i="1"/>
  <c r="V231" i="1"/>
  <c r="V243" i="1"/>
  <c r="V248" i="1"/>
  <c r="V257" i="1"/>
  <c r="V256" i="1"/>
  <c r="V255" i="1"/>
  <c r="V254" i="1"/>
  <c r="V258" i="1"/>
  <c r="V259" i="1"/>
  <c r="V260" i="1"/>
  <c r="V268" i="1"/>
  <c r="V267" i="1"/>
  <c r="V265" i="1"/>
  <c r="V264" i="1"/>
  <c r="V266" i="1"/>
  <c r="V261" i="1"/>
  <c r="V263" i="1"/>
  <c r="V262" i="1"/>
  <c r="V269" i="1"/>
  <c r="V270" i="1"/>
  <c r="V271" i="1"/>
  <c r="V272" i="1"/>
  <c r="V277" i="1"/>
  <c r="V278" i="1"/>
  <c r="V273" i="1"/>
  <c r="V276" i="1"/>
  <c r="V275" i="1"/>
  <c r="V279" i="1"/>
  <c r="V274" i="1"/>
  <c r="V280" i="1"/>
  <c r="V281" i="1"/>
  <c r="V282" i="1"/>
  <c r="V290" i="1"/>
  <c r="V287" i="1"/>
  <c r="V299" i="1"/>
  <c r="V291" i="1"/>
  <c r="V289" i="1"/>
  <c r="V286" i="1"/>
  <c r="V292" i="1"/>
  <c r="V296" i="1"/>
  <c r="V288" i="1"/>
  <c r="V298" i="1"/>
  <c r="V284" i="1"/>
  <c r="V285" i="1"/>
  <c r="V303" i="1"/>
  <c r="V312" i="1"/>
  <c r="V308" i="1"/>
  <c r="V318" i="1"/>
  <c r="V317" i="1"/>
  <c r="V316" i="1"/>
  <c r="V319" i="1"/>
  <c r="V446" i="1"/>
  <c r="V326" i="1"/>
  <c r="V323" i="1"/>
  <c r="V328" i="1"/>
  <c r="V320" i="1"/>
  <c r="V321" i="1"/>
  <c r="V322" i="1"/>
  <c r="V324" i="1"/>
  <c r="V327" i="1"/>
  <c r="V329" i="1"/>
  <c r="V330" i="1"/>
  <c r="V334" i="1"/>
  <c r="V335" i="1"/>
  <c r="V331" i="1"/>
  <c r="V332" i="1"/>
  <c r="V333" i="1"/>
  <c r="V336" i="1"/>
  <c r="V337" i="1"/>
  <c r="V345" i="1"/>
  <c r="V342" i="1"/>
  <c r="V349" i="1"/>
  <c r="V350" i="1"/>
  <c r="V360" i="1"/>
  <c r="V367" i="1"/>
  <c r="V361" i="1"/>
  <c r="V362" i="1"/>
  <c r="V363" i="1"/>
  <c r="V365" i="1"/>
  <c r="V366" i="1"/>
  <c r="V364" i="1"/>
  <c r="V369" i="1"/>
  <c r="V368" i="1"/>
  <c r="V377" i="1"/>
  <c r="V373" i="1"/>
  <c r="V375" i="1"/>
  <c r="V379" i="1"/>
  <c r="V372" i="1"/>
  <c r="V371" i="1"/>
  <c r="V378" i="1"/>
  <c r="V376" i="1"/>
  <c r="V380" i="1"/>
  <c r="V381" i="1"/>
  <c r="V383" i="1"/>
  <c r="V385" i="1"/>
  <c r="V382" i="1"/>
  <c r="V384" i="1"/>
  <c r="V386" i="1"/>
  <c r="V388" i="1"/>
  <c r="V387" i="1"/>
  <c r="V390" i="1"/>
  <c r="V389" i="1"/>
  <c r="V398" i="1"/>
  <c r="V397" i="1"/>
  <c r="V403" i="1"/>
  <c r="V391" i="1"/>
  <c r="V396" i="1"/>
  <c r="V394" i="1"/>
  <c r="V393" i="1"/>
  <c r="V395" i="1"/>
  <c r="V392" i="1"/>
  <c r="V405" i="1"/>
  <c r="V404" i="1"/>
  <c r="V420" i="1"/>
  <c r="V422" i="1"/>
  <c r="V421" i="1"/>
  <c r="V424" i="1"/>
  <c r="V429" i="1"/>
  <c r="V430" i="1"/>
  <c r="V428" i="1"/>
  <c r="V445" i="1"/>
  <c r="V426" i="1"/>
  <c r="V425" i="1"/>
  <c r="V427" i="1"/>
  <c r="V431" i="1"/>
  <c r="V433" i="1"/>
  <c r="V432" i="1"/>
  <c r="V434" i="1"/>
  <c r="V435" i="1"/>
  <c r="V436" i="1"/>
  <c r="V658" i="1"/>
  <c r="V439" i="1"/>
  <c r="V438" i="1"/>
  <c r="V444" i="1"/>
  <c r="V437" i="1"/>
  <c r="V447" i="1"/>
  <c r="V457" i="1"/>
  <c r="V462" i="1"/>
  <c r="V458" i="1"/>
  <c r="V461" i="1"/>
  <c r="V584" i="1"/>
  <c r="V459" i="1"/>
  <c r="V460" i="1"/>
  <c r="V463" i="1"/>
  <c r="V470" i="1"/>
  <c r="V469" i="1"/>
  <c r="V471" i="1"/>
  <c r="V474" i="1"/>
  <c r="V473" i="1"/>
  <c r="V472" i="1"/>
  <c r="V475" i="1"/>
  <c r="V476" i="1"/>
  <c r="V477" i="1"/>
  <c r="V480" i="1"/>
  <c r="V479" i="1"/>
  <c r="V478" i="1"/>
  <c r="V484" i="1"/>
  <c r="V493" i="1"/>
  <c r="V499" i="1"/>
  <c r="V494" i="1"/>
  <c r="V492" i="1"/>
  <c r="V504" i="1"/>
  <c r="V505" i="1"/>
  <c r="V506" i="1"/>
  <c r="V546" i="1"/>
  <c r="V552" i="1"/>
  <c r="V510" i="1"/>
  <c r="V521" i="1"/>
  <c r="V522" i="1"/>
  <c r="V518" i="1"/>
  <c r="V519" i="1"/>
  <c r="V520" i="1"/>
  <c r="V531" i="1"/>
  <c r="V524" i="1"/>
  <c r="V528" i="1"/>
  <c r="V529" i="1"/>
  <c r="V532" i="1"/>
  <c r="V535" i="1"/>
  <c r="V534" i="1"/>
  <c r="V533" i="1"/>
  <c r="V544" i="1"/>
  <c r="V550" i="1"/>
  <c r="V539" i="1"/>
  <c r="V540" i="1"/>
  <c r="V541" i="1"/>
  <c r="V542" i="1"/>
  <c r="V545" i="1"/>
  <c r="V582" i="1"/>
  <c r="V627" i="1"/>
  <c r="V599" i="1"/>
  <c r="V553" i="1"/>
  <c r="V597" i="1"/>
  <c r="V596" i="1"/>
  <c r="V606" i="1"/>
  <c r="V563" i="1"/>
  <c r="V564" i="1"/>
  <c r="V561" i="1"/>
  <c r="V562" i="1"/>
  <c r="V551" i="1"/>
  <c r="V565" i="1"/>
  <c r="V591" i="1"/>
  <c r="V567" i="1"/>
  <c r="V588" i="1"/>
  <c r="V589" i="1"/>
  <c r="V587" i="1"/>
  <c r="V583" i="1"/>
  <c r="V585" i="1"/>
  <c r="V590" i="1"/>
  <c r="V598" i="1"/>
  <c r="V600" i="1"/>
  <c r="V603" i="1"/>
  <c r="V607" i="1"/>
  <c r="V608" i="1"/>
  <c r="V613" i="1"/>
  <c r="V618" i="1"/>
  <c r="V625" i="1"/>
  <c r="V630" i="1"/>
  <c r="V631" i="1"/>
  <c r="V621" i="1"/>
  <c r="V620" i="1"/>
  <c r="V623" i="1"/>
  <c r="V646" i="1"/>
  <c r="V626" i="1"/>
  <c r="V629" i="1"/>
  <c r="V628" i="1"/>
  <c r="V633" i="1"/>
  <c r="V632" i="1"/>
  <c r="V641" i="1"/>
  <c r="V642" i="1"/>
  <c r="V640" i="1"/>
  <c r="V639" i="1"/>
  <c r="V643" i="1"/>
  <c r="V647" i="1"/>
  <c r="V659" i="1"/>
  <c r="V657" i="1"/>
  <c r="V340" i="1"/>
  <c r="D232" i="1"/>
  <c r="X232" i="1"/>
  <c r="AF232" i="1"/>
  <c r="AG232" i="1"/>
  <c r="AH232" i="1"/>
  <c r="AI232" i="1"/>
  <c r="AJ232" i="1"/>
  <c r="AN232" i="1"/>
  <c r="D234" i="1"/>
  <c r="X234" i="1"/>
  <c r="AF234" i="1"/>
  <c r="AG234" i="1"/>
  <c r="AH234" i="1"/>
  <c r="AI234" i="1"/>
  <c r="AJ234" i="1"/>
  <c r="AN234" i="1"/>
  <c r="D235" i="1"/>
  <c r="X235" i="1"/>
  <c r="AF235" i="1"/>
  <c r="AG235" i="1"/>
  <c r="AH235" i="1"/>
  <c r="AI235" i="1"/>
  <c r="AJ235" i="1"/>
  <c r="AN235" i="1"/>
  <c r="D233" i="1"/>
  <c r="X233" i="1"/>
  <c r="AF233" i="1"/>
  <c r="AG233" i="1"/>
  <c r="AH233" i="1"/>
  <c r="AI233" i="1"/>
  <c r="AJ233" i="1"/>
  <c r="AN233" i="1"/>
  <c r="D239" i="1"/>
  <c r="X239" i="1"/>
  <c r="AF239" i="1"/>
  <c r="AG239" i="1"/>
  <c r="AH239" i="1"/>
  <c r="AI239" i="1"/>
  <c r="AJ239" i="1"/>
  <c r="AN239" i="1"/>
  <c r="D238" i="1"/>
  <c r="X238" i="1"/>
  <c r="AF238" i="1"/>
  <c r="AG238" i="1"/>
  <c r="AH238" i="1"/>
  <c r="AI238" i="1"/>
  <c r="AJ238" i="1"/>
  <c r="AN238" i="1"/>
  <c r="D242" i="1"/>
  <c r="X242" i="1"/>
  <c r="AF242" i="1"/>
  <c r="AG242" i="1"/>
  <c r="AH242" i="1"/>
  <c r="AI242" i="1"/>
  <c r="AJ242" i="1"/>
  <c r="AN242" i="1"/>
  <c r="D241" i="1"/>
  <c r="X241" i="1"/>
  <c r="AF241" i="1"/>
  <c r="AG241" i="1"/>
  <c r="AH241" i="1"/>
  <c r="AI241" i="1"/>
  <c r="AJ241" i="1"/>
  <c r="AN241" i="1"/>
  <c r="D240" i="1"/>
  <c r="X240" i="1"/>
  <c r="AF240" i="1"/>
  <c r="AG240" i="1"/>
  <c r="AH240" i="1"/>
  <c r="AI240" i="1"/>
  <c r="AJ240" i="1"/>
  <c r="AN240" i="1"/>
  <c r="D246" i="1"/>
  <c r="X246" i="1"/>
  <c r="AF246" i="1"/>
  <c r="AG246" i="1"/>
  <c r="AH246" i="1"/>
  <c r="AI246" i="1"/>
  <c r="AJ246" i="1"/>
  <c r="AN246" i="1"/>
  <c r="D244" i="1"/>
  <c r="X244" i="1"/>
  <c r="AF244" i="1"/>
  <c r="AG244" i="1"/>
  <c r="AH244" i="1"/>
  <c r="AI244" i="1"/>
  <c r="AJ244" i="1"/>
  <c r="AN244" i="1"/>
  <c r="D247" i="1"/>
  <c r="X247" i="1"/>
  <c r="AF247" i="1"/>
  <c r="AG247" i="1"/>
  <c r="AH247" i="1"/>
  <c r="AI247" i="1"/>
  <c r="AJ247" i="1"/>
  <c r="AN247" i="1"/>
  <c r="D245" i="1"/>
  <c r="X245" i="1"/>
  <c r="AF245" i="1"/>
  <c r="AG245" i="1"/>
  <c r="AH245" i="1"/>
  <c r="AI245" i="1"/>
  <c r="AJ245" i="1"/>
  <c r="AN245" i="1"/>
  <c r="D252" i="1"/>
  <c r="X252" i="1"/>
  <c r="AF252" i="1"/>
  <c r="AG252" i="1"/>
  <c r="AH252" i="1"/>
  <c r="AI252" i="1"/>
  <c r="AJ252" i="1"/>
  <c r="AN252" i="1"/>
  <c r="D251" i="1"/>
  <c r="X251" i="1"/>
  <c r="AF251" i="1"/>
  <c r="AG251" i="1"/>
  <c r="AH251" i="1"/>
  <c r="AI251" i="1"/>
  <c r="AJ251" i="1"/>
  <c r="AN251" i="1"/>
  <c r="D253" i="1"/>
  <c r="X253" i="1"/>
  <c r="AF253" i="1"/>
  <c r="AG253" i="1"/>
  <c r="AH253" i="1"/>
  <c r="AI253" i="1"/>
  <c r="AJ253" i="1"/>
  <c r="AN253" i="1"/>
  <c r="D249" i="1"/>
  <c r="X249" i="1"/>
  <c r="AF249" i="1"/>
  <c r="AG249" i="1"/>
  <c r="AH249" i="1"/>
  <c r="AI249" i="1"/>
  <c r="AJ249" i="1"/>
  <c r="AN249" i="1"/>
  <c r="D250" i="1"/>
  <c r="X250" i="1"/>
  <c r="AF250" i="1"/>
  <c r="AG250" i="1"/>
  <c r="AH250" i="1"/>
  <c r="AI250" i="1"/>
  <c r="AJ250" i="1"/>
  <c r="AN250" i="1"/>
  <c r="D283" i="1"/>
  <c r="X283" i="1"/>
  <c r="U283" i="1"/>
  <c r="AF283" i="1"/>
  <c r="AG283" i="1"/>
  <c r="AH283" i="1"/>
  <c r="AI283" i="1"/>
  <c r="AJ283" i="1"/>
  <c r="AN283" i="1"/>
  <c r="D178" i="1"/>
  <c r="X178" i="1"/>
  <c r="U178" i="1"/>
  <c r="AF178" i="1"/>
  <c r="AG178" i="1"/>
  <c r="AH178" i="1"/>
  <c r="AI178" i="1"/>
  <c r="AJ178" i="1"/>
  <c r="AN178" i="1"/>
  <c r="D177" i="1"/>
  <c r="X177" i="1"/>
  <c r="AF177" i="1"/>
  <c r="AG177" i="1"/>
  <c r="AH177" i="1"/>
  <c r="AI177" i="1"/>
  <c r="AJ177" i="1"/>
  <c r="AN177" i="1"/>
  <c r="D179" i="1"/>
  <c r="X179" i="1"/>
  <c r="AF179" i="1"/>
  <c r="AG179" i="1"/>
  <c r="AH179" i="1"/>
  <c r="AI179" i="1"/>
  <c r="AJ179" i="1"/>
  <c r="AN179" i="1"/>
  <c r="D175" i="1"/>
  <c r="X175" i="1"/>
  <c r="AF175" i="1"/>
  <c r="AG175" i="1"/>
  <c r="AH175" i="1"/>
  <c r="AI175" i="1"/>
  <c r="AJ175" i="1"/>
  <c r="AN175" i="1"/>
  <c r="D176" i="1"/>
  <c r="X176" i="1"/>
  <c r="AF176" i="1"/>
  <c r="AG176" i="1"/>
  <c r="AH176" i="1"/>
  <c r="AI176" i="1"/>
  <c r="AJ176" i="1"/>
  <c r="AN176" i="1"/>
  <c r="D170" i="1"/>
  <c r="X170" i="1"/>
  <c r="U170" i="1"/>
  <c r="AF170" i="1"/>
  <c r="AG170" i="1"/>
  <c r="AH170" i="1"/>
  <c r="AI170" i="1"/>
  <c r="AJ170" i="1"/>
  <c r="AN170" i="1"/>
  <c r="D171" i="1"/>
  <c r="X171" i="1"/>
  <c r="U171" i="1"/>
  <c r="AF171" i="1"/>
  <c r="AG171" i="1"/>
  <c r="AH171" i="1"/>
  <c r="AI171" i="1"/>
  <c r="AJ171" i="1"/>
  <c r="AN171" i="1"/>
  <c r="D169" i="1"/>
  <c r="X169" i="1"/>
  <c r="U169" i="1"/>
  <c r="AF169" i="1"/>
  <c r="AG169" i="1"/>
  <c r="AH169" i="1"/>
  <c r="AI169" i="1"/>
  <c r="AJ169" i="1"/>
  <c r="AN169" i="1"/>
  <c r="D172" i="1"/>
  <c r="X172" i="1"/>
  <c r="U172" i="1"/>
  <c r="AF172" i="1"/>
  <c r="AG172" i="1"/>
  <c r="AH172" i="1"/>
  <c r="AI172" i="1"/>
  <c r="AJ172" i="1"/>
  <c r="AN172" i="1"/>
  <c r="D165" i="1"/>
  <c r="X165" i="1"/>
  <c r="U165" i="1"/>
  <c r="AF165" i="1"/>
  <c r="AG165" i="1"/>
  <c r="AH165" i="1"/>
  <c r="AI165" i="1"/>
  <c r="AJ165" i="1"/>
  <c r="AN165" i="1"/>
  <c r="D166" i="1"/>
  <c r="X166" i="1"/>
  <c r="U166" i="1"/>
  <c r="AF166" i="1"/>
  <c r="AG166" i="1"/>
  <c r="AH166" i="1"/>
  <c r="AI166" i="1"/>
  <c r="AJ166" i="1"/>
  <c r="AN166" i="1"/>
  <c r="D167" i="1"/>
  <c r="X167" i="1"/>
  <c r="U167" i="1"/>
  <c r="AF167" i="1"/>
  <c r="AG167" i="1"/>
  <c r="AH167" i="1"/>
  <c r="AI167" i="1"/>
  <c r="AJ167" i="1"/>
  <c r="AN167" i="1"/>
  <c r="D163" i="1"/>
  <c r="X163" i="1"/>
  <c r="U163" i="1"/>
  <c r="AF163" i="1"/>
  <c r="AG163" i="1"/>
  <c r="AH163" i="1"/>
  <c r="AI163" i="1"/>
  <c r="AJ163" i="1"/>
  <c r="AN163" i="1"/>
  <c r="D164" i="1"/>
  <c r="X164" i="1"/>
  <c r="U164" i="1"/>
  <c r="AF164" i="1"/>
  <c r="AG164" i="1"/>
  <c r="AH164" i="1"/>
  <c r="AI164" i="1"/>
  <c r="AJ164" i="1"/>
  <c r="AN164" i="1"/>
  <c r="D156" i="1"/>
  <c r="X156" i="1"/>
  <c r="U156" i="1"/>
  <c r="AF156" i="1"/>
  <c r="AG156" i="1"/>
  <c r="AH156" i="1"/>
  <c r="AI156" i="1"/>
  <c r="AJ156" i="1"/>
  <c r="AN156" i="1"/>
  <c r="D158" i="1"/>
  <c r="X158" i="1"/>
  <c r="U158" i="1"/>
  <c r="AF158" i="1"/>
  <c r="AG158" i="1"/>
  <c r="AH158" i="1"/>
  <c r="AI158" i="1"/>
  <c r="AJ158" i="1"/>
  <c r="AN158" i="1"/>
  <c r="D157" i="1"/>
  <c r="X157" i="1"/>
  <c r="U157" i="1"/>
  <c r="AF157" i="1"/>
  <c r="AG157" i="1"/>
  <c r="AH157" i="1"/>
  <c r="AI157" i="1"/>
  <c r="AJ157" i="1"/>
  <c r="AN157" i="1"/>
  <c r="D154" i="1"/>
  <c r="X154" i="1"/>
  <c r="U154" i="1"/>
  <c r="AF154" i="1"/>
  <c r="AG154" i="1"/>
  <c r="AH154" i="1"/>
  <c r="AI154" i="1"/>
  <c r="AJ154" i="1"/>
  <c r="AN154" i="1"/>
  <c r="D109" i="1"/>
  <c r="X109" i="1"/>
  <c r="U109" i="1"/>
  <c r="AF109" i="1"/>
  <c r="AG109" i="1"/>
  <c r="AH109" i="1"/>
  <c r="AI109" i="1"/>
  <c r="AJ109" i="1"/>
  <c r="AN109" i="1"/>
  <c r="D108" i="1"/>
  <c r="X108" i="1"/>
  <c r="U108" i="1"/>
  <c r="AF108" i="1"/>
  <c r="AG108" i="1"/>
  <c r="AH108" i="1"/>
  <c r="AI108" i="1"/>
  <c r="AJ108" i="1"/>
  <c r="AN108" i="1"/>
  <c r="D102" i="1"/>
  <c r="X102" i="1"/>
  <c r="U102" i="1"/>
  <c r="AF102" i="1"/>
  <c r="AG102" i="1"/>
  <c r="AH102" i="1"/>
  <c r="AI102" i="1"/>
  <c r="AJ102" i="1"/>
  <c r="AN102" i="1"/>
  <c r="C18" i="41"/>
  <c r="D122" i="1"/>
  <c r="AF122" i="1"/>
  <c r="AG122" i="1"/>
  <c r="AH122" i="1"/>
  <c r="AI122" i="1"/>
  <c r="AJ122" i="1"/>
  <c r="AN122" i="1"/>
  <c r="D181" i="1"/>
  <c r="U181" i="1"/>
  <c r="AF181" i="1"/>
  <c r="AG181" i="1"/>
  <c r="AH181" i="1"/>
  <c r="AI181" i="1"/>
  <c r="AJ181" i="1"/>
  <c r="AN181" i="1"/>
  <c r="E39" i="17"/>
  <c r="G39" i="17" s="1"/>
  <c r="K39" i="17"/>
  <c r="U39" i="17" s="1"/>
  <c r="M39" i="17"/>
  <c r="N39" i="17"/>
  <c r="O39" i="17"/>
  <c r="E45" i="17"/>
  <c r="G45" i="17" s="1"/>
  <c r="K45" i="17"/>
  <c r="U45" i="17" s="1"/>
  <c r="M45" i="17"/>
  <c r="N45" i="17"/>
  <c r="O45" i="17"/>
  <c r="E46" i="17"/>
  <c r="G46" i="17" s="1"/>
  <c r="K46" i="17"/>
  <c r="U46" i="17" s="1"/>
  <c r="M46" i="17"/>
  <c r="N46" i="17"/>
  <c r="O46" i="17"/>
  <c r="E47" i="17"/>
  <c r="G47" i="17" s="1"/>
  <c r="K47" i="17"/>
  <c r="U47" i="17" s="1"/>
  <c r="M47" i="17"/>
  <c r="N47" i="17"/>
  <c r="O47" i="17"/>
  <c r="E48" i="17"/>
  <c r="G48" i="17" s="1"/>
  <c r="K48" i="17"/>
  <c r="U48" i="17" s="1"/>
  <c r="M48" i="17"/>
  <c r="N48" i="17"/>
  <c r="O48" i="17"/>
  <c r="E49" i="17"/>
  <c r="G49" i="17" s="1"/>
  <c r="K49" i="17"/>
  <c r="U49" i="17" s="1"/>
  <c r="M49" i="17"/>
  <c r="N49" i="17"/>
  <c r="O49" i="17"/>
  <c r="E57" i="17"/>
  <c r="G57" i="17" s="1"/>
  <c r="K57" i="17"/>
  <c r="Z57" i="17" s="1"/>
  <c r="M57" i="17"/>
  <c r="N57" i="17"/>
  <c r="O57" i="17"/>
  <c r="V664" i="1" l="1"/>
  <c r="AK122" i="1"/>
  <c r="AK102" i="1"/>
  <c r="AK181" i="1"/>
  <c r="AK108" i="1"/>
  <c r="AK109" i="1"/>
  <c r="Z39" i="17"/>
  <c r="I39" i="17"/>
  <c r="J39" i="17"/>
  <c r="R39" i="17"/>
  <c r="Z47" i="17"/>
  <c r="Z45" i="17"/>
  <c r="I45" i="17"/>
  <c r="J45" i="17"/>
  <c r="R45" i="17"/>
  <c r="Z46" i="17"/>
  <c r="I47" i="17"/>
  <c r="J47" i="17"/>
  <c r="R47" i="17"/>
  <c r="I46" i="17"/>
  <c r="J46" i="17"/>
  <c r="R46" i="17"/>
  <c r="Z48" i="17"/>
  <c r="I48" i="17"/>
  <c r="J48" i="17"/>
  <c r="R48" i="17"/>
  <c r="J49" i="17"/>
  <c r="I49" i="17"/>
  <c r="R49" i="17"/>
  <c r="Z49" i="17"/>
  <c r="I57" i="17"/>
  <c r="J57" i="17"/>
  <c r="R57" i="17"/>
  <c r="U57" i="17"/>
  <c r="X80" i="1"/>
  <c r="X81" i="1"/>
  <c r="X111" i="1"/>
  <c r="X110" i="1"/>
  <c r="X113" i="1"/>
  <c r="X114" i="1"/>
  <c r="X115" i="1"/>
  <c r="X112" i="1"/>
  <c r="X377" i="1"/>
  <c r="X269" i="1"/>
  <c r="X446" i="1"/>
  <c r="X320" i="1"/>
  <c r="X321" i="1"/>
  <c r="X322" i="1"/>
  <c r="X323" i="1"/>
  <c r="X328" i="1"/>
  <c r="X324" i="1"/>
  <c r="X326" i="1"/>
  <c r="X327" i="1"/>
  <c r="X329" i="1"/>
  <c r="X330" i="1"/>
  <c r="X333" i="1"/>
  <c r="X336" i="1"/>
  <c r="X331" i="1"/>
  <c r="X332" i="1"/>
  <c r="X334" i="1"/>
  <c r="X335" i="1"/>
  <c r="X337" i="1"/>
  <c r="X342" i="1"/>
  <c r="X345" i="1"/>
  <c r="X349" i="1"/>
  <c r="X350" i="1"/>
  <c r="X360" i="1"/>
  <c r="X367" i="1"/>
  <c r="X362" i="1"/>
  <c r="X361" i="1"/>
  <c r="X363" i="1"/>
  <c r="X365" i="1"/>
  <c r="X364" i="1"/>
  <c r="X366" i="1"/>
  <c r="X369" i="1"/>
  <c r="X368" i="1"/>
  <c r="X371" i="1"/>
  <c r="X373" i="1"/>
  <c r="X375" i="1"/>
  <c r="X372" i="1"/>
  <c r="X378" i="1"/>
  <c r="X379" i="1"/>
  <c r="X376" i="1"/>
  <c r="X380" i="1"/>
  <c r="X381" i="1"/>
  <c r="X384" i="1"/>
  <c r="X383" i="1"/>
  <c r="X382" i="1"/>
  <c r="X385" i="1"/>
  <c r="X386" i="1"/>
  <c r="X388" i="1"/>
  <c r="X387" i="1"/>
  <c r="X390" i="1"/>
  <c r="X389" i="1"/>
  <c r="X391" i="1"/>
  <c r="X394" i="1"/>
  <c r="X393" i="1"/>
  <c r="X395" i="1"/>
  <c r="X396" i="1"/>
  <c r="X398" i="1"/>
  <c r="X403" i="1"/>
  <c r="X392" i="1"/>
  <c r="X397" i="1"/>
  <c r="X404" i="1"/>
  <c r="X405" i="1"/>
  <c r="X420" i="1"/>
  <c r="X421" i="1"/>
  <c r="X422" i="1"/>
  <c r="X424" i="1"/>
  <c r="X429" i="1"/>
  <c r="X445" i="1"/>
  <c r="X426" i="1"/>
  <c r="X425" i="1"/>
  <c r="X427" i="1"/>
  <c r="X428" i="1"/>
  <c r="X430" i="1"/>
  <c r="X434" i="1"/>
  <c r="X431" i="1"/>
  <c r="X433" i="1"/>
  <c r="X432" i="1"/>
  <c r="X435" i="1"/>
  <c r="X436" i="1"/>
  <c r="X437" i="1"/>
  <c r="X438" i="1"/>
  <c r="X439" i="1"/>
  <c r="X444" i="1"/>
  <c r="X447" i="1"/>
  <c r="X457" i="1"/>
  <c r="X461" i="1"/>
  <c r="X458" i="1"/>
  <c r="X459" i="1"/>
  <c r="X460" i="1"/>
  <c r="X462" i="1"/>
  <c r="X463" i="1"/>
  <c r="X470" i="1"/>
  <c r="X469" i="1"/>
  <c r="X471" i="1"/>
  <c r="X472" i="1"/>
  <c r="X473" i="1"/>
  <c r="X474" i="1"/>
  <c r="X52" i="1"/>
  <c r="AM16" i="41"/>
  <c r="AI16" i="41"/>
  <c r="AH16" i="41"/>
  <c r="AG16" i="41"/>
  <c r="AF16" i="41"/>
  <c r="AE16" i="41"/>
  <c r="U16" i="41"/>
  <c r="T16" i="41"/>
  <c r="S16" i="41"/>
  <c r="C16" i="41"/>
  <c r="G2" i="48"/>
  <c r="G3" i="48"/>
  <c r="G4" i="48"/>
  <c r="G5" i="48"/>
  <c r="G6" i="48"/>
  <c r="G7" i="48"/>
  <c r="G8" i="48"/>
  <c r="G9" i="48"/>
  <c r="G11" i="48"/>
  <c r="G12" i="48"/>
  <c r="G13" i="48"/>
  <c r="G14" i="48"/>
  <c r="G15" i="48"/>
  <c r="G16" i="48"/>
  <c r="G17" i="48"/>
  <c r="G18" i="48"/>
  <c r="G19" i="48"/>
  <c r="G20" i="48"/>
  <c r="G21" i="48"/>
  <c r="G22" i="48"/>
  <c r="G23" i="48"/>
  <c r="G24" i="48"/>
  <c r="G25" i="48"/>
  <c r="G26" i="48"/>
  <c r="G27" i="48"/>
  <c r="G28" i="48"/>
  <c r="G29" i="48"/>
  <c r="G30" i="48"/>
  <c r="G31" i="48"/>
  <c r="G32" i="48"/>
  <c r="G33" i="48"/>
  <c r="G34" i="48"/>
  <c r="G35" i="48"/>
  <c r="G36" i="48"/>
  <c r="G37" i="48"/>
  <c r="G39" i="48"/>
  <c r="G40" i="48"/>
  <c r="G41" i="48"/>
  <c r="G42" i="48"/>
  <c r="G43" i="48"/>
  <c r="G49" i="48"/>
  <c r="G50" i="48"/>
  <c r="G51" i="48"/>
  <c r="G52" i="48"/>
  <c r="G57" i="48"/>
  <c r="G58" i="48"/>
  <c r="G38" i="48"/>
  <c r="G44" i="48"/>
  <c r="G45" i="48"/>
  <c r="G46" i="48"/>
  <c r="G47" i="48"/>
  <c r="G48" i="48"/>
  <c r="G56" i="48"/>
  <c r="G59" i="48"/>
  <c r="G60" i="48"/>
  <c r="G61" i="48"/>
  <c r="G62" i="48"/>
  <c r="G63" i="48"/>
  <c r="G64" i="48"/>
  <c r="V3" i="48"/>
  <c r="V4" i="48"/>
  <c r="V5" i="48"/>
  <c r="V6" i="48"/>
  <c r="V7" i="48"/>
  <c r="V8" i="48"/>
  <c r="V9" i="48"/>
  <c r="V11" i="48"/>
  <c r="V12" i="48"/>
  <c r="V13" i="48"/>
  <c r="V14" i="48"/>
  <c r="V15" i="48"/>
  <c r="V16" i="48"/>
  <c r="V17" i="48"/>
  <c r="V18" i="48"/>
  <c r="V19" i="48"/>
  <c r="V20" i="48"/>
  <c r="V21" i="48"/>
  <c r="V22" i="48"/>
  <c r="V23" i="48"/>
  <c r="V24" i="48"/>
  <c r="V25" i="48"/>
  <c r="V26" i="48"/>
  <c r="V27" i="48"/>
  <c r="V28" i="48"/>
  <c r="V29" i="48"/>
  <c r="V30" i="48"/>
  <c r="V31" i="48"/>
  <c r="V33" i="48"/>
  <c r="V35" i="48"/>
  <c r="V36" i="48"/>
  <c r="V37" i="48"/>
  <c r="V39" i="48"/>
  <c r="V40" i="48"/>
  <c r="V41" i="48"/>
  <c r="V42" i="48"/>
  <c r="V43" i="48"/>
  <c r="V49" i="48"/>
  <c r="V50" i="48"/>
  <c r="V51" i="48"/>
  <c r="V52" i="48"/>
  <c r="V57" i="48"/>
  <c r="V58" i="48"/>
  <c r="V59" i="48"/>
  <c r="V60" i="48"/>
  <c r="V61" i="48"/>
  <c r="V62" i="48"/>
  <c r="V63" i="48"/>
  <c r="E2" i="48"/>
  <c r="E3" i="48"/>
  <c r="E4" i="48"/>
  <c r="E5" i="48"/>
  <c r="E6" i="48"/>
  <c r="E7" i="48"/>
  <c r="E8" i="48"/>
  <c r="E9" i="48"/>
  <c r="E11" i="48"/>
  <c r="E12" i="48"/>
  <c r="E13" i="48"/>
  <c r="E14" i="48"/>
  <c r="E15" i="48"/>
  <c r="E16" i="48"/>
  <c r="E17" i="48"/>
  <c r="E18" i="48"/>
  <c r="E19" i="48"/>
  <c r="E20" i="48"/>
  <c r="E21" i="48"/>
  <c r="E22" i="48"/>
  <c r="E23" i="48"/>
  <c r="E24" i="48"/>
  <c r="E25" i="48"/>
  <c r="E26" i="48"/>
  <c r="E27" i="48"/>
  <c r="E28" i="48"/>
  <c r="E29" i="48"/>
  <c r="E30" i="48"/>
  <c r="E31" i="48"/>
  <c r="E32" i="48"/>
  <c r="E33" i="48"/>
  <c r="E34" i="48"/>
  <c r="E35" i="48"/>
  <c r="E36" i="48"/>
  <c r="E37" i="48"/>
  <c r="E39" i="48"/>
  <c r="E40" i="48"/>
  <c r="E41" i="48"/>
  <c r="E42" i="48"/>
  <c r="E43" i="48"/>
  <c r="E49" i="48"/>
  <c r="E50" i="48"/>
  <c r="E51" i="48"/>
  <c r="E52" i="48"/>
  <c r="E57" i="48"/>
  <c r="E58" i="48"/>
  <c r="E38" i="48"/>
  <c r="E44" i="48"/>
  <c r="E45" i="48"/>
  <c r="E46" i="48"/>
  <c r="E47" i="48"/>
  <c r="E48" i="48"/>
  <c r="E56" i="48"/>
  <c r="E59" i="48"/>
  <c r="E60" i="48"/>
  <c r="E61" i="48"/>
  <c r="E62" i="48"/>
  <c r="E63" i="48"/>
  <c r="E64" i="48"/>
  <c r="D2" i="48"/>
  <c r="D3" i="48"/>
  <c r="D4" i="48"/>
  <c r="D5" i="48"/>
  <c r="D6" i="48"/>
  <c r="D7" i="48"/>
  <c r="D8" i="48"/>
  <c r="D9" i="48"/>
  <c r="D11" i="48"/>
  <c r="D12" i="48"/>
  <c r="D13" i="48"/>
  <c r="D14" i="48"/>
  <c r="D15" i="48"/>
  <c r="D16" i="48"/>
  <c r="D17" i="48"/>
  <c r="D18" i="48"/>
  <c r="D19" i="48"/>
  <c r="D20" i="48"/>
  <c r="D21" i="48"/>
  <c r="D22" i="48"/>
  <c r="D23" i="48"/>
  <c r="D24" i="48"/>
  <c r="D25" i="48"/>
  <c r="D26" i="48"/>
  <c r="D27" i="48"/>
  <c r="D28" i="48"/>
  <c r="D29" i="48"/>
  <c r="D30" i="48"/>
  <c r="D31" i="48"/>
  <c r="D32" i="48"/>
  <c r="D33" i="48"/>
  <c r="D34" i="48"/>
  <c r="D35" i="48"/>
  <c r="D36" i="48"/>
  <c r="D37" i="48"/>
  <c r="D39" i="48"/>
  <c r="D40" i="48"/>
  <c r="D41" i="48"/>
  <c r="D42" i="48"/>
  <c r="D43" i="48"/>
  <c r="D49" i="48"/>
  <c r="D50" i="48"/>
  <c r="D51" i="48"/>
  <c r="D52" i="48"/>
  <c r="D57" i="48"/>
  <c r="D58" i="48"/>
  <c r="D38" i="48"/>
  <c r="D44" i="48"/>
  <c r="D45" i="48"/>
  <c r="D46" i="48"/>
  <c r="D47" i="48"/>
  <c r="D48" i="48"/>
  <c r="D56" i="48"/>
  <c r="D59" i="48"/>
  <c r="D60" i="48"/>
  <c r="D61" i="48"/>
  <c r="D62" i="48"/>
  <c r="D63" i="48"/>
  <c r="D64" i="48"/>
  <c r="B38" i="48"/>
  <c r="B44" i="48"/>
  <c r="B45" i="48"/>
  <c r="B46" i="48"/>
  <c r="B47" i="48"/>
  <c r="B48" i="48"/>
  <c r="B56" i="48"/>
  <c r="B3" i="48"/>
  <c r="B4" i="48"/>
  <c r="B5" i="48"/>
  <c r="B6" i="48"/>
  <c r="B7" i="48"/>
  <c r="B8" i="48"/>
  <c r="B9" i="48"/>
  <c r="B11" i="48"/>
  <c r="B12" i="48"/>
  <c r="B13" i="48"/>
  <c r="B14" i="48"/>
  <c r="B15" i="48"/>
  <c r="B16" i="48"/>
  <c r="B17" i="48"/>
  <c r="B18" i="48"/>
  <c r="B19" i="48"/>
  <c r="B20" i="48"/>
  <c r="B21" i="48"/>
  <c r="B22" i="48"/>
  <c r="B23" i="48"/>
  <c r="B24" i="48"/>
  <c r="B25" i="48"/>
  <c r="B26" i="48"/>
  <c r="B27" i="48"/>
  <c r="B28" i="48"/>
  <c r="B29" i="48"/>
  <c r="B30" i="48"/>
  <c r="B31" i="48"/>
  <c r="B32" i="48"/>
  <c r="B33" i="48"/>
  <c r="B34" i="48"/>
  <c r="B35" i="48"/>
  <c r="B36" i="48"/>
  <c r="B37" i="48"/>
  <c r="B39" i="48"/>
  <c r="B40" i="48"/>
  <c r="B41" i="48"/>
  <c r="B42" i="48"/>
  <c r="B43" i="48"/>
  <c r="B49" i="48"/>
  <c r="B50" i="48"/>
  <c r="B51" i="48"/>
  <c r="B52" i="48"/>
  <c r="B57" i="48"/>
  <c r="B58" i="48"/>
  <c r="B59" i="48"/>
  <c r="B60" i="48"/>
  <c r="B61" i="48"/>
  <c r="B62" i="48"/>
  <c r="B63" i="48"/>
  <c r="B64" i="48"/>
  <c r="B2" i="48"/>
  <c r="X44" i="41" l="1"/>
  <c r="X43" i="41"/>
  <c r="W27" i="41"/>
  <c r="AE15" i="41"/>
  <c r="AF15" i="41"/>
  <c r="AG15" i="41"/>
  <c r="AH15" i="41"/>
  <c r="AI15" i="41"/>
  <c r="AM15" i="41"/>
  <c r="S15" i="41"/>
  <c r="T15" i="41"/>
  <c r="U15" i="41"/>
  <c r="C15" i="41"/>
  <c r="D15" i="41"/>
  <c r="AE14" i="41"/>
  <c r="AF14" i="41"/>
  <c r="AG14" i="41"/>
  <c r="AH14" i="41"/>
  <c r="AI14" i="41"/>
  <c r="AM14" i="41"/>
  <c r="S14" i="41"/>
  <c r="T14" i="41"/>
  <c r="U14" i="41"/>
  <c r="C14" i="41"/>
  <c r="D14" i="41"/>
  <c r="AE13" i="41"/>
  <c r="AF13" i="41"/>
  <c r="AG13" i="41"/>
  <c r="AH13" i="41"/>
  <c r="AI13" i="41"/>
  <c r="AM13" i="41"/>
  <c r="S13" i="41"/>
  <c r="T13" i="41"/>
  <c r="U13" i="41"/>
  <c r="C13" i="41"/>
  <c r="AF5" i="1" l="1"/>
  <c r="AG5" i="1"/>
  <c r="AH5" i="1"/>
  <c r="AI5" i="1"/>
  <c r="AJ5" i="1"/>
  <c r="AF6" i="1"/>
  <c r="AG6" i="1"/>
  <c r="AH6" i="1"/>
  <c r="AI6" i="1"/>
  <c r="AJ6" i="1"/>
  <c r="AF7" i="1"/>
  <c r="AG7" i="1"/>
  <c r="AH7" i="1"/>
  <c r="AI7" i="1"/>
  <c r="AJ7" i="1"/>
  <c r="AF8" i="1"/>
  <c r="AG8" i="1"/>
  <c r="AH8" i="1"/>
  <c r="AI8" i="1"/>
  <c r="AJ8" i="1"/>
  <c r="AF9" i="1"/>
  <c r="AG9" i="1"/>
  <c r="AH9" i="1"/>
  <c r="AI9" i="1"/>
  <c r="AJ9" i="1"/>
  <c r="AF10" i="1"/>
  <c r="AG10" i="1"/>
  <c r="AH10" i="1"/>
  <c r="AI10" i="1"/>
  <c r="AJ10" i="1"/>
  <c r="AF11" i="1"/>
  <c r="AG11" i="1"/>
  <c r="AH11" i="1"/>
  <c r="AI11" i="1"/>
  <c r="AJ11" i="1"/>
  <c r="AF12" i="1"/>
  <c r="AG12" i="1"/>
  <c r="AH12" i="1"/>
  <c r="AI12" i="1"/>
  <c r="AJ12" i="1"/>
  <c r="AF13" i="1"/>
  <c r="AG13" i="1"/>
  <c r="AH13" i="1"/>
  <c r="AI13" i="1"/>
  <c r="AJ13" i="1"/>
  <c r="AF14" i="1"/>
  <c r="AG14" i="1"/>
  <c r="AH14" i="1"/>
  <c r="AI14" i="1"/>
  <c r="AJ14" i="1"/>
  <c r="AF15" i="1"/>
  <c r="AG15" i="1"/>
  <c r="AH15" i="1"/>
  <c r="AI15" i="1"/>
  <c r="AJ15" i="1"/>
  <c r="AK610" i="1" s="1"/>
  <c r="AF16" i="1"/>
  <c r="AG16" i="1"/>
  <c r="AH16" i="1"/>
  <c r="AI16" i="1"/>
  <c r="AJ16" i="1"/>
  <c r="AF17" i="1"/>
  <c r="AG17" i="1"/>
  <c r="AH17" i="1"/>
  <c r="AI17" i="1"/>
  <c r="AJ17" i="1"/>
  <c r="AF18" i="1"/>
  <c r="AG18" i="1"/>
  <c r="AH18" i="1"/>
  <c r="AI18" i="1"/>
  <c r="AJ18" i="1"/>
  <c r="AF19" i="1"/>
  <c r="AG19" i="1"/>
  <c r="AH19" i="1"/>
  <c r="AI19" i="1"/>
  <c r="AJ19" i="1"/>
  <c r="AF20" i="1"/>
  <c r="AG20" i="1"/>
  <c r="AH20" i="1"/>
  <c r="AI20" i="1"/>
  <c r="AJ20" i="1"/>
  <c r="AF21" i="1"/>
  <c r="AG21" i="1"/>
  <c r="AH21" i="1"/>
  <c r="AI21" i="1"/>
  <c r="AJ21" i="1"/>
  <c r="AF23" i="1"/>
  <c r="AG23" i="1"/>
  <c r="AH23" i="1"/>
  <c r="AI23" i="1"/>
  <c r="AJ23" i="1"/>
  <c r="AF22" i="1"/>
  <c r="AG22" i="1"/>
  <c r="AH22" i="1"/>
  <c r="X20" i="17" s="1"/>
  <c r="AI22" i="1"/>
  <c r="AJ22" i="1"/>
  <c r="AF24" i="1"/>
  <c r="AG24" i="1"/>
  <c r="AH24" i="1"/>
  <c r="AI24" i="1"/>
  <c r="AJ24" i="1"/>
  <c r="AF34" i="1"/>
  <c r="AG34" i="1"/>
  <c r="AH34" i="1"/>
  <c r="AI34" i="1"/>
  <c r="AJ34" i="1"/>
  <c r="AF67" i="1"/>
  <c r="AG67" i="1"/>
  <c r="AH67" i="1"/>
  <c r="AI67" i="1"/>
  <c r="AJ67" i="1"/>
  <c r="AF125" i="1"/>
  <c r="AG125" i="1"/>
  <c r="AH125" i="1"/>
  <c r="AI125" i="1"/>
  <c r="AJ125" i="1"/>
  <c r="AF29" i="1"/>
  <c r="AG29" i="1"/>
  <c r="AH29" i="1"/>
  <c r="AI29" i="1"/>
  <c r="AJ29" i="1"/>
  <c r="AF30" i="1"/>
  <c r="AG30" i="1"/>
  <c r="AH30" i="1"/>
  <c r="AI30" i="1"/>
  <c r="AJ30" i="1"/>
  <c r="AF31" i="1"/>
  <c r="AG31" i="1"/>
  <c r="AH31" i="1"/>
  <c r="AI31" i="1"/>
  <c r="AJ31" i="1"/>
  <c r="AF42" i="1"/>
  <c r="AG42" i="1"/>
  <c r="AH42" i="1"/>
  <c r="AI42" i="1"/>
  <c r="AJ42" i="1"/>
  <c r="AF75" i="1"/>
  <c r="AG75" i="1"/>
  <c r="AH75" i="1"/>
  <c r="AI75" i="1"/>
  <c r="AJ75" i="1"/>
  <c r="AF130" i="1"/>
  <c r="AG130" i="1"/>
  <c r="AH130" i="1"/>
  <c r="AI130" i="1"/>
  <c r="AJ130" i="1"/>
  <c r="AF35" i="1"/>
  <c r="AG35" i="1"/>
  <c r="AH35" i="1"/>
  <c r="AI35" i="1"/>
  <c r="AJ35" i="1"/>
  <c r="AF68" i="1"/>
  <c r="AG68" i="1"/>
  <c r="AH68" i="1"/>
  <c r="AI68" i="1"/>
  <c r="AJ68" i="1"/>
  <c r="AF123" i="1"/>
  <c r="AG123" i="1"/>
  <c r="AH123" i="1"/>
  <c r="AI123" i="1"/>
  <c r="AJ123" i="1"/>
  <c r="AF32" i="1"/>
  <c r="AG32" i="1"/>
  <c r="AH32" i="1"/>
  <c r="AI32" i="1"/>
  <c r="AJ32" i="1"/>
  <c r="AF65" i="1"/>
  <c r="AG65" i="1"/>
  <c r="AH65" i="1"/>
  <c r="AI65" i="1"/>
  <c r="AJ65" i="1"/>
  <c r="AF118" i="1"/>
  <c r="AG118" i="1"/>
  <c r="AH118" i="1"/>
  <c r="AI118" i="1"/>
  <c r="AJ118" i="1"/>
  <c r="AF33" i="1"/>
  <c r="AG33" i="1"/>
  <c r="AH33" i="1"/>
  <c r="AI33" i="1"/>
  <c r="AJ33" i="1"/>
  <c r="AF66" i="1"/>
  <c r="AG66" i="1"/>
  <c r="AH66" i="1"/>
  <c r="AI66" i="1"/>
  <c r="AJ66" i="1"/>
  <c r="AF119" i="1"/>
  <c r="AG119" i="1"/>
  <c r="AH119" i="1"/>
  <c r="AI119" i="1"/>
  <c r="AJ119" i="1"/>
  <c r="AF25" i="1"/>
  <c r="AG25" i="1"/>
  <c r="AH25" i="1"/>
  <c r="AI25" i="1"/>
  <c r="AJ25" i="1"/>
  <c r="AF59" i="1"/>
  <c r="AG59" i="1"/>
  <c r="AH59" i="1"/>
  <c r="AI59" i="1"/>
  <c r="AJ59" i="1"/>
  <c r="AF113" i="1"/>
  <c r="AG113" i="1"/>
  <c r="AH113" i="1"/>
  <c r="AI113" i="1"/>
  <c r="AJ113" i="1"/>
  <c r="AF46" i="1"/>
  <c r="AG46" i="1"/>
  <c r="AH46" i="1"/>
  <c r="AI46" i="1"/>
  <c r="AJ46" i="1"/>
  <c r="AF47" i="1"/>
  <c r="AG47" i="1"/>
  <c r="AH47" i="1"/>
  <c r="AI47" i="1"/>
  <c r="AJ47" i="1"/>
  <c r="AF48" i="1"/>
  <c r="AG48" i="1"/>
  <c r="AH48" i="1"/>
  <c r="AI48" i="1"/>
  <c r="AJ48" i="1"/>
  <c r="AF49" i="1"/>
  <c r="AG49" i="1"/>
  <c r="AH49" i="1"/>
  <c r="AI49" i="1"/>
  <c r="AJ49" i="1"/>
  <c r="AF50" i="1"/>
  <c r="AG50" i="1"/>
  <c r="AH50" i="1"/>
  <c r="AI50" i="1"/>
  <c r="AJ50" i="1"/>
  <c r="AF51" i="1"/>
  <c r="AG51" i="1"/>
  <c r="AH51" i="1"/>
  <c r="AI51" i="1"/>
  <c r="AJ51" i="1"/>
  <c r="AF52" i="1"/>
  <c r="AG52" i="1"/>
  <c r="AH52" i="1"/>
  <c r="AI52" i="1"/>
  <c r="AJ52" i="1"/>
  <c r="AF53" i="1"/>
  <c r="AG53" i="1"/>
  <c r="AH53" i="1"/>
  <c r="AI53" i="1"/>
  <c r="AJ53" i="1"/>
  <c r="AF54" i="1"/>
  <c r="AG54" i="1"/>
  <c r="AH54" i="1"/>
  <c r="AI54" i="1"/>
  <c r="AJ54" i="1"/>
  <c r="AF55" i="1"/>
  <c r="AG55" i="1"/>
  <c r="AH55" i="1"/>
  <c r="AI55" i="1"/>
  <c r="AJ55" i="1"/>
  <c r="AF56" i="1"/>
  <c r="AG56" i="1"/>
  <c r="AH56" i="1"/>
  <c r="AI56" i="1"/>
  <c r="AJ56" i="1"/>
  <c r="AF57" i="1"/>
  <c r="AG57" i="1"/>
  <c r="AH57" i="1"/>
  <c r="AI57" i="1"/>
  <c r="AJ57" i="1"/>
  <c r="AF58" i="1"/>
  <c r="AG58" i="1"/>
  <c r="AH58" i="1"/>
  <c r="AI58" i="1"/>
  <c r="AJ58" i="1"/>
  <c r="AF43" i="1"/>
  <c r="AG43" i="1"/>
  <c r="AH43" i="1"/>
  <c r="AI43" i="1"/>
  <c r="AJ43" i="1"/>
  <c r="AF76" i="1"/>
  <c r="AG76" i="1"/>
  <c r="AH76" i="1"/>
  <c r="AI76" i="1"/>
  <c r="AJ76" i="1"/>
  <c r="AF131" i="1"/>
  <c r="AG131" i="1"/>
  <c r="AH131" i="1"/>
  <c r="AI131" i="1"/>
  <c r="AJ131" i="1"/>
  <c r="AF37" i="1"/>
  <c r="AG37" i="1"/>
  <c r="AH37" i="1"/>
  <c r="AI37" i="1"/>
  <c r="AJ37" i="1"/>
  <c r="AF63" i="1"/>
  <c r="AG63" i="1"/>
  <c r="AH63" i="1"/>
  <c r="AI63" i="1"/>
  <c r="AJ63" i="1"/>
  <c r="AF64" i="1"/>
  <c r="AG64" i="1"/>
  <c r="AH64" i="1"/>
  <c r="AI64" i="1"/>
  <c r="AJ64" i="1"/>
  <c r="AF70" i="1"/>
  <c r="AG70" i="1"/>
  <c r="AH70" i="1"/>
  <c r="AI70" i="1"/>
  <c r="AJ70" i="1"/>
  <c r="AF126" i="1"/>
  <c r="AG126" i="1"/>
  <c r="AH126" i="1"/>
  <c r="AI126" i="1"/>
  <c r="AJ126" i="1"/>
  <c r="AF38" i="1"/>
  <c r="AG38" i="1"/>
  <c r="AH38" i="1"/>
  <c r="AI38" i="1"/>
  <c r="AJ38" i="1"/>
  <c r="AF71" i="1"/>
  <c r="AG71" i="1"/>
  <c r="AH71" i="1"/>
  <c r="AI71" i="1"/>
  <c r="AJ71" i="1"/>
  <c r="AF127" i="1"/>
  <c r="AG127" i="1"/>
  <c r="AH127" i="1"/>
  <c r="AI127" i="1"/>
  <c r="AJ127" i="1"/>
  <c r="AF39" i="1"/>
  <c r="AG39" i="1"/>
  <c r="AH39" i="1"/>
  <c r="AI39" i="1"/>
  <c r="AJ39" i="1"/>
  <c r="AF72" i="1"/>
  <c r="AG72" i="1"/>
  <c r="AH72" i="1"/>
  <c r="AI72" i="1"/>
  <c r="AJ72" i="1"/>
  <c r="AF128" i="1"/>
  <c r="AG128" i="1"/>
  <c r="AH128" i="1"/>
  <c r="AI128" i="1"/>
  <c r="AJ128" i="1"/>
  <c r="AF40" i="1"/>
  <c r="AG40" i="1"/>
  <c r="AH40" i="1"/>
  <c r="AI40" i="1"/>
  <c r="AJ40" i="1"/>
  <c r="AF73" i="1"/>
  <c r="AG73" i="1"/>
  <c r="AH73" i="1"/>
  <c r="AI73" i="1"/>
  <c r="AJ73" i="1"/>
  <c r="AK663" i="1" s="1"/>
  <c r="AF129" i="1"/>
  <c r="AG129" i="1"/>
  <c r="AH129" i="1"/>
  <c r="AI129" i="1"/>
  <c r="AJ129" i="1"/>
  <c r="AF26" i="1"/>
  <c r="AG26" i="1"/>
  <c r="AH26" i="1"/>
  <c r="AI26" i="1"/>
  <c r="AJ26" i="1"/>
  <c r="AF60" i="1"/>
  <c r="AG60" i="1"/>
  <c r="AH60" i="1"/>
  <c r="AI60" i="1"/>
  <c r="AJ60" i="1"/>
  <c r="AF120" i="1"/>
  <c r="AG120" i="1"/>
  <c r="AH120" i="1"/>
  <c r="AI120" i="1"/>
  <c r="AJ120" i="1"/>
  <c r="AF79" i="1"/>
  <c r="AG79" i="1"/>
  <c r="AH79" i="1"/>
  <c r="AI79" i="1"/>
  <c r="AJ79" i="1"/>
  <c r="AF80" i="1"/>
  <c r="AG80" i="1"/>
  <c r="AH80" i="1"/>
  <c r="AI80" i="1"/>
  <c r="AJ80" i="1"/>
  <c r="AF92" i="1"/>
  <c r="AG92" i="1"/>
  <c r="AH92" i="1"/>
  <c r="AI92" i="1"/>
  <c r="AJ92" i="1"/>
  <c r="AF81" i="1"/>
  <c r="AG81" i="1"/>
  <c r="AH81" i="1"/>
  <c r="AI81" i="1"/>
  <c r="AJ81" i="1"/>
  <c r="AF83" i="1"/>
  <c r="AG83" i="1"/>
  <c r="AH83" i="1"/>
  <c r="AI83" i="1"/>
  <c r="AJ83" i="1"/>
  <c r="AF84" i="1"/>
  <c r="AG84" i="1"/>
  <c r="AH84" i="1"/>
  <c r="AI84" i="1"/>
  <c r="AJ84" i="1"/>
  <c r="AF82" i="1"/>
  <c r="AG82" i="1"/>
  <c r="AH82" i="1"/>
  <c r="AI82" i="1"/>
  <c r="AJ82" i="1"/>
  <c r="AF85" i="1"/>
  <c r="AG85" i="1"/>
  <c r="AH85" i="1"/>
  <c r="AI85" i="1"/>
  <c r="AJ85" i="1"/>
  <c r="AF86" i="1"/>
  <c r="AG86" i="1"/>
  <c r="AH86" i="1"/>
  <c r="AI86" i="1"/>
  <c r="AJ86" i="1"/>
  <c r="AF87" i="1"/>
  <c r="AG87" i="1"/>
  <c r="AH87" i="1"/>
  <c r="AI87" i="1"/>
  <c r="AJ87" i="1"/>
  <c r="AF88" i="1"/>
  <c r="AG88" i="1"/>
  <c r="AH88" i="1"/>
  <c r="AI88" i="1"/>
  <c r="AJ88" i="1"/>
  <c r="AF89" i="1"/>
  <c r="AG89" i="1"/>
  <c r="AH89" i="1"/>
  <c r="AI89" i="1"/>
  <c r="AJ89" i="1"/>
  <c r="AF90" i="1"/>
  <c r="AG90" i="1"/>
  <c r="AH90" i="1"/>
  <c r="AI90" i="1"/>
  <c r="AJ90" i="1"/>
  <c r="AF91" i="1"/>
  <c r="AG91" i="1"/>
  <c r="AH91" i="1"/>
  <c r="AI91" i="1"/>
  <c r="AJ91" i="1"/>
  <c r="AF93" i="1"/>
  <c r="AG93" i="1"/>
  <c r="AH93" i="1"/>
  <c r="AI93" i="1"/>
  <c r="AJ93" i="1"/>
  <c r="AF94" i="1"/>
  <c r="AG94" i="1"/>
  <c r="AH94" i="1"/>
  <c r="AI94" i="1"/>
  <c r="AJ94" i="1"/>
  <c r="AF95" i="1"/>
  <c r="AG95" i="1"/>
  <c r="AH95" i="1"/>
  <c r="AI95" i="1"/>
  <c r="AJ95" i="1"/>
  <c r="AF96" i="1"/>
  <c r="AG96" i="1"/>
  <c r="AH96" i="1"/>
  <c r="AI96" i="1"/>
  <c r="AJ96" i="1"/>
  <c r="AF97" i="1"/>
  <c r="AG97" i="1"/>
  <c r="AH97" i="1"/>
  <c r="AI97" i="1"/>
  <c r="AJ97" i="1"/>
  <c r="AF98" i="1"/>
  <c r="AG98" i="1"/>
  <c r="AH98" i="1"/>
  <c r="AI98" i="1"/>
  <c r="AJ98" i="1"/>
  <c r="AF99" i="1"/>
  <c r="AG99" i="1"/>
  <c r="AH99" i="1"/>
  <c r="AI99" i="1"/>
  <c r="AJ99" i="1"/>
  <c r="AF192" i="1"/>
  <c r="AG192" i="1"/>
  <c r="AH192" i="1"/>
  <c r="AI192" i="1"/>
  <c r="AJ192" i="1"/>
  <c r="AF100" i="1"/>
  <c r="AG100" i="1"/>
  <c r="AH100" i="1"/>
  <c r="AI100" i="1"/>
  <c r="AJ100" i="1"/>
  <c r="AF101" i="1"/>
  <c r="AG101" i="1"/>
  <c r="AH101" i="1"/>
  <c r="AI101" i="1"/>
  <c r="AJ101" i="1"/>
  <c r="AF103" i="1"/>
  <c r="AG103" i="1"/>
  <c r="AH103" i="1"/>
  <c r="AI103" i="1"/>
  <c r="AJ103" i="1"/>
  <c r="AF104" i="1"/>
  <c r="AG104" i="1"/>
  <c r="AH104" i="1"/>
  <c r="AI104" i="1"/>
  <c r="AJ104" i="1"/>
  <c r="AF105" i="1"/>
  <c r="AG105" i="1"/>
  <c r="AH105" i="1"/>
  <c r="AI105" i="1"/>
  <c r="AJ105" i="1"/>
  <c r="AF106" i="1"/>
  <c r="AG106" i="1"/>
  <c r="AH106" i="1"/>
  <c r="AI106" i="1"/>
  <c r="AJ106" i="1"/>
  <c r="AF140" i="1"/>
  <c r="AG140" i="1"/>
  <c r="AH140" i="1"/>
  <c r="AI140" i="1"/>
  <c r="AJ140" i="1"/>
  <c r="AF107" i="1"/>
  <c r="AG107" i="1"/>
  <c r="AH107" i="1"/>
  <c r="AI107" i="1"/>
  <c r="AJ107" i="1"/>
  <c r="AF110" i="1"/>
  <c r="AG110" i="1"/>
  <c r="AH110" i="1"/>
  <c r="AI110" i="1"/>
  <c r="AJ110" i="1"/>
  <c r="AF111" i="1"/>
  <c r="AG111" i="1"/>
  <c r="AH111" i="1"/>
  <c r="AI111" i="1"/>
  <c r="AJ111" i="1"/>
  <c r="AF44" i="1"/>
  <c r="AG44" i="1"/>
  <c r="AH44" i="1"/>
  <c r="AI44" i="1"/>
  <c r="AJ44" i="1"/>
  <c r="AF77" i="1"/>
  <c r="AG77" i="1"/>
  <c r="AH77" i="1"/>
  <c r="AI77" i="1"/>
  <c r="AJ77" i="1"/>
  <c r="AK571" i="1" s="1"/>
  <c r="AF115" i="1"/>
  <c r="AG115" i="1"/>
  <c r="AH115" i="1"/>
  <c r="AI115" i="1"/>
  <c r="AJ115" i="1"/>
  <c r="AF116" i="1"/>
  <c r="AG116" i="1"/>
  <c r="AH116" i="1"/>
  <c r="AI116" i="1"/>
  <c r="AJ116" i="1"/>
  <c r="AF117" i="1"/>
  <c r="AG117" i="1"/>
  <c r="AH117" i="1"/>
  <c r="AI117" i="1"/>
  <c r="AJ117" i="1"/>
  <c r="AF132" i="1"/>
  <c r="AG132" i="1"/>
  <c r="AH132" i="1"/>
  <c r="AI132" i="1"/>
  <c r="AJ132" i="1"/>
  <c r="AF36" i="1"/>
  <c r="AG36" i="1"/>
  <c r="AH36" i="1"/>
  <c r="AI36" i="1"/>
  <c r="AJ36" i="1"/>
  <c r="AF69" i="1"/>
  <c r="AG69" i="1"/>
  <c r="AH69" i="1"/>
  <c r="AI69" i="1"/>
  <c r="AJ69" i="1"/>
  <c r="AF124" i="1"/>
  <c r="AG124" i="1"/>
  <c r="AH124" i="1"/>
  <c r="AI124" i="1"/>
  <c r="AJ124" i="1"/>
  <c r="AF112" i="1"/>
  <c r="AG112" i="1"/>
  <c r="AH112" i="1"/>
  <c r="AI112" i="1"/>
  <c r="AJ112" i="1"/>
  <c r="AF27" i="1"/>
  <c r="AG27" i="1"/>
  <c r="AH27" i="1"/>
  <c r="AI27" i="1"/>
  <c r="AJ27" i="1"/>
  <c r="AF61" i="1"/>
  <c r="AG61" i="1"/>
  <c r="AH61" i="1"/>
  <c r="AI61" i="1"/>
  <c r="AJ61" i="1"/>
  <c r="AF114" i="1"/>
  <c r="AG114" i="1"/>
  <c r="AH114" i="1"/>
  <c r="AI114" i="1"/>
  <c r="AJ114" i="1"/>
  <c r="AF41" i="1"/>
  <c r="AG41" i="1"/>
  <c r="AH41" i="1"/>
  <c r="AI41" i="1"/>
  <c r="AJ41" i="1"/>
  <c r="AF74" i="1"/>
  <c r="AG74" i="1"/>
  <c r="AH74" i="1"/>
  <c r="AI74" i="1"/>
  <c r="AJ74" i="1"/>
  <c r="AF133" i="1"/>
  <c r="AG133" i="1"/>
  <c r="AH133" i="1"/>
  <c r="AI133" i="1"/>
  <c r="AJ133" i="1"/>
  <c r="AF45" i="1"/>
  <c r="AG45" i="1"/>
  <c r="AH45" i="1"/>
  <c r="AI45" i="1"/>
  <c r="AJ45" i="1"/>
  <c r="AF78" i="1"/>
  <c r="AG78" i="1"/>
  <c r="AH78" i="1"/>
  <c r="AI78" i="1"/>
  <c r="AJ78" i="1"/>
  <c r="AF134" i="1"/>
  <c r="AG134" i="1"/>
  <c r="AH134" i="1"/>
  <c r="AI134" i="1"/>
  <c r="AJ134" i="1"/>
  <c r="AF28" i="1"/>
  <c r="AG28" i="1"/>
  <c r="AH28" i="1"/>
  <c r="AI28" i="1"/>
  <c r="AJ28" i="1"/>
  <c r="AF62" i="1"/>
  <c r="AG62" i="1"/>
  <c r="AH62" i="1"/>
  <c r="AI62" i="1"/>
  <c r="AJ62" i="1"/>
  <c r="AF121" i="1"/>
  <c r="AG121" i="1"/>
  <c r="AH121" i="1"/>
  <c r="AI121" i="1"/>
  <c r="AJ121" i="1"/>
  <c r="AF135" i="1"/>
  <c r="AG135" i="1"/>
  <c r="AH135" i="1"/>
  <c r="AI135" i="1"/>
  <c r="AJ135" i="1"/>
  <c r="AF136" i="1"/>
  <c r="AG136" i="1"/>
  <c r="AH136" i="1"/>
  <c r="AI136" i="1"/>
  <c r="AJ136" i="1"/>
  <c r="AF137" i="1"/>
  <c r="AG137" i="1"/>
  <c r="AH137" i="1"/>
  <c r="AI137" i="1"/>
  <c r="AJ137" i="1"/>
  <c r="AF139" i="1"/>
  <c r="AG139" i="1"/>
  <c r="AH139" i="1"/>
  <c r="AI139" i="1"/>
  <c r="AJ139" i="1"/>
  <c r="AF138" i="1"/>
  <c r="AG138" i="1"/>
  <c r="AH138" i="1"/>
  <c r="AI138" i="1"/>
  <c r="AJ138" i="1"/>
  <c r="AF141" i="1"/>
  <c r="AG141" i="1"/>
  <c r="AH141" i="1"/>
  <c r="AI141" i="1"/>
  <c r="AJ141" i="1"/>
  <c r="AF142" i="1"/>
  <c r="AG142" i="1"/>
  <c r="AH142" i="1"/>
  <c r="AI142" i="1"/>
  <c r="AJ142" i="1"/>
  <c r="AF143" i="1"/>
  <c r="AG143" i="1"/>
  <c r="AH143" i="1"/>
  <c r="AI143" i="1"/>
  <c r="AJ143" i="1"/>
  <c r="AF144" i="1"/>
  <c r="AG144" i="1"/>
  <c r="AH144" i="1"/>
  <c r="AI144" i="1"/>
  <c r="AJ144" i="1"/>
  <c r="AF145" i="1"/>
  <c r="AG145" i="1"/>
  <c r="AH145" i="1"/>
  <c r="AI145" i="1"/>
  <c r="AJ145" i="1"/>
  <c r="AF146" i="1"/>
  <c r="AG146" i="1"/>
  <c r="AH146" i="1"/>
  <c r="AI146" i="1"/>
  <c r="AJ146" i="1"/>
  <c r="AF147" i="1"/>
  <c r="AG147" i="1"/>
  <c r="AH147" i="1"/>
  <c r="AI147" i="1"/>
  <c r="AJ147" i="1"/>
  <c r="AF148" i="1"/>
  <c r="AG148" i="1"/>
  <c r="AH148" i="1"/>
  <c r="AI148" i="1"/>
  <c r="AJ148" i="1"/>
  <c r="AF150" i="1"/>
  <c r="AG150" i="1"/>
  <c r="AH150" i="1"/>
  <c r="AI150" i="1"/>
  <c r="AJ150" i="1"/>
  <c r="AF149" i="1"/>
  <c r="AG149" i="1"/>
  <c r="AH149" i="1"/>
  <c r="AI149" i="1"/>
  <c r="AJ149" i="1"/>
  <c r="AF151" i="1"/>
  <c r="AG151" i="1"/>
  <c r="AH151" i="1"/>
  <c r="AI151" i="1"/>
  <c r="AJ151" i="1"/>
  <c r="AF155" i="1"/>
  <c r="AG155" i="1"/>
  <c r="AH155" i="1"/>
  <c r="AI155" i="1"/>
  <c r="AJ155" i="1"/>
  <c r="AF152" i="1"/>
  <c r="AG152" i="1"/>
  <c r="AH152" i="1"/>
  <c r="AI152" i="1"/>
  <c r="AJ152" i="1"/>
  <c r="AF153" i="1"/>
  <c r="AG153" i="1"/>
  <c r="AH153" i="1"/>
  <c r="AI153" i="1"/>
  <c r="AJ153" i="1"/>
  <c r="AF159" i="1"/>
  <c r="AG159" i="1"/>
  <c r="AH159" i="1"/>
  <c r="AI159" i="1"/>
  <c r="AJ159" i="1"/>
  <c r="AF160" i="1"/>
  <c r="AG160" i="1"/>
  <c r="AH160" i="1"/>
  <c r="AI160" i="1"/>
  <c r="AJ160" i="1"/>
  <c r="AF161" i="1"/>
  <c r="AG161" i="1"/>
  <c r="AH161" i="1"/>
  <c r="AI161" i="1"/>
  <c r="AJ161" i="1"/>
  <c r="AF162" i="1"/>
  <c r="AG162" i="1"/>
  <c r="AH162" i="1"/>
  <c r="AI162" i="1"/>
  <c r="AJ162" i="1"/>
  <c r="AF168" i="1"/>
  <c r="AG168" i="1"/>
  <c r="AH168" i="1"/>
  <c r="AI168" i="1"/>
  <c r="AJ168" i="1"/>
  <c r="AF173" i="1"/>
  <c r="AG173" i="1"/>
  <c r="AH173" i="1"/>
  <c r="AI173" i="1"/>
  <c r="AJ173" i="1"/>
  <c r="AF174" i="1"/>
  <c r="AG174" i="1"/>
  <c r="AH174" i="1"/>
  <c r="AI174" i="1"/>
  <c r="AJ174" i="1"/>
  <c r="AF180" i="1"/>
  <c r="AG180" i="1"/>
  <c r="AH180" i="1"/>
  <c r="AI180" i="1"/>
  <c r="AJ180" i="1"/>
  <c r="AF184" i="1"/>
  <c r="AG184" i="1"/>
  <c r="AH184" i="1"/>
  <c r="AI184" i="1"/>
  <c r="AJ184" i="1"/>
  <c r="AF182" i="1"/>
  <c r="AG182" i="1"/>
  <c r="AH182" i="1"/>
  <c r="AI182" i="1"/>
  <c r="AJ182" i="1"/>
  <c r="AF183" i="1"/>
  <c r="AG183" i="1"/>
  <c r="AH183" i="1"/>
  <c r="AI183" i="1"/>
  <c r="AJ183" i="1"/>
  <c r="AF185" i="1"/>
  <c r="AG185" i="1"/>
  <c r="AH185" i="1"/>
  <c r="AI185" i="1"/>
  <c r="AJ185" i="1"/>
  <c r="AF187" i="1"/>
  <c r="AG187" i="1"/>
  <c r="AH187" i="1"/>
  <c r="AI187" i="1"/>
  <c r="AJ187" i="1"/>
  <c r="AF186" i="1"/>
  <c r="AG186" i="1"/>
  <c r="AH186" i="1"/>
  <c r="AI186" i="1"/>
  <c r="AJ186" i="1"/>
  <c r="AF188" i="1"/>
  <c r="AG188" i="1"/>
  <c r="AH188" i="1"/>
  <c r="AI188" i="1"/>
  <c r="AJ188" i="1"/>
  <c r="AF189" i="1"/>
  <c r="AG189" i="1"/>
  <c r="AH189" i="1"/>
  <c r="AI189" i="1"/>
  <c r="AJ189" i="1"/>
  <c r="AF190" i="1"/>
  <c r="AG190" i="1"/>
  <c r="AH190" i="1"/>
  <c r="AI190" i="1"/>
  <c r="AJ190" i="1"/>
  <c r="AF191" i="1"/>
  <c r="AG191" i="1"/>
  <c r="AH191" i="1"/>
  <c r="AI191" i="1"/>
  <c r="AJ191" i="1"/>
  <c r="AF193" i="1"/>
  <c r="AG193" i="1"/>
  <c r="AH193" i="1"/>
  <c r="AI193" i="1"/>
  <c r="AJ193" i="1"/>
  <c r="AF194" i="1"/>
  <c r="AG194" i="1"/>
  <c r="AH194" i="1"/>
  <c r="AI194" i="1"/>
  <c r="AJ194" i="1"/>
  <c r="AF195" i="1"/>
  <c r="AG195" i="1"/>
  <c r="AH195" i="1"/>
  <c r="AI195" i="1"/>
  <c r="AJ195" i="1"/>
  <c r="AF196" i="1"/>
  <c r="AG196" i="1"/>
  <c r="AH196" i="1"/>
  <c r="AI196" i="1"/>
  <c r="AJ196" i="1"/>
  <c r="AF197" i="1"/>
  <c r="AG197" i="1"/>
  <c r="AH197" i="1"/>
  <c r="AI197" i="1"/>
  <c r="AJ197" i="1"/>
  <c r="AF198" i="1"/>
  <c r="AG198" i="1"/>
  <c r="AH198" i="1"/>
  <c r="AI198" i="1"/>
  <c r="AJ198" i="1"/>
  <c r="AF377" i="1"/>
  <c r="AG377" i="1"/>
  <c r="AH377" i="1"/>
  <c r="AI377" i="1"/>
  <c r="AJ377" i="1"/>
  <c r="AF199" i="1"/>
  <c r="AG199" i="1"/>
  <c r="AH199" i="1"/>
  <c r="AI199" i="1"/>
  <c r="AJ199" i="1"/>
  <c r="AF209" i="1"/>
  <c r="AG209" i="1"/>
  <c r="AH209" i="1"/>
  <c r="AI209" i="1"/>
  <c r="AJ209" i="1"/>
  <c r="AF200" i="1"/>
  <c r="AG200" i="1"/>
  <c r="AH200" i="1"/>
  <c r="AI200" i="1"/>
  <c r="AJ200" i="1"/>
  <c r="AF201" i="1"/>
  <c r="AG201" i="1"/>
  <c r="AH201" i="1"/>
  <c r="AI201" i="1"/>
  <c r="AJ201" i="1"/>
  <c r="AF202" i="1"/>
  <c r="AG202" i="1"/>
  <c r="AH202" i="1"/>
  <c r="AI202" i="1"/>
  <c r="AJ202" i="1"/>
  <c r="AF203" i="1"/>
  <c r="AG203" i="1"/>
  <c r="AH203" i="1"/>
  <c r="AI203" i="1"/>
  <c r="AJ203" i="1"/>
  <c r="AF206" i="1"/>
  <c r="AG206" i="1"/>
  <c r="AH206" i="1"/>
  <c r="AI206" i="1"/>
  <c r="AJ206" i="1"/>
  <c r="AF204" i="1"/>
  <c r="AG204" i="1"/>
  <c r="AH204" i="1"/>
  <c r="AI204" i="1"/>
  <c r="AJ204" i="1"/>
  <c r="AF205" i="1"/>
  <c r="AG205" i="1"/>
  <c r="AH205" i="1"/>
  <c r="AI205" i="1"/>
  <c r="AJ205" i="1"/>
  <c r="AF208" i="1"/>
  <c r="AG208" i="1"/>
  <c r="AH208" i="1"/>
  <c r="AI208" i="1"/>
  <c r="AJ208" i="1"/>
  <c r="AF207" i="1"/>
  <c r="AG207" i="1"/>
  <c r="AH207" i="1"/>
  <c r="AI207" i="1"/>
  <c r="AJ207" i="1"/>
  <c r="AF210" i="1"/>
  <c r="AG210" i="1"/>
  <c r="AH210" i="1"/>
  <c r="AI210" i="1"/>
  <c r="AJ210" i="1"/>
  <c r="AF211" i="1"/>
  <c r="AG211" i="1"/>
  <c r="AH211" i="1"/>
  <c r="AI211" i="1"/>
  <c r="AJ211" i="1"/>
  <c r="AF212" i="1"/>
  <c r="AG212" i="1"/>
  <c r="AH212" i="1"/>
  <c r="AI212" i="1"/>
  <c r="AJ212" i="1"/>
  <c r="AF213" i="1"/>
  <c r="AG213" i="1"/>
  <c r="AH213" i="1"/>
  <c r="AI213" i="1"/>
  <c r="AJ213" i="1"/>
  <c r="AF214" i="1"/>
  <c r="AG214" i="1"/>
  <c r="AH214" i="1"/>
  <c r="AI214" i="1"/>
  <c r="AJ214" i="1"/>
  <c r="AF215" i="1"/>
  <c r="AG215" i="1"/>
  <c r="AH215" i="1"/>
  <c r="AI215" i="1"/>
  <c r="AJ215" i="1"/>
  <c r="AF216" i="1"/>
  <c r="AG216" i="1"/>
  <c r="AH216" i="1"/>
  <c r="AI216" i="1"/>
  <c r="AJ216" i="1"/>
  <c r="AF218" i="1"/>
  <c r="AG218" i="1"/>
  <c r="AH218" i="1"/>
  <c r="AI218" i="1"/>
  <c r="AJ218" i="1"/>
  <c r="AF220" i="1"/>
  <c r="AG220" i="1"/>
  <c r="AH220" i="1"/>
  <c r="AI220" i="1"/>
  <c r="AJ220" i="1"/>
  <c r="AF219" i="1"/>
  <c r="AG219" i="1"/>
  <c r="AH219" i="1"/>
  <c r="AI219" i="1"/>
  <c r="AJ219" i="1"/>
  <c r="AF217" i="1"/>
  <c r="AG217" i="1"/>
  <c r="AH217" i="1"/>
  <c r="AI217" i="1"/>
  <c r="AJ217" i="1"/>
  <c r="AF221" i="1"/>
  <c r="AG221" i="1"/>
  <c r="AH221" i="1"/>
  <c r="AI221" i="1"/>
  <c r="AJ221" i="1"/>
  <c r="AF223" i="1"/>
  <c r="AG223" i="1"/>
  <c r="AH223" i="1"/>
  <c r="AI223" i="1"/>
  <c r="AJ223" i="1"/>
  <c r="AF222" i="1"/>
  <c r="AG222" i="1"/>
  <c r="AH222" i="1"/>
  <c r="AI222" i="1"/>
  <c r="AJ222" i="1"/>
  <c r="AF225" i="1"/>
  <c r="AG225" i="1"/>
  <c r="AH225" i="1"/>
  <c r="AI225" i="1"/>
  <c r="AJ225" i="1"/>
  <c r="AF224" i="1"/>
  <c r="AG224" i="1"/>
  <c r="AH224" i="1"/>
  <c r="AI224" i="1"/>
  <c r="AJ224" i="1"/>
  <c r="AF228" i="1"/>
  <c r="AG228" i="1"/>
  <c r="AH228" i="1"/>
  <c r="AI228" i="1"/>
  <c r="AJ228" i="1"/>
  <c r="AF229" i="1"/>
  <c r="AG229" i="1"/>
  <c r="AH229" i="1"/>
  <c r="AI229" i="1"/>
  <c r="AJ229" i="1"/>
  <c r="AF237" i="1"/>
  <c r="AG237" i="1"/>
  <c r="AH237" i="1"/>
  <c r="AI237" i="1"/>
  <c r="AJ237" i="1"/>
  <c r="AF226" i="1"/>
  <c r="AG226" i="1"/>
  <c r="AH226" i="1"/>
  <c r="AI226" i="1"/>
  <c r="AJ226" i="1"/>
  <c r="AF227" i="1"/>
  <c r="AG227" i="1"/>
  <c r="AH227" i="1"/>
  <c r="AI227" i="1"/>
  <c r="AJ227" i="1"/>
  <c r="AF230" i="1"/>
  <c r="AG230" i="1"/>
  <c r="AH230" i="1"/>
  <c r="AI230" i="1"/>
  <c r="AJ230" i="1"/>
  <c r="AF231" i="1"/>
  <c r="AG231" i="1"/>
  <c r="AH231" i="1"/>
  <c r="AI231" i="1"/>
  <c r="AJ231" i="1"/>
  <c r="AF236" i="1"/>
  <c r="AG236" i="1"/>
  <c r="AH236" i="1"/>
  <c r="AI236" i="1"/>
  <c r="AJ236" i="1"/>
  <c r="AF243" i="1"/>
  <c r="AG243" i="1"/>
  <c r="AH243" i="1"/>
  <c r="AI243" i="1"/>
  <c r="AJ243" i="1"/>
  <c r="AF248" i="1"/>
  <c r="AG248" i="1"/>
  <c r="AH248" i="1"/>
  <c r="AI248" i="1"/>
  <c r="AJ248" i="1"/>
  <c r="AF254" i="1"/>
  <c r="AG254" i="1"/>
  <c r="AH254" i="1"/>
  <c r="AI254" i="1"/>
  <c r="AJ254" i="1"/>
  <c r="AF255" i="1"/>
  <c r="AG255" i="1"/>
  <c r="AH255" i="1"/>
  <c r="AI255" i="1"/>
  <c r="AJ255" i="1"/>
  <c r="AF256" i="1"/>
  <c r="AG256" i="1"/>
  <c r="AH256" i="1"/>
  <c r="AI256" i="1"/>
  <c r="AJ256" i="1"/>
  <c r="AF257" i="1"/>
  <c r="AG257" i="1"/>
  <c r="AH257" i="1"/>
  <c r="AI257" i="1"/>
  <c r="AJ257" i="1"/>
  <c r="AF258" i="1"/>
  <c r="AG258" i="1"/>
  <c r="AH258" i="1"/>
  <c r="AI258" i="1"/>
  <c r="AJ258" i="1"/>
  <c r="AF259" i="1"/>
  <c r="AG259" i="1"/>
  <c r="AH259" i="1"/>
  <c r="AI259" i="1"/>
  <c r="AJ259" i="1"/>
  <c r="AF260" i="1"/>
  <c r="AG260" i="1"/>
  <c r="AH260" i="1"/>
  <c r="AI260" i="1"/>
  <c r="AJ260" i="1"/>
  <c r="AF261" i="1"/>
  <c r="AG261" i="1"/>
  <c r="AH261" i="1"/>
  <c r="AI261" i="1"/>
  <c r="AJ261" i="1"/>
  <c r="AF262" i="1"/>
  <c r="AG262" i="1"/>
  <c r="AH262" i="1"/>
  <c r="X16" i="17" s="1"/>
  <c r="AI262" i="1"/>
  <c r="AJ262" i="1"/>
  <c r="AF265" i="1"/>
  <c r="AG265" i="1"/>
  <c r="AH265" i="1"/>
  <c r="AI265" i="1"/>
  <c r="AJ265" i="1"/>
  <c r="AF264" i="1"/>
  <c r="AG264" i="1"/>
  <c r="AH264" i="1"/>
  <c r="AI264" i="1"/>
  <c r="AJ264" i="1"/>
  <c r="AF263" i="1"/>
  <c r="AG263" i="1"/>
  <c r="AH263" i="1"/>
  <c r="AI263" i="1"/>
  <c r="AJ263" i="1"/>
  <c r="AF266" i="1"/>
  <c r="AG266" i="1"/>
  <c r="AH266" i="1"/>
  <c r="AI266" i="1"/>
  <c r="AJ266" i="1"/>
  <c r="AF267" i="1"/>
  <c r="AG267" i="1"/>
  <c r="AH267" i="1"/>
  <c r="AI267" i="1"/>
  <c r="AJ267" i="1"/>
  <c r="AF268" i="1"/>
  <c r="AG268" i="1"/>
  <c r="AH268" i="1"/>
  <c r="AI268" i="1"/>
  <c r="AJ268" i="1"/>
  <c r="AF270" i="1"/>
  <c r="AG270" i="1"/>
  <c r="AH270" i="1"/>
  <c r="AI270" i="1"/>
  <c r="AJ270" i="1"/>
  <c r="AF269" i="1"/>
  <c r="AG269" i="1"/>
  <c r="AH269" i="1"/>
  <c r="AI269" i="1"/>
  <c r="AJ269" i="1"/>
  <c r="AF271" i="1"/>
  <c r="AG271" i="1"/>
  <c r="AH271" i="1"/>
  <c r="AI271" i="1"/>
  <c r="AJ271" i="1"/>
  <c r="AF272" i="1"/>
  <c r="AG272" i="1"/>
  <c r="AH272" i="1"/>
  <c r="AI272" i="1"/>
  <c r="AJ272" i="1"/>
  <c r="AF273" i="1"/>
  <c r="AG273" i="1"/>
  <c r="AH273" i="1"/>
  <c r="AI273" i="1"/>
  <c r="AJ273" i="1"/>
  <c r="AF274" i="1"/>
  <c r="AG274" i="1"/>
  <c r="AH274" i="1"/>
  <c r="AI274" i="1"/>
  <c r="AJ274" i="1"/>
  <c r="AF275" i="1"/>
  <c r="AG275" i="1"/>
  <c r="AH275" i="1"/>
  <c r="AI275" i="1"/>
  <c r="AJ275" i="1"/>
  <c r="AF277" i="1"/>
  <c r="AG277" i="1"/>
  <c r="AH277" i="1"/>
  <c r="AI277" i="1"/>
  <c r="AJ277" i="1"/>
  <c r="AF276" i="1"/>
  <c r="AG276" i="1"/>
  <c r="AH276" i="1"/>
  <c r="AI276" i="1"/>
  <c r="AJ276" i="1"/>
  <c r="AF278" i="1"/>
  <c r="AG278" i="1"/>
  <c r="AH278" i="1"/>
  <c r="AI278" i="1"/>
  <c r="AJ278" i="1"/>
  <c r="AF279" i="1"/>
  <c r="AG279" i="1"/>
  <c r="AH279" i="1"/>
  <c r="AI279" i="1"/>
  <c r="AJ279" i="1"/>
  <c r="AF280" i="1"/>
  <c r="AG280" i="1"/>
  <c r="AH280" i="1"/>
  <c r="AI280" i="1"/>
  <c r="AJ280" i="1"/>
  <c r="AF281" i="1"/>
  <c r="AG281" i="1"/>
  <c r="AH281" i="1"/>
  <c r="AI281" i="1"/>
  <c r="AJ281" i="1"/>
  <c r="AF282" i="1"/>
  <c r="AG282" i="1"/>
  <c r="AH282" i="1"/>
  <c r="AI282" i="1"/>
  <c r="AJ282" i="1"/>
  <c r="AF284" i="1"/>
  <c r="AG284" i="1"/>
  <c r="AH284" i="1"/>
  <c r="AI284" i="1"/>
  <c r="AJ284" i="1"/>
  <c r="AF286" i="1"/>
  <c r="AG286" i="1"/>
  <c r="AH286" i="1"/>
  <c r="AI286" i="1"/>
  <c r="AJ286" i="1"/>
  <c r="AF285" i="1"/>
  <c r="AG285" i="1"/>
  <c r="AH285" i="1"/>
  <c r="AI285" i="1"/>
  <c r="AJ285" i="1"/>
  <c r="AF292" i="1"/>
  <c r="AG292" i="1"/>
  <c r="AH292" i="1"/>
  <c r="AI292" i="1"/>
  <c r="AJ292" i="1"/>
  <c r="AF287" i="1"/>
  <c r="AG287" i="1"/>
  <c r="AH287" i="1"/>
  <c r="AI287" i="1"/>
  <c r="AJ287" i="1"/>
  <c r="AF288" i="1"/>
  <c r="AG288" i="1"/>
  <c r="AH288" i="1"/>
  <c r="AI288" i="1"/>
  <c r="AJ288" i="1"/>
  <c r="AF289" i="1"/>
  <c r="AG289" i="1"/>
  <c r="AH289" i="1"/>
  <c r="AI289" i="1"/>
  <c r="AJ289" i="1"/>
  <c r="AF290" i="1"/>
  <c r="AG290" i="1"/>
  <c r="AH290" i="1"/>
  <c r="AI290" i="1"/>
  <c r="AJ290" i="1"/>
  <c r="AF296" i="1"/>
  <c r="AG296" i="1"/>
  <c r="AH296" i="1"/>
  <c r="AI296" i="1"/>
  <c r="AJ296" i="1"/>
  <c r="AF291" i="1"/>
  <c r="AG291" i="1"/>
  <c r="AH291" i="1"/>
  <c r="AI291" i="1"/>
  <c r="AJ291" i="1"/>
  <c r="AF298" i="1"/>
  <c r="AG298" i="1"/>
  <c r="AH298" i="1"/>
  <c r="AI298" i="1"/>
  <c r="AJ298" i="1"/>
  <c r="AF299" i="1"/>
  <c r="AG299" i="1"/>
  <c r="AH299" i="1"/>
  <c r="AI299" i="1"/>
  <c r="AJ299" i="1"/>
  <c r="AF303" i="1"/>
  <c r="AG303" i="1"/>
  <c r="AH303" i="1"/>
  <c r="AI303" i="1"/>
  <c r="AJ303" i="1"/>
  <c r="AF308" i="1"/>
  <c r="AG308" i="1"/>
  <c r="AH308" i="1"/>
  <c r="AI308" i="1"/>
  <c r="AJ308" i="1"/>
  <c r="AF312" i="1"/>
  <c r="AG312" i="1"/>
  <c r="AH312" i="1"/>
  <c r="AI312" i="1"/>
  <c r="AJ312" i="1"/>
  <c r="AF316" i="1"/>
  <c r="AG316" i="1"/>
  <c r="AH316" i="1"/>
  <c r="AI316" i="1"/>
  <c r="AJ316" i="1"/>
  <c r="AF318" i="1"/>
  <c r="AG318" i="1"/>
  <c r="AH318" i="1"/>
  <c r="AI318" i="1"/>
  <c r="AJ318" i="1"/>
  <c r="AF317" i="1"/>
  <c r="AG317" i="1"/>
  <c r="AH317" i="1"/>
  <c r="AI317" i="1"/>
  <c r="AJ317" i="1"/>
  <c r="AF319" i="1"/>
  <c r="AG319" i="1"/>
  <c r="AH319" i="1"/>
  <c r="AI319" i="1"/>
  <c r="AJ319" i="1"/>
  <c r="AF446" i="1"/>
  <c r="AG446" i="1"/>
  <c r="AH446" i="1"/>
  <c r="AI446" i="1"/>
  <c r="AJ446" i="1"/>
  <c r="AF320" i="1"/>
  <c r="AG320" i="1"/>
  <c r="AH320" i="1"/>
  <c r="AI320" i="1"/>
  <c r="AJ320" i="1"/>
  <c r="AF321" i="1"/>
  <c r="AG321" i="1"/>
  <c r="AH321" i="1"/>
  <c r="AI321" i="1"/>
  <c r="AJ321" i="1"/>
  <c r="AF322" i="1"/>
  <c r="AG322" i="1"/>
  <c r="AH322" i="1"/>
  <c r="AI322" i="1"/>
  <c r="AJ322" i="1"/>
  <c r="AF323" i="1"/>
  <c r="AG323" i="1"/>
  <c r="AH323" i="1"/>
  <c r="AI323" i="1"/>
  <c r="AJ323" i="1"/>
  <c r="AF324" i="1"/>
  <c r="AG324" i="1"/>
  <c r="AH324" i="1"/>
  <c r="AI324" i="1"/>
  <c r="AJ324" i="1"/>
  <c r="AF326" i="1"/>
  <c r="AG326" i="1"/>
  <c r="AH326" i="1"/>
  <c r="AI326" i="1"/>
  <c r="AJ326" i="1"/>
  <c r="AF327" i="1"/>
  <c r="AG327" i="1"/>
  <c r="AH327" i="1"/>
  <c r="AI327" i="1"/>
  <c r="AJ327" i="1"/>
  <c r="AK604" i="1" s="1"/>
  <c r="AF328" i="1"/>
  <c r="AG328" i="1"/>
  <c r="AH328" i="1"/>
  <c r="AI328" i="1"/>
  <c r="AJ328" i="1"/>
  <c r="AF329" i="1"/>
  <c r="AG329" i="1"/>
  <c r="AH329" i="1"/>
  <c r="AI329" i="1"/>
  <c r="AJ329" i="1"/>
  <c r="AF330" i="1"/>
  <c r="AG330" i="1"/>
  <c r="AH330" i="1"/>
  <c r="AI330" i="1"/>
  <c r="AJ330" i="1"/>
  <c r="AF336" i="1"/>
  <c r="AG336" i="1"/>
  <c r="AH336" i="1"/>
  <c r="AI336" i="1"/>
  <c r="AJ336" i="1"/>
  <c r="AF331" i="1"/>
  <c r="AG331" i="1"/>
  <c r="AH331" i="1"/>
  <c r="AI331" i="1"/>
  <c r="AJ331" i="1"/>
  <c r="AF332" i="1"/>
  <c r="AG332" i="1"/>
  <c r="AH332" i="1"/>
  <c r="AI332" i="1"/>
  <c r="AJ332" i="1"/>
  <c r="AF333" i="1"/>
  <c r="AG333" i="1"/>
  <c r="AH333" i="1"/>
  <c r="AI333" i="1"/>
  <c r="AJ333" i="1"/>
  <c r="AF334" i="1"/>
  <c r="AG334" i="1"/>
  <c r="AH334" i="1"/>
  <c r="AI334" i="1"/>
  <c r="AJ334" i="1"/>
  <c r="AF335" i="1"/>
  <c r="AG335" i="1"/>
  <c r="AH335" i="1"/>
  <c r="AI335" i="1"/>
  <c r="AJ335" i="1"/>
  <c r="AF337" i="1"/>
  <c r="AG337" i="1"/>
  <c r="AH337" i="1"/>
  <c r="AI337" i="1"/>
  <c r="AJ337" i="1"/>
  <c r="AF342" i="1"/>
  <c r="AG342" i="1"/>
  <c r="AH342" i="1"/>
  <c r="AI342" i="1"/>
  <c r="AJ342" i="1"/>
  <c r="AF345" i="1"/>
  <c r="AG345" i="1"/>
  <c r="AH345" i="1"/>
  <c r="AI345" i="1"/>
  <c r="AJ345" i="1"/>
  <c r="AF349" i="1"/>
  <c r="AG349" i="1"/>
  <c r="AH349" i="1"/>
  <c r="AI349" i="1"/>
  <c r="AJ349" i="1"/>
  <c r="AF350" i="1"/>
  <c r="AG350" i="1"/>
  <c r="AH350" i="1"/>
  <c r="AI350" i="1"/>
  <c r="AJ350" i="1"/>
  <c r="AF360" i="1"/>
  <c r="AG360" i="1"/>
  <c r="AH360" i="1"/>
  <c r="AI360" i="1"/>
  <c r="AJ360" i="1"/>
  <c r="AF361" i="1"/>
  <c r="AG361" i="1"/>
  <c r="AH361" i="1"/>
  <c r="AI361" i="1"/>
  <c r="AJ361" i="1"/>
  <c r="AF362" i="1"/>
  <c r="AG362" i="1"/>
  <c r="AH362" i="1"/>
  <c r="AI362" i="1"/>
  <c r="AJ362" i="1"/>
  <c r="AF367" i="1"/>
  <c r="AG367" i="1"/>
  <c r="AH367" i="1"/>
  <c r="AI367" i="1"/>
  <c r="AJ367" i="1"/>
  <c r="AF363" i="1"/>
  <c r="AG363" i="1"/>
  <c r="AH363" i="1"/>
  <c r="AI363" i="1"/>
  <c r="AJ363" i="1"/>
  <c r="AF365" i="1"/>
  <c r="AG365" i="1"/>
  <c r="AH365" i="1"/>
  <c r="AI365" i="1"/>
  <c r="AJ365" i="1"/>
  <c r="AF364" i="1"/>
  <c r="AG364" i="1"/>
  <c r="AH364" i="1"/>
  <c r="AI364" i="1"/>
  <c r="AJ364" i="1"/>
  <c r="AF366" i="1"/>
  <c r="AG366" i="1"/>
  <c r="AH366" i="1"/>
  <c r="AI366" i="1"/>
  <c r="AJ366" i="1"/>
  <c r="AF368" i="1"/>
  <c r="AG368" i="1"/>
  <c r="AH368" i="1"/>
  <c r="AI368" i="1"/>
  <c r="AJ368" i="1"/>
  <c r="AF369" i="1"/>
  <c r="AG369" i="1"/>
  <c r="AH369" i="1"/>
  <c r="AI369" i="1"/>
  <c r="AJ369" i="1"/>
  <c r="AF371" i="1"/>
  <c r="AG371" i="1"/>
  <c r="AH371" i="1"/>
  <c r="AI371" i="1"/>
  <c r="AJ371" i="1"/>
  <c r="AF373" i="1"/>
  <c r="AG373" i="1"/>
  <c r="AH373" i="1"/>
  <c r="AI373" i="1"/>
  <c r="AJ373" i="1"/>
  <c r="AF375" i="1"/>
  <c r="AG375" i="1"/>
  <c r="AH375" i="1"/>
  <c r="AI375" i="1"/>
  <c r="AJ375" i="1"/>
  <c r="AF372" i="1"/>
  <c r="AG372" i="1"/>
  <c r="AH372" i="1"/>
  <c r="AI372" i="1"/>
  <c r="AJ372" i="1"/>
  <c r="AF376" i="1"/>
  <c r="AG376" i="1"/>
  <c r="AH376" i="1"/>
  <c r="AI376" i="1"/>
  <c r="AJ376" i="1"/>
  <c r="AF378" i="1"/>
  <c r="AG378" i="1"/>
  <c r="AH378" i="1"/>
  <c r="AI378" i="1"/>
  <c r="AJ378" i="1"/>
  <c r="AF379" i="1"/>
  <c r="AG379" i="1"/>
  <c r="AH379" i="1"/>
  <c r="AI379" i="1"/>
  <c r="AJ379" i="1"/>
  <c r="AF380" i="1"/>
  <c r="AG380" i="1"/>
  <c r="AH380" i="1"/>
  <c r="AI380" i="1"/>
  <c r="AJ380" i="1"/>
  <c r="AF381" i="1"/>
  <c r="AG381" i="1"/>
  <c r="AH381" i="1"/>
  <c r="AI381" i="1"/>
  <c r="AJ381" i="1"/>
  <c r="AF383" i="1"/>
  <c r="AG383" i="1"/>
  <c r="AH383" i="1"/>
  <c r="AI383" i="1"/>
  <c r="AJ383" i="1"/>
  <c r="AF382" i="1"/>
  <c r="AG382" i="1"/>
  <c r="AH382" i="1"/>
  <c r="AI382" i="1"/>
  <c r="AJ382" i="1"/>
  <c r="AF384" i="1"/>
  <c r="AG384" i="1"/>
  <c r="AH384" i="1"/>
  <c r="AI384" i="1"/>
  <c r="AJ384" i="1"/>
  <c r="AF385" i="1"/>
  <c r="AG385" i="1"/>
  <c r="AH385" i="1"/>
  <c r="AI385" i="1"/>
  <c r="AJ385" i="1"/>
  <c r="AF386" i="1"/>
  <c r="AG386" i="1"/>
  <c r="AH386" i="1"/>
  <c r="AI386" i="1"/>
  <c r="AJ386" i="1"/>
  <c r="AF388" i="1"/>
  <c r="AG388" i="1"/>
  <c r="AH388" i="1"/>
  <c r="AI388" i="1"/>
  <c r="AJ388" i="1"/>
  <c r="AF387" i="1"/>
  <c r="AG387" i="1"/>
  <c r="AH387" i="1"/>
  <c r="AI387" i="1"/>
  <c r="AJ387" i="1"/>
  <c r="AF390" i="1"/>
  <c r="AG390" i="1"/>
  <c r="AH390" i="1"/>
  <c r="AI390" i="1"/>
  <c r="AJ390" i="1"/>
  <c r="AF389" i="1"/>
  <c r="AG389" i="1"/>
  <c r="AH389" i="1"/>
  <c r="AI389" i="1"/>
  <c r="AJ389" i="1"/>
  <c r="AF391" i="1"/>
  <c r="AG391" i="1"/>
  <c r="AH391" i="1"/>
  <c r="AI391" i="1"/>
  <c r="AJ391" i="1"/>
  <c r="AF394" i="1"/>
  <c r="AG394" i="1"/>
  <c r="AH394" i="1"/>
  <c r="AI394" i="1"/>
  <c r="AJ394" i="1"/>
  <c r="AF392" i="1"/>
  <c r="AG392" i="1"/>
  <c r="AH392" i="1"/>
  <c r="AI392" i="1"/>
  <c r="AJ392" i="1"/>
  <c r="AF393" i="1"/>
  <c r="AG393" i="1"/>
  <c r="AH393" i="1"/>
  <c r="AI393" i="1"/>
  <c r="AJ393" i="1"/>
  <c r="AF395" i="1"/>
  <c r="AG395" i="1"/>
  <c r="AH395" i="1"/>
  <c r="AI395" i="1"/>
  <c r="AJ395" i="1"/>
  <c r="AF396" i="1"/>
  <c r="AG396" i="1"/>
  <c r="AH396" i="1"/>
  <c r="AI396" i="1"/>
  <c r="AJ396" i="1"/>
  <c r="AF397" i="1"/>
  <c r="AG397" i="1"/>
  <c r="AH397" i="1"/>
  <c r="AI397" i="1"/>
  <c r="AJ397" i="1"/>
  <c r="AF398" i="1"/>
  <c r="AG398" i="1"/>
  <c r="AH398" i="1"/>
  <c r="AI398" i="1"/>
  <c r="AJ398" i="1"/>
  <c r="AF403" i="1"/>
  <c r="AG403" i="1"/>
  <c r="AH403" i="1"/>
  <c r="AI403" i="1"/>
  <c r="AJ403" i="1"/>
  <c r="AF404" i="1"/>
  <c r="AG404" i="1"/>
  <c r="AH404" i="1"/>
  <c r="AI404" i="1"/>
  <c r="AJ404" i="1"/>
  <c r="AF405" i="1"/>
  <c r="AG405" i="1"/>
  <c r="AH405" i="1"/>
  <c r="AI405" i="1"/>
  <c r="AJ405" i="1"/>
  <c r="AF420" i="1"/>
  <c r="AG420" i="1"/>
  <c r="AH420" i="1"/>
  <c r="AI420" i="1"/>
  <c r="AJ420" i="1"/>
  <c r="AF421" i="1"/>
  <c r="AG421" i="1"/>
  <c r="AH421" i="1"/>
  <c r="AI421" i="1"/>
  <c r="AJ421" i="1"/>
  <c r="AF422" i="1"/>
  <c r="AG422" i="1"/>
  <c r="AH422" i="1"/>
  <c r="AI422" i="1"/>
  <c r="AJ422" i="1"/>
  <c r="AF424" i="1"/>
  <c r="AG424" i="1"/>
  <c r="AH424" i="1"/>
  <c r="AI424" i="1"/>
  <c r="AJ424" i="1"/>
  <c r="AF426" i="1"/>
  <c r="AG426" i="1"/>
  <c r="AH426" i="1"/>
  <c r="AI426" i="1"/>
  <c r="AJ426" i="1"/>
  <c r="AF425" i="1"/>
  <c r="AG425" i="1"/>
  <c r="AH425" i="1"/>
  <c r="AI425" i="1"/>
  <c r="AJ425" i="1"/>
  <c r="AF427" i="1"/>
  <c r="AG427" i="1"/>
  <c r="AH427" i="1"/>
  <c r="AI427" i="1"/>
  <c r="AJ427" i="1"/>
  <c r="AF428" i="1"/>
  <c r="AG428" i="1"/>
  <c r="AH428" i="1"/>
  <c r="AI428" i="1"/>
  <c r="AJ428" i="1"/>
  <c r="AF429" i="1"/>
  <c r="AG429" i="1"/>
  <c r="AH429" i="1"/>
  <c r="AI429" i="1"/>
  <c r="AJ429" i="1"/>
  <c r="AF430" i="1"/>
  <c r="AG430" i="1"/>
  <c r="AH430" i="1"/>
  <c r="AI430" i="1"/>
  <c r="AJ430" i="1"/>
  <c r="AK512" i="1" s="1"/>
  <c r="AF445" i="1"/>
  <c r="AG445" i="1"/>
  <c r="AH445" i="1"/>
  <c r="AI445" i="1"/>
  <c r="AJ445" i="1"/>
  <c r="AK513" i="1" s="1"/>
  <c r="AF431" i="1"/>
  <c r="AG431" i="1"/>
  <c r="AH431" i="1"/>
  <c r="AI431" i="1"/>
  <c r="AJ431" i="1"/>
  <c r="AF433" i="1"/>
  <c r="AG433" i="1"/>
  <c r="AH433" i="1"/>
  <c r="AI433" i="1"/>
  <c r="AJ433" i="1"/>
  <c r="AF432" i="1"/>
  <c r="AG432" i="1"/>
  <c r="AH432" i="1"/>
  <c r="AI432" i="1"/>
  <c r="AJ432" i="1"/>
  <c r="AF434" i="1"/>
  <c r="AG434" i="1"/>
  <c r="AH434" i="1"/>
  <c r="AI434" i="1"/>
  <c r="AJ434" i="1"/>
  <c r="AF435" i="1"/>
  <c r="AG435" i="1"/>
  <c r="AH435" i="1"/>
  <c r="AI435" i="1"/>
  <c r="AJ435" i="1"/>
  <c r="AF658" i="1"/>
  <c r="AG658" i="1"/>
  <c r="AH658" i="1"/>
  <c r="AI658" i="1"/>
  <c r="AJ658" i="1"/>
  <c r="AF436" i="1"/>
  <c r="AG436" i="1"/>
  <c r="AH436" i="1"/>
  <c r="AI436" i="1"/>
  <c r="AJ436" i="1"/>
  <c r="AF437" i="1"/>
  <c r="AG437" i="1"/>
  <c r="AH437" i="1"/>
  <c r="AI437" i="1"/>
  <c r="AJ437" i="1"/>
  <c r="AF438" i="1"/>
  <c r="AG438" i="1"/>
  <c r="AH438" i="1"/>
  <c r="AI438" i="1"/>
  <c r="AJ438" i="1"/>
  <c r="AF439" i="1"/>
  <c r="AG439" i="1"/>
  <c r="AH439" i="1"/>
  <c r="AI439" i="1"/>
  <c r="AJ439" i="1"/>
  <c r="AF444" i="1"/>
  <c r="AG444" i="1"/>
  <c r="AH444" i="1"/>
  <c r="AI444" i="1"/>
  <c r="AJ444" i="1"/>
  <c r="AF447" i="1"/>
  <c r="AG447" i="1"/>
  <c r="AH447" i="1"/>
  <c r="AI447" i="1"/>
  <c r="AJ447" i="1"/>
  <c r="AF457" i="1"/>
  <c r="AG457" i="1"/>
  <c r="AH457" i="1"/>
  <c r="AI457" i="1"/>
  <c r="AJ457" i="1"/>
  <c r="AF458" i="1"/>
  <c r="AG458" i="1"/>
  <c r="AH458" i="1"/>
  <c r="AI458" i="1"/>
  <c r="AJ458" i="1"/>
  <c r="AF584" i="1"/>
  <c r="AG584" i="1"/>
  <c r="AH584" i="1"/>
  <c r="AI584" i="1"/>
  <c r="AJ584" i="1"/>
  <c r="AK490" i="1" s="1"/>
  <c r="AF459" i="1"/>
  <c r="AG459" i="1"/>
  <c r="AH459" i="1"/>
  <c r="AI459" i="1"/>
  <c r="AJ459" i="1"/>
  <c r="AF460" i="1"/>
  <c r="AG460" i="1"/>
  <c r="AH460" i="1"/>
  <c r="AI460" i="1"/>
  <c r="AJ460" i="1"/>
  <c r="AF461" i="1"/>
  <c r="AG461" i="1"/>
  <c r="AH461" i="1"/>
  <c r="AI461" i="1"/>
  <c r="AJ461" i="1"/>
  <c r="AK568" i="1" s="1"/>
  <c r="AF462" i="1"/>
  <c r="AG462" i="1"/>
  <c r="AH462" i="1"/>
  <c r="AI462" i="1"/>
  <c r="AJ462" i="1"/>
  <c r="AF463" i="1"/>
  <c r="AG463" i="1"/>
  <c r="AH463" i="1"/>
  <c r="AI463" i="1"/>
  <c r="AJ463" i="1"/>
  <c r="AF469" i="1"/>
  <c r="AG469" i="1"/>
  <c r="AH469" i="1"/>
  <c r="AI469" i="1"/>
  <c r="AJ469" i="1"/>
  <c r="AF470" i="1"/>
  <c r="AG470" i="1"/>
  <c r="AH470" i="1"/>
  <c r="AI470" i="1"/>
  <c r="AJ470" i="1"/>
  <c r="AF471" i="1"/>
  <c r="AG471" i="1"/>
  <c r="AH471" i="1"/>
  <c r="AI471" i="1"/>
  <c r="AJ471" i="1"/>
  <c r="AF472" i="1"/>
  <c r="AG472" i="1"/>
  <c r="AH472" i="1"/>
  <c r="AI472" i="1"/>
  <c r="AJ472" i="1"/>
  <c r="AF473" i="1"/>
  <c r="AG473" i="1"/>
  <c r="AH473" i="1"/>
  <c r="AI473" i="1"/>
  <c r="AJ473" i="1"/>
  <c r="AF474" i="1"/>
  <c r="AG474" i="1"/>
  <c r="AH474" i="1"/>
  <c r="AI474" i="1"/>
  <c r="AJ474" i="1"/>
  <c r="AF475" i="1"/>
  <c r="AG475" i="1"/>
  <c r="AH475" i="1"/>
  <c r="AI475" i="1"/>
  <c r="AJ475" i="1"/>
  <c r="AF476" i="1"/>
  <c r="AG476" i="1"/>
  <c r="AH476" i="1"/>
  <c r="AI476" i="1"/>
  <c r="AJ476" i="1"/>
  <c r="AF477" i="1"/>
  <c r="AG477" i="1"/>
  <c r="AH477" i="1"/>
  <c r="AI477" i="1"/>
  <c r="AJ477" i="1"/>
  <c r="AK569" i="1" s="1"/>
  <c r="AF480" i="1"/>
  <c r="AG480" i="1"/>
  <c r="AH480" i="1"/>
  <c r="AI480" i="1"/>
  <c r="AJ480" i="1"/>
  <c r="AF478" i="1"/>
  <c r="AG478" i="1"/>
  <c r="AH478" i="1"/>
  <c r="AI478" i="1"/>
  <c r="AJ478" i="1"/>
  <c r="AF479" i="1"/>
  <c r="AG479" i="1"/>
  <c r="AH479" i="1"/>
  <c r="AI479" i="1"/>
  <c r="AJ479" i="1"/>
  <c r="AF484" i="1"/>
  <c r="AG484" i="1"/>
  <c r="AH484" i="1"/>
  <c r="AI484" i="1"/>
  <c r="AJ484" i="1"/>
  <c r="AF493" i="1"/>
  <c r="AG493" i="1"/>
  <c r="AH493" i="1"/>
  <c r="AI493" i="1"/>
  <c r="AJ493" i="1"/>
  <c r="AF492" i="1"/>
  <c r="AG492" i="1"/>
  <c r="AH492" i="1"/>
  <c r="AI492" i="1"/>
  <c r="AJ492" i="1"/>
  <c r="AF494" i="1"/>
  <c r="AG494" i="1"/>
  <c r="AH494" i="1"/>
  <c r="AI494" i="1"/>
  <c r="AJ494" i="1"/>
  <c r="AF495" i="1"/>
  <c r="AG495" i="1"/>
  <c r="AH495" i="1"/>
  <c r="AI495" i="1"/>
  <c r="AJ495" i="1"/>
  <c r="AF499" i="1"/>
  <c r="AG499" i="1"/>
  <c r="AH499" i="1"/>
  <c r="AI499" i="1"/>
  <c r="AJ499" i="1"/>
  <c r="AF504" i="1"/>
  <c r="AG504" i="1"/>
  <c r="AH504" i="1"/>
  <c r="AI504" i="1"/>
  <c r="AJ504" i="1"/>
  <c r="AF505" i="1"/>
  <c r="AG505" i="1"/>
  <c r="AH505" i="1"/>
  <c r="AI505" i="1"/>
  <c r="AJ505" i="1"/>
  <c r="AF506" i="1"/>
  <c r="AG506" i="1"/>
  <c r="AH506" i="1"/>
  <c r="AI506" i="1"/>
  <c r="AJ506" i="1"/>
  <c r="AK507" i="1" s="1"/>
  <c r="AF546" i="1"/>
  <c r="AG546" i="1"/>
  <c r="AH546" i="1"/>
  <c r="AI546" i="1"/>
  <c r="AJ546" i="1"/>
  <c r="AK554" i="1" s="1"/>
  <c r="AF552" i="1"/>
  <c r="AG552" i="1"/>
  <c r="AH552" i="1"/>
  <c r="AI552" i="1"/>
  <c r="AJ552" i="1"/>
  <c r="AF510" i="1"/>
  <c r="AG510" i="1"/>
  <c r="AH510" i="1"/>
  <c r="AI510" i="1"/>
  <c r="AJ510" i="1"/>
  <c r="AF518" i="1"/>
  <c r="AG518" i="1"/>
  <c r="AH518" i="1"/>
  <c r="AI518" i="1"/>
  <c r="AJ518" i="1"/>
  <c r="AF519" i="1"/>
  <c r="AG519" i="1"/>
  <c r="AH519" i="1"/>
  <c r="AI519" i="1"/>
  <c r="AJ519" i="1"/>
  <c r="AF520" i="1"/>
  <c r="AG520" i="1"/>
  <c r="AH520" i="1"/>
  <c r="AI520" i="1"/>
  <c r="AJ520" i="1"/>
  <c r="AF521" i="1"/>
  <c r="AG521" i="1"/>
  <c r="AH521" i="1"/>
  <c r="AI521" i="1"/>
  <c r="AJ521" i="1"/>
  <c r="AF522" i="1"/>
  <c r="AG522" i="1"/>
  <c r="AH522" i="1"/>
  <c r="AI522" i="1"/>
  <c r="AJ522" i="1"/>
  <c r="AF531" i="1"/>
  <c r="AG531" i="1"/>
  <c r="AH531" i="1"/>
  <c r="AI531" i="1"/>
  <c r="AJ531" i="1"/>
  <c r="AK556" i="1" s="1"/>
  <c r="AF524" i="1"/>
  <c r="AG524" i="1"/>
  <c r="AH524" i="1"/>
  <c r="AI524" i="1"/>
  <c r="AJ524" i="1"/>
  <c r="AK617" i="1" s="1"/>
  <c r="AF528" i="1"/>
  <c r="AG528" i="1"/>
  <c r="AH528" i="1"/>
  <c r="AI528" i="1"/>
  <c r="AJ528" i="1"/>
  <c r="AF529" i="1"/>
  <c r="AG529" i="1"/>
  <c r="AH529" i="1"/>
  <c r="AI529" i="1"/>
  <c r="AJ529" i="1"/>
  <c r="AF532" i="1"/>
  <c r="AG532" i="1"/>
  <c r="AH532" i="1"/>
  <c r="AI532" i="1"/>
  <c r="AJ532" i="1"/>
  <c r="AF533" i="1"/>
  <c r="AG533" i="1"/>
  <c r="AH533" i="1"/>
  <c r="AI533" i="1"/>
  <c r="AJ533" i="1"/>
  <c r="AF534" i="1"/>
  <c r="AG534" i="1"/>
  <c r="AH534" i="1"/>
  <c r="AI534" i="1"/>
  <c r="AJ534" i="1"/>
  <c r="AF535" i="1"/>
  <c r="AG535" i="1"/>
  <c r="AH535" i="1"/>
  <c r="AI535" i="1"/>
  <c r="AJ535" i="1"/>
  <c r="AF582" i="1"/>
  <c r="AG582" i="1"/>
  <c r="AH582" i="1"/>
  <c r="AI582" i="1"/>
  <c r="AJ582" i="1"/>
  <c r="AK543" i="1" s="1"/>
  <c r="AF539" i="1"/>
  <c r="AG539" i="1"/>
  <c r="AH539" i="1"/>
  <c r="AI539" i="1"/>
  <c r="AJ539" i="1"/>
  <c r="AF540" i="1"/>
  <c r="AG540" i="1"/>
  <c r="AH540" i="1"/>
  <c r="AI540" i="1"/>
  <c r="AJ540" i="1"/>
  <c r="AF541" i="1"/>
  <c r="AG541" i="1"/>
  <c r="AH541" i="1"/>
  <c r="AI541" i="1"/>
  <c r="AJ541" i="1"/>
  <c r="AF542" i="1"/>
  <c r="AG542" i="1"/>
  <c r="AH542" i="1"/>
  <c r="AI542" i="1"/>
  <c r="AJ542" i="1"/>
  <c r="AF544" i="1"/>
  <c r="AG544" i="1"/>
  <c r="AH544" i="1"/>
  <c r="AI544" i="1"/>
  <c r="AJ544" i="1"/>
  <c r="AF545" i="1"/>
  <c r="AG545" i="1"/>
  <c r="AH545" i="1"/>
  <c r="AI545" i="1"/>
  <c r="AJ545" i="1"/>
  <c r="AF627" i="1"/>
  <c r="AG627" i="1"/>
  <c r="AH627" i="1"/>
  <c r="AI627" i="1"/>
  <c r="AJ627" i="1"/>
  <c r="AF550" i="1"/>
  <c r="AG550" i="1"/>
  <c r="AH550" i="1"/>
  <c r="AI550" i="1"/>
  <c r="AJ550" i="1"/>
  <c r="AF599" i="1"/>
  <c r="AG599" i="1"/>
  <c r="AH599" i="1"/>
  <c r="AI599" i="1"/>
  <c r="AJ599" i="1"/>
  <c r="AF553" i="1"/>
  <c r="AG553" i="1"/>
  <c r="AH553" i="1"/>
  <c r="AI553" i="1"/>
  <c r="AJ553" i="1"/>
  <c r="AF597" i="1"/>
  <c r="AG597" i="1"/>
  <c r="AH597" i="1"/>
  <c r="AI597" i="1"/>
  <c r="AJ597" i="1"/>
  <c r="AF596" i="1"/>
  <c r="AG596" i="1"/>
  <c r="AH596" i="1"/>
  <c r="AI596" i="1"/>
  <c r="AJ596" i="1"/>
  <c r="AF606" i="1"/>
  <c r="AG606" i="1"/>
  <c r="AH606" i="1"/>
  <c r="AI606" i="1"/>
  <c r="AJ606" i="1"/>
  <c r="AF563" i="1"/>
  <c r="AG563" i="1"/>
  <c r="AH563" i="1"/>
  <c r="AI563" i="1"/>
  <c r="AJ563" i="1"/>
  <c r="AF561" i="1"/>
  <c r="AG561" i="1"/>
  <c r="AH561" i="1"/>
  <c r="AI561" i="1"/>
  <c r="AJ561" i="1"/>
  <c r="AF562" i="1"/>
  <c r="AG562" i="1"/>
  <c r="AH562" i="1"/>
  <c r="AI562" i="1"/>
  <c r="AJ562" i="1"/>
  <c r="AF564" i="1"/>
  <c r="AG564" i="1"/>
  <c r="AH564" i="1"/>
  <c r="AI564" i="1"/>
  <c r="AJ564" i="1"/>
  <c r="AF591" i="1"/>
  <c r="AG591" i="1"/>
  <c r="AH591" i="1"/>
  <c r="AI591" i="1"/>
  <c r="AJ591" i="1"/>
  <c r="AF565" i="1"/>
  <c r="AG565" i="1"/>
  <c r="AH565" i="1"/>
  <c r="AI565" i="1"/>
  <c r="AJ565" i="1"/>
  <c r="AK511" i="1" s="1"/>
  <c r="AF551" i="1"/>
  <c r="AG551" i="1"/>
  <c r="AH551" i="1"/>
  <c r="AI551" i="1"/>
  <c r="AJ551" i="1"/>
  <c r="AF567" i="1"/>
  <c r="AG567" i="1"/>
  <c r="AH567" i="1"/>
  <c r="AI567" i="1"/>
  <c r="AJ567" i="1"/>
  <c r="AF583" i="1"/>
  <c r="AG583" i="1"/>
  <c r="AH583" i="1"/>
  <c r="AI583" i="1"/>
  <c r="AJ583" i="1"/>
  <c r="AF585" i="1"/>
  <c r="AG585" i="1"/>
  <c r="AH585" i="1"/>
  <c r="AI585" i="1"/>
  <c r="AJ585" i="1"/>
  <c r="AF587" i="1"/>
  <c r="AG587" i="1"/>
  <c r="AH587" i="1"/>
  <c r="AI587" i="1"/>
  <c r="AJ587" i="1"/>
  <c r="AF588" i="1"/>
  <c r="AG588" i="1"/>
  <c r="AH588" i="1"/>
  <c r="AI588" i="1"/>
  <c r="AJ588" i="1"/>
  <c r="AK423" i="1" s="1"/>
  <c r="AF589" i="1"/>
  <c r="AG589" i="1"/>
  <c r="AH589" i="1"/>
  <c r="AI589" i="1"/>
  <c r="AJ589" i="1"/>
  <c r="AF590" i="1"/>
  <c r="AG590" i="1"/>
  <c r="AH590" i="1"/>
  <c r="AI590" i="1"/>
  <c r="AJ590" i="1"/>
  <c r="AF598" i="1"/>
  <c r="AG598" i="1"/>
  <c r="AH598" i="1"/>
  <c r="AI598" i="1"/>
  <c r="AJ598" i="1"/>
  <c r="AK560" i="1" s="1"/>
  <c r="AF600" i="1"/>
  <c r="AG600" i="1"/>
  <c r="AH600" i="1"/>
  <c r="AI600" i="1"/>
  <c r="AJ600" i="1"/>
  <c r="AK409" i="1" s="1"/>
  <c r="AF603" i="1"/>
  <c r="AG603" i="1"/>
  <c r="AH603" i="1"/>
  <c r="AI603" i="1"/>
  <c r="AJ603" i="1"/>
  <c r="AF607" i="1"/>
  <c r="AG607" i="1"/>
  <c r="AH607" i="1"/>
  <c r="AI607" i="1"/>
  <c r="AJ607" i="1"/>
  <c r="AF608" i="1"/>
  <c r="AG608" i="1"/>
  <c r="AH608" i="1"/>
  <c r="AI608" i="1"/>
  <c r="AJ608" i="1"/>
  <c r="AF613" i="1"/>
  <c r="AG613" i="1"/>
  <c r="AH613" i="1"/>
  <c r="AI613" i="1"/>
  <c r="AJ613" i="1"/>
  <c r="AF618" i="1"/>
  <c r="AG618" i="1"/>
  <c r="AH618" i="1"/>
  <c r="AI618" i="1"/>
  <c r="AJ618" i="1"/>
  <c r="AF621" i="1"/>
  <c r="AG621" i="1"/>
  <c r="AH621" i="1"/>
  <c r="AI621" i="1"/>
  <c r="AJ621" i="1"/>
  <c r="AK414" i="1" s="1"/>
  <c r="AF620" i="1"/>
  <c r="AG620" i="1"/>
  <c r="AH620" i="1"/>
  <c r="AI620" i="1"/>
  <c r="AJ620" i="1"/>
  <c r="AF623" i="1"/>
  <c r="AG623" i="1"/>
  <c r="AH623" i="1"/>
  <c r="AI623" i="1"/>
  <c r="AJ623" i="1"/>
  <c r="AF646" i="1"/>
  <c r="AG646" i="1"/>
  <c r="AH646" i="1"/>
  <c r="AI646" i="1"/>
  <c r="AJ646" i="1"/>
  <c r="AF625" i="1"/>
  <c r="AG625" i="1"/>
  <c r="AH625" i="1"/>
  <c r="AI625" i="1"/>
  <c r="AJ625" i="1"/>
  <c r="AF626" i="1"/>
  <c r="AG626" i="1"/>
  <c r="AH626" i="1"/>
  <c r="AI626" i="1"/>
  <c r="AJ626" i="1"/>
  <c r="AF628" i="1"/>
  <c r="AG628" i="1"/>
  <c r="AH628" i="1"/>
  <c r="AI628" i="1"/>
  <c r="AJ628" i="1"/>
  <c r="AF629" i="1"/>
  <c r="AG629" i="1"/>
  <c r="AH629" i="1"/>
  <c r="AI629" i="1"/>
  <c r="AJ629" i="1"/>
  <c r="AF630" i="1"/>
  <c r="AG630" i="1"/>
  <c r="AH630" i="1"/>
  <c r="AI630" i="1"/>
  <c r="AJ630" i="1"/>
  <c r="AF631" i="1"/>
  <c r="AG631" i="1"/>
  <c r="AH631" i="1"/>
  <c r="AI631" i="1"/>
  <c r="AJ631" i="1"/>
  <c r="AF633" i="1"/>
  <c r="AG633" i="1"/>
  <c r="AH633" i="1"/>
  <c r="AI633" i="1"/>
  <c r="AJ633" i="1"/>
  <c r="AF632" i="1"/>
  <c r="AG632" i="1"/>
  <c r="AH632" i="1"/>
  <c r="AI632" i="1"/>
  <c r="AJ632" i="1"/>
  <c r="AF639" i="1"/>
  <c r="AG639" i="1"/>
  <c r="AH639" i="1"/>
  <c r="AI639" i="1"/>
  <c r="AJ639" i="1"/>
  <c r="AK572" i="1" s="1"/>
  <c r="AF640" i="1"/>
  <c r="AG640" i="1"/>
  <c r="AH640" i="1"/>
  <c r="AI640" i="1"/>
  <c r="AJ640" i="1"/>
  <c r="AF641" i="1"/>
  <c r="AG641" i="1"/>
  <c r="AH641" i="1"/>
  <c r="AI641" i="1"/>
  <c r="AJ641" i="1"/>
  <c r="AF642" i="1"/>
  <c r="AG642" i="1"/>
  <c r="AH642" i="1"/>
  <c r="AI642" i="1"/>
  <c r="AJ642" i="1"/>
  <c r="AF643" i="1"/>
  <c r="AG643" i="1"/>
  <c r="AH643" i="1"/>
  <c r="AI643" i="1"/>
  <c r="AJ643" i="1"/>
  <c r="AF647" i="1"/>
  <c r="AG647" i="1"/>
  <c r="AH647" i="1"/>
  <c r="AI647" i="1"/>
  <c r="AJ647" i="1"/>
  <c r="AF657" i="1"/>
  <c r="AG657" i="1"/>
  <c r="AH657" i="1"/>
  <c r="AI657" i="1"/>
  <c r="AJ657" i="1"/>
  <c r="AF659" i="1"/>
  <c r="AG659" i="1"/>
  <c r="AH659" i="1"/>
  <c r="AI659" i="1"/>
  <c r="AJ659" i="1"/>
  <c r="AK576" i="1" s="1"/>
  <c r="AF340" i="1"/>
  <c r="AG340" i="1"/>
  <c r="AH340" i="1"/>
  <c r="AI340" i="1"/>
  <c r="AJ340" i="1"/>
  <c r="AK645" i="1" s="1"/>
  <c r="AN4" i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AN23" i="1"/>
  <c r="AN22" i="1"/>
  <c r="AN24" i="1"/>
  <c r="AN34" i="1"/>
  <c r="AN67" i="1"/>
  <c r="AN125" i="1"/>
  <c r="AN29" i="1"/>
  <c r="AN30" i="1"/>
  <c r="AN31" i="1"/>
  <c r="AN42" i="1"/>
  <c r="AN75" i="1"/>
  <c r="AN130" i="1"/>
  <c r="AN35" i="1"/>
  <c r="AN68" i="1"/>
  <c r="AN123" i="1"/>
  <c r="AN32" i="1"/>
  <c r="AN65" i="1"/>
  <c r="AN118" i="1"/>
  <c r="AN33" i="1"/>
  <c r="AN66" i="1"/>
  <c r="AN119" i="1"/>
  <c r="AN25" i="1"/>
  <c r="AN59" i="1"/>
  <c r="AN113" i="1"/>
  <c r="AN46" i="1"/>
  <c r="AN47" i="1"/>
  <c r="AN48" i="1"/>
  <c r="AN49" i="1"/>
  <c r="AN50" i="1"/>
  <c r="AN51" i="1"/>
  <c r="AN52" i="1"/>
  <c r="AN53" i="1"/>
  <c r="AN54" i="1"/>
  <c r="AN55" i="1"/>
  <c r="AN56" i="1"/>
  <c r="AN57" i="1"/>
  <c r="AN58" i="1"/>
  <c r="AN43" i="1"/>
  <c r="AN76" i="1"/>
  <c r="AN131" i="1"/>
  <c r="AN37" i="1"/>
  <c r="AN63" i="1"/>
  <c r="AN64" i="1"/>
  <c r="AN70" i="1"/>
  <c r="AN126" i="1"/>
  <c r="AN38" i="1"/>
  <c r="AN71" i="1"/>
  <c r="AN127" i="1"/>
  <c r="AN39" i="1"/>
  <c r="AN72" i="1"/>
  <c r="AN128" i="1"/>
  <c r="AN40" i="1"/>
  <c r="AN73" i="1"/>
  <c r="AN129" i="1"/>
  <c r="AN26" i="1"/>
  <c r="AN60" i="1"/>
  <c r="AN120" i="1"/>
  <c r="AN79" i="1"/>
  <c r="AN80" i="1"/>
  <c r="AN92" i="1"/>
  <c r="AN81" i="1"/>
  <c r="AN83" i="1"/>
  <c r="AN84" i="1"/>
  <c r="AN82" i="1"/>
  <c r="AN85" i="1"/>
  <c r="AN86" i="1"/>
  <c r="AN87" i="1"/>
  <c r="AN88" i="1"/>
  <c r="AN89" i="1"/>
  <c r="AN90" i="1"/>
  <c r="AN91" i="1"/>
  <c r="AN93" i="1"/>
  <c r="AN94" i="1"/>
  <c r="AN95" i="1"/>
  <c r="AN96" i="1"/>
  <c r="AN97" i="1"/>
  <c r="AN98" i="1"/>
  <c r="AN99" i="1"/>
  <c r="AN192" i="1"/>
  <c r="AN100" i="1"/>
  <c r="AN101" i="1"/>
  <c r="AN103" i="1"/>
  <c r="AN104" i="1"/>
  <c r="AN105" i="1"/>
  <c r="AN106" i="1"/>
  <c r="AN140" i="1"/>
  <c r="AN107" i="1"/>
  <c r="AN110" i="1"/>
  <c r="AN111" i="1"/>
  <c r="AN44" i="1"/>
  <c r="AN77" i="1"/>
  <c r="AN115" i="1"/>
  <c r="AN116" i="1"/>
  <c r="AN117" i="1"/>
  <c r="AN132" i="1"/>
  <c r="AN36" i="1"/>
  <c r="AN69" i="1"/>
  <c r="AN124" i="1"/>
  <c r="AN112" i="1"/>
  <c r="AN27" i="1"/>
  <c r="AN61" i="1"/>
  <c r="AN114" i="1"/>
  <c r="AN41" i="1"/>
  <c r="AN74" i="1"/>
  <c r="AN133" i="1"/>
  <c r="AN45" i="1"/>
  <c r="AN78" i="1"/>
  <c r="AN134" i="1"/>
  <c r="AN28" i="1"/>
  <c r="AN62" i="1"/>
  <c r="AN121" i="1"/>
  <c r="AN135" i="1"/>
  <c r="AN136" i="1"/>
  <c r="AN137" i="1"/>
  <c r="AN139" i="1"/>
  <c r="AN138" i="1"/>
  <c r="AN141" i="1"/>
  <c r="AN142" i="1"/>
  <c r="AN143" i="1"/>
  <c r="AN144" i="1"/>
  <c r="AN145" i="1"/>
  <c r="AN146" i="1"/>
  <c r="AN147" i="1"/>
  <c r="AN148" i="1"/>
  <c r="AN150" i="1"/>
  <c r="AN149" i="1"/>
  <c r="AN151" i="1"/>
  <c r="AN155" i="1"/>
  <c r="AN152" i="1"/>
  <c r="AN153" i="1"/>
  <c r="AN159" i="1"/>
  <c r="AN160" i="1"/>
  <c r="AN161" i="1"/>
  <c r="AN162" i="1"/>
  <c r="AN168" i="1"/>
  <c r="AN173" i="1"/>
  <c r="AN174" i="1"/>
  <c r="AN180" i="1"/>
  <c r="AN184" i="1"/>
  <c r="AN182" i="1"/>
  <c r="AN183" i="1"/>
  <c r="AN185" i="1"/>
  <c r="AN187" i="1"/>
  <c r="AN186" i="1"/>
  <c r="AN188" i="1"/>
  <c r="AN189" i="1"/>
  <c r="AN190" i="1"/>
  <c r="AN191" i="1"/>
  <c r="AN193" i="1"/>
  <c r="AN194" i="1"/>
  <c r="AN195" i="1"/>
  <c r="AN196" i="1"/>
  <c r="AN197" i="1"/>
  <c r="AN198" i="1"/>
  <c r="AN377" i="1"/>
  <c r="AN199" i="1"/>
  <c r="AN209" i="1"/>
  <c r="AN200" i="1"/>
  <c r="AN201" i="1"/>
  <c r="AN202" i="1"/>
  <c r="AN203" i="1"/>
  <c r="AN206" i="1"/>
  <c r="AN204" i="1"/>
  <c r="AN205" i="1"/>
  <c r="AN208" i="1"/>
  <c r="AN207" i="1"/>
  <c r="AN210" i="1"/>
  <c r="AN211" i="1"/>
  <c r="AN212" i="1"/>
  <c r="AN213" i="1"/>
  <c r="AN214" i="1"/>
  <c r="AN215" i="1"/>
  <c r="AN216" i="1"/>
  <c r="AN218" i="1"/>
  <c r="AN220" i="1"/>
  <c r="AN219" i="1"/>
  <c r="AN217" i="1"/>
  <c r="AN221" i="1"/>
  <c r="AN223" i="1"/>
  <c r="AN222" i="1"/>
  <c r="AN225" i="1"/>
  <c r="AN224" i="1"/>
  <c r="AN228" i="1"/>
  <c r="AN229" i="1"/>
  <c r="AN237" i="1"/>
  <c r="AN226" i="1"/>
  <c r="AN227" i="1"/>
  <c r="AN230" i="1"/>
  <c r="AN231" i="1"/>
  <c r="AN236" i="1"/>
  <c r="AN243" i="1"/>
  <c r="AN248" i="1"/>
  <c r="AN254" i="1"/>
  <c r="AN255" i="1"/>
  <c r="AN256" i="1"/>
  <c r="AN257" i="1"/>
  <c r="AN258" i="1"/>
  <c r="AN259" i="1"/>
  <c r="AN260" i="1"/>
  <c r="AN261" i="1"/>
  <c r="AN262" i="1"/>
  <c r="AN265" i="1"/>
  <c r="AN264" i="1"/>
  <c r="AN263" i="1"/>
  <c r="AN266" i="1"/>
  <c r="AN267" i="1"/>
  <c r="AN268" i="1"/>
  <c r="AN270" i="1"/>
  <c r="AN269" i="1"/>
  <c r="AN271" i="1"/>
  <c r="AN272" i="1"/>
  <c r="AN273" i="1"/>
  <c r="AN274" i="1"/>
  <c r="AN275" i="1"/>
  <c r="AN277" i="1"/>
  <c r="AN276" i="1"/>
  <c r="AN278" i="1"/>
  <c r="AN279" i="1"/>
  <c r="AN280" i="1"/>
  <c r="AN281" i="1"/>
  <c r="AN282" i="1"/>
  <c r="AN284" i="1"/>
  <c r="AN286" i="1"/>
  <c r="AN285" i="1"/>
  <c r="AN292" i="1"/>
  <c r="AN287" i="1"/>
  <c r="AN288" i="1"/>
  <c r="AN289" i="1"/>
  <c r="AN290" i="1"/>
  <c r="AN296" i="1"/>
  <c r="AN291" i="1"/>
  <c r="AN298" i="1"/>
  <c r="AN299" i="1"/>
  <c r="AN303" i="1"/>
  <c r="AN308" i="1"/>
  <c r="AN312" i="1"/>
  <c r="AN316" i="1"/>
  <c r="AN318" i="1"/>
  <c r="AN317" i="1"/>
  <c r="AN319" i="1"/>
  <c r="AN446" i="1"/>
  <c r="AN320" i="1"/>
  <c r="AN321" i="1"/>
  <c r="AN322" i="1"/>
  <c r="AN323" i="1"/>
  <c r="AN324" i="1"/>
  <c r="AN326" i="1"/>
  <c r="AN327" i="1"/>
  <c r="AN328" i="1"/>
  <c r="AN329" i="1"/>
  <c r="AN330" i="1"/>
  <c r="AN336" i="1"/>
  <c r="AN331" i="1"/>
  <c r="AN332" i="1"/>
  <c r="AN333" i="1"/>
  <c r="AN334" i="1"/>
  <c r="AN335" i="1"/>
  <c r="AN337" i="1"/>
  <c r="AN342" i="1"/>
  <c r="AN345" i="1"/>
  <c r="AN349" i="1"/>
  <c r="AN350" i="1"/>
  <c r="AN360" i="1"/>
  <c r="AN361" i="1"/>
  <c r="AN362" i="1"/>
  <c r="AN367" i="1"/>
  <c r="AN363" i="1"/>
  <c r="AN365" i="1"/>
  <c r="AN364" i="1"/>
  <c r="AN366" i="1"/>
  <c r="AN368" i="1"/>
  <c r="AN369" i="1"/>
  <c r="AN371" i="1"/>
  <c r="AN373" i="1"/>
  <c r="AN375" i="1"/>
  <c r="AN372" i="1"/>
  <c r="AN376" i="1"/>
  <c r="AN378" i="1"/>
  <c r="AN379" i="1"/>
  <c r="AN380" i="1"/>
  <c r="AN381" i="1"/>
  <c r="AN383" i="1"/>
  <c r="AN382" i="1"/>
  <c r="AN384" i="1"/>
  <c r="AN385" i="1"/>
  <c r="AN386" i="1"/>
  <c r="AN388" i="1"/>
  <c r="AN387" i="1"/>
  <c r="AN390" i="1"/>
  <c r="AN389" i="1"/>
  <c r="AN391" i="1"/>
  <c r="AN394" i="1"/>
  <c r="AN392" i="1"/>
  <c r="AN393" i="1"/>
  <c r="AN395" i="1"/>
  <c r="AN396" i="1"/>
  <c r="AN397" i="1"/>
  <c r="AN398" i="1"/>
  <c r="AN403" i="1"/>
  <c r="AN404" i="1"/>
  <c r="AN405" i="1"/>
  <c r="AN420" i="1"/>
  <c r="AN421" i="1"/>
  <c r="AN422" i="1"/>
  <c r="AN424" i="1"/>
  <c r="AN426" i="1"/>
  <c r="AN425" i="1"/>
  <c r="AN427" i="1"/>
  <c r="AN428" i="1"/>
  <c r="AN429" i="1"/>
  <c r="AN430" i="1"/>
  <c r="AN445" i="1"/>
  <c r="AN431" i="1"/>
  <c r="AN433" i="1"/>
  <c r="AN432" i="1"/>
  <c r="AN434" i="1"/>
  <c r="AN435" i="1"/>
  <c r="AN658" i="1"/>
  <c r="AN436" i="1"/>
  <c r="AN437" i="1"/>
  <c r="AN438" i="1"/>
  <c r="AN439" i="1"/>
  <c r="AN444" i="1"/>
  <c r="AN447" i="1"/>
  <c r="AN457" i="1"/>
  <c r="AN458" i="1"/>
  <c r="AN584" i="1"/>
  <c r="AN459" i="1"/>
  <c r="AN460" i="1"/>
  <c r="AN461" i="1"/>
  <c r="AN462" i="1"/>
  <c r="AN463" i="1"/>
  <c r="AN469" i="1"/>
  <c r="AN470" i="1"/>
  <c r="AN471" i="1"/>
  <c r="AN472" i="1"/>
  <c r="AN473" i="1"/>
  <c r="AN474" i="1"/>
  <c r="AN475" i="1"/>
  <c r="AN476" i="1"/>
  <c r="AN477" i="1"/>
  <c r="AN480" i="1"/>
  <c r="AN478" i="1"/>
  <c r="AN479" i="1"/>
  <c r="AN484" i="1"/>
  <c r="AN493" i="1"/>
  <c r="AN492" i="1"/>
  <c r="AN494" i="1"/>
  <c r="AN495" i="1"/>
  <c r="AN499" i="1"/>
  <c r="AN504" i="1"/>
  <c r="AN505" i="1"/>
  <c r="AN506" i="1"/>
  <c r="AN546" i="1"/>
  <c r="AN552" i="1"/>
  <c r="AN510" i="1"/>
  <c r="AN518" i="1"/>
  <c r="AN519" i="1"/>
  <c r="AN520" i="1"/>
  <c r="AN521" i="1"/>
  <c r="AN522" i="1"/>
  <c r="AN531" i="1"/>
  <c r="AN524" i="1"/>
  <c r="AN528" i="1"/>
  <c r="AN529" i="1"/>
  <c r="AN532" i="1"/>
  <c r="AN533" i="1"/>
  <c r="AN534" i="1"/>
  <c r="AN535" i="1"/>
  <c r="AN582" i="1"/>
  <c r="AN539" i="1"/>
  <c r="AN540" i="1"/>
  <c r="AN541" i="1"/>
  <c r="AN542" i="1"/>
  <c r="AN544" i="1"/>
  <c r="AN545" i="1"/>
  <c r="AN627" i="1"/>
  <c r="AN550" i="1"/>
  <c r="AN599" i="1"/>
  <c r="AN553" i="1"/>
  <c r="AN597" i="1"/>
  <c r="AN596" i="1"/>
  <c r="AN606" i="1"/>
  <c r="AN563" i="1"/>
  <c r="AN561" i="1"/>
  <c r="AN562" i="1"/>
  <c r="AN564" i="1"/>
  <c r="AN591" i="1"/>
  <c r="AN565" i="1"/>
  <c r="AN551" i="1"/>
  <c r="AN567" i="1"/>
  <c r="AN583" i="1"/>
  <c r="AN585" i="1"/>
  <c r="AN587" i="1"/>
  <c r="AN588" i="1"/>
  <c r="AN589" i="1"/>
  <c r="AN590" i="1"/>
  <c r="AN598" i="1"/>
  <c r="AN600" i="1"/>
  <c r="AN603" i="1"/>
  <c r="AN607" i="1"/>
  <c r="AN608" i="1"/>
  <c r="AN613" i="1"/>
  <c r="AN618" i="1"/>
  <c r="AN621" i="1"/>
  <c r="AN620" i="1"/>
  <c r="AN623" i="1"/>
  <c r="AN646" i="1"/>
  <c r="AN625" i="1"/>
  <c r="AN626" i="1"/>
  <c r="AN628" i="1"/>
  <c r="AN629" i="1"/>
  <c r="AN630" i="1"/>
  <c r="AN631" i="1"/>
  <c r="AN633" i="1"/>
  <c r="AN632" i="1"/>
  <c r="AN639" i="1"/>
  <c r="AN640" i="1"/>
  <c r="AN641" i="1"/>
  <c r="AN642" i="1"/>
  <c r="AN643" i="1"/>
  <c r="AN647" i="1"/>
  <c r="AN657" i="1"/>
  <c r="AN659" i="1"/>
  <c r="AN340" i="1"/>
  <c r="Z12" i="41"/>
  <c r="AA12" i="41"/>
  <c r="AB12" i="41"/>
  <c r="AC12" i="41"/>
  <c r="AD12" i="41"/>
  <c r="AH12" i="41"/>
  <c r="N12" i="41"/>
  <c r="O12" i="41"/>
  <c r="P12" i="41"/>
  <c r="AE11" i="41"/>
  <c r="AF11" i="41"/>
  <c r="AG11" i="41"/>
  <c r="AH11" i="41"/>
  <c r="AI11" i="41"/>
  <c r="AM11" i="41"/>
  <c r="S11" i="41"/>
  <c r="T11" i="41"/>
  <c r="U11" i="41"/>
  <c r="C11" i="41"/>
  <c r="D43" i="1"/>
  <c r="X43" i="1"/>
  <c r="U43" i="1"/>
  <c r="D133" i="1"/>
  <c r="X133" i="1"/>
  <c r="U133" i="1"/>
  <c r="D130" i="1"/>
  <c r="X130" i="1"/>
  <c r="U130" i="1"/>
  <c r="D131" i="1"/>
  <c r="X131" i="1"/>
  <c r="U131" i="1"/>
  <c r="D125" i="1"/>
  <c r="X125" i="1"/>
  <c r="U125" i="1"/>
  <c r="D128" i="1"/>
  <c r="X128" i="1"/>
  <c r="U128" i="1"/>
  <c r="D126" i="1"/>
  <c r="X126" i="1"/>
  <c r="U126" i="1"/>
  <c r="D127" i="1"/>
  <c r="X127" i="1"/>
  <c r="U127" i="1"/>
  <c r="D129" i="1"/>
  <c r="X129" i="1"/>
  <c r="U129" i="1"/>
  <c r="D124" i="1"/>
  <c r="X124" i="1"/>
  <c r="U124" i="1"/>
  <c r="D121" i="1"/>
  <c r="X121" i="1"/>
  <c r="U121" i="1"/>
  <c r="D120" i="1"/>
  <c r="X120" i="1"/>
  <c r="U120" i="1"/>
  <c r="D114" i="1"/>
  <c r="U114" i="1"/>
  <c r="X4" i="1"/>
  <c r="X5" i="1"/>
  <c r="X6" i="1"/>
  <c r="X7" i="1"/>
  <c r="X13" i="1"/>
  <c r="X8" i="1"/>
  <c r="X9" i="1"/>
  <c r="X10" i="1"/>
  <c r="X12" i="1"/>
  <c r="X14" i="1"/>
  <c r="X15" i="1"/>
  <c r="X17" i="1"/>
  <c r="X18" i="1"/>
  <c r="X23" i="1"/>
  <c r="X19" i="1"/>
  <c r="X21" i="1"/>
  <c r="X22" i="1"/>
  <c r="L20" i="17" s="1"/>
  <c r="X29" i="1"/>
  <c r="X24" i="1"/>
  <c r="X139" i="1"/>
  <c r="X25" i="1"/>
  <c r="X148" i="1"/>
  <c r="X206" i="1"/>
  <c r="X27" i="1"/>
  <c r="X28" i="1"/>
  <c r="X26" i="1"/>
  <c r="X32" i="1"/>
  <c r="X33" i="1"/>
  <c r="X36" i="1"/>
  <c r="X34" i="1"/>
  <c r="X35" i="1"/>
  <c r="X225" i="1"/>
  <c r="X37" i="1"/>
  <c r="X39" i="1"/>
  <c r="X38" i="1"/>
  <c r="X40" i="1"/>
  <c r="X41" i="1"/>
  <c r="X44" i="1"/>
  <c r="X45" i="1"/>
  <c r="X42" i="1"/>
  <c r="X265" i="1"/>
  <c r="X264" i="1"/>
  <c r="X47" i="1"/>
  <c r="X48" i="1"/>
  <c r="X51" i="1"/>
  <c r="X49" i="1"/>
  <c r="X50" i="1"/>
  <c r="X53" i="1"/>
  <c r="X54" i="1"/>
  <c r="X55" i="1"/>
  <c r="X56" i="1"/>
  <c r="X92" i="1"/>
  <c r="X58" i="1"/>
  <c r="X61" i="1"/>
  <c r="X62" i="1"/>
  <c r="X60" i="1"/>
  <c r="X59" i="1"/>
  <c r="X143" i="1"/>
  <c r="X65" i="1"/>
  <c r="X66" i="1"/>
  <c r="X69" i="1"/>
  <c r="X67" i="1"/>
  <c r="X68" i="1"/>
  <c r="X223" i="1"/>
  <c r="X72" i="1"/>
  <c r="X70" i="1"/>
  <c r="X71" i="1"/>
  <c r="X73" i="1"/>
  <c r="X74" i="1"/>
  <c r="X77" i="1"/>
  <c r="X76" i="1"/>
  <c r="X75" i="1"/>
  <c r="X273" i="1"/>
  <c r="X150" i="1"/>
  <c r="X79" i="1"/>
  <c r="X162" i="1"/>
  <c r="X83" i="1"/>
  <c r="X84" i="1"/>
  <c r="X82" i="1"/>
  <c r="X85" i="1"/>
  <c r="X86" i="1"/>
  <c r="X199" i="1"/>
  <c r="X88" i="1"/>
  <c r="X89" i="1"/>
  <c r="X208" i="1"/>
  <c r="X93" i="1"/>
  <c r="X94" i="1"/>
  <c r="X95" i="1"/>
  <c r="X97" i="1"/>
  <c r="X96" i="1"/>
  <c r="X192" i="1"/>
  <c r="X98" i="1"/>
  <c r="X220" i="1"/>
  <c r="X101" i="1"/>
  <c r="X228" i="1"/>
  <c r="X104" i="1"/>
  <c r="X140" i="1"/>
  <c r="X105" i="1"/>
  <c r="X229" i="1"/>
  <c r="X256" i="1"/>
  <c r="X270" i="1"/>
  <c r="X278" i="1"/>
  <c r="X117" i="1"/>
  <c r="X116" i="1"/>
  <c r="X118" i="1"/>
  <c r="X119" i="1"/>
  <c r="X123" i="1"/>
  <c r="X292" i="1"/>
  <c r="X135" i="1"/>
  <c r="X136" i="1"/>
  <c r="X286" i="1"/>
  <c r="X210" i="1"/>
  <c r="X280" i="1"/>
  <c r="X271" i="1"/>
  <c r="X318" i="1"/>
  <c r="X317" i="1"/>
  <c r="X211" i="1"/>
  <c r="X281" i="1"/>
  <c r="X254" i="1"/>
  <c r="X202" i="1"/>
  <c r="X274" i="1"/>
  <c r="X137" i="1"/>
  <c r="X145" i="1"/>
  <c r="X180" i="1"/>
  <c r="X146" i="1"/>
  <c r="X187" i="1"/>
  <c r="X186" i="1"/>
  <c r="X195" i="1"/>
  <c r="X196" i="1"/>
  <c r="X203" i="1"/>
  <c r="X214" i="1"/>
  <c r="X261" i="1"/>
  <c r="X275" i="1"/>
  <c r="X284" i="1"/>
  <c r="X316" i="1"/>
  <c r="X147" i="1"/>
  <c r="X262" i="1"/>
  <c r="X161" i="1"/>
  <c r="X194" i="1"/>
  <c r="X200" i="1"/>
  <c r="X218" i="1"/>
  <c r="X184" i="1"/>
  <c r="X258" i="1"/>
  <c r="X188" i="1"/>
  <c r="X277" i="1"/>
  <c r="X204" i="1"/>
  <c r="X215" i="1"/>
  <c r="X224" i="1"/>
  <c r="X263" i="1"/>
  <c r="X285" i="1"/>
  <c r="X138" i="1"/>
  <c r="X189" i="1"/>
  <c r="X205" i="1"/>
  <c r="X255" i="1"/>
  <c r="X276" i="1"/>
  <c r="X219" i="1"/>
  <c r="X182" i="1"/>
  <c r="X209" i="1"/>
  <c r="X216" i="1"/>
  <c r="X319" i="1"/>
  <c r="X183" i="1"/>
  <c r="X287" i="1"/>
  <c r="X142" i="1"/>
  <c r="X155" i="1"/>
  <c r="X185" i="1"/>
  <c r="X168" i="1"/>
  <c r="X226" i="1"/>
  <c r="X173" i="1"/>
  <c r="X267" i="1"/>
  <c r="X213" i="1"/>
  <c r="X296" i="1"/>
  <c r="X289" i="1"/>
  <c r="X151" i="1"/>
  <c r="X227" i="1"/>
  <c r="X303" i="1"/>
  <c r="X312" i="1"/>
  <c r="X57" i="1"/>
  <c r="X290" i="1"/>
  <c r="X153" i="1"/>
  <c r="X191" i="1"/>
  <c r="X87" i="1"/>
  <c r="X99" i="1"/>
  <c r="X231" i="1"/>
  <c r="X257" i="1"/>
  <c r="X149" i="1"/>
  <c r="X197" i="1"/>
  <c r="X207" i="1"/>
  <c r="X237" i="1"/>
  <c r="X236" i="1"/>
  <c r="X266" i="1"/>
  <c r="X288" i="1"/>
  <c r="X63" i="1"/>
  <c r="X91" i="1"/>
  <c r="X100" i="1"/>
  <c r="X107" i="1"/>
  <c r="X30" i="1"/>
  <c r="X141" i="1"/>
  <c r="X159" i="1"/>
  <c r="X193" i="1"/>
  <c r="X217" i="1"/>
  <c r="X298" i="1"/>
  <c r="X103" i="1"/>
  <c r="X144" i="1"/>
  <c r="X222" i="1"/>
  <c r="X64" i="1"/>
  <c r="X160" i="1"/>
  <c r="X299" i="1"/>
  <c r="X279" i="1"/>
  <c r="L64" i="17" s="1"/>
  <c r="X90" i="1"/>
  <c r="X106" i="1"/>
  <c r="X152" i="1"/>
  <c r="X190" i="1"/>
  <c r="X198" i="1"/>
  <c r="X230" i="1"/>
  <c r="X268" i="1"/>
  <c r="X291" i="1"/>
  <c r="X132" i="1"/>
  <c r="X78" i="1"/>
  <c r="X134" i="1"/>
  <c r="X31" i="1"/>
  <c r="X174" i="1"/>
  <c r="X201" i="1"/>
  <c r="X212" i="1"/>
  <c r="X221" i="1"/>
  <c r="X243" i="1"/>
  <c r="X248" i="1"/>
  <c r="X259" i="1"/>
  <c r="X272" i="1"/>
  <c r="X282" i="1"/>
  <c r="X308" i="1"/>
  <c r="U259" i="1"/>
  <c r="U272" i="1"/>
  <c r="U282" i="1"/>
  <c r="U308" i="1"/>
  <c r="U248" i="1"/>
  <c r="U243" i="1"/>
  <c r="U212" i="1"/>
  <c r="U221" i="1"/>
  <c r="U201" i="1"/>
  <c r="U174" i="1"/>
  <c r="U31" i="1"/>
  <c r="U134" i="1"/>
  <c r="U78" i="1"/>
  <c r="U132" i="1"/>
  <c r="U291" i="1"/>
  <c r="U230" i="1"/>
  <c r="U268" i="1"/>
  <c r="U198" i="1"/>
  <c r="U190" i="1"/>
  <c r="U152" i="1"/>
  <c r="U106" i="1"/>
  <c r="U279" i="1"/>
  <c r="U90" i="1"/>
  <c r="U299" i="1"/>
  <c r="U160" i="1"/>
  <c r="U144" i="1"/>
  <c r="U222" i="1"/>
  <c r="U64" i="1"/>
  <c r="U81" i="1"/>
  <c r="U103" i="1"/>
  <c r="U217" i="1"/>
  <c r="U298" i="1"/>
  <c r="U141" i="1"/>
  <c r="U159" i="1"/>
  <c r="U193" i="1"/>
  <c r="U100" i="1"/>
  <c r="U107" i="1"/>
  <c r="U30" i="1"/>
  <c r="U266" i="1"/>
  <c r="U288" i="1"/>
  <c r="U63" i="1"/>
  <c r="U91" i="1"/>
  <c r="U236" i="1"/>
  <c r="U155" i="1"/>
  <c r="U185" i="1"/>
  <c r="U168" i="1"/>
  <c r="U226" i="1"/>
  <c r="U173" i="1"/>
  <c r="U267" i="1"/>
  <c r="U213" i="1"/>
  <c r="U296" i="1"/>
  <c r="U289" i="1"/>
  <c r="U151" i="1"/>
  <c r="U227" i="1"/>
  <c r="U303" i="1"/>
  <c r="U312" i="1"/>
  <c r="U57" i="1"/>
  <c r="U290" i="1"/>
  <c r="U153" i="1"/>
  <c r="U191" i="1"/>
  <c r="U87" i="1"/>
  <c r="U377" i="1"/>
  <c r="U99" i="1"/>
  <c r="U111" i="1"/>
  <c r="U231" i="1"/>
  <c r="U257" i="1"/>
  <c r="U149" i="1"/>
  <c r="U197" i="1"/>
  <c r="U207" i="1"/>
  <c r="U237" i="1"/>
  <c r="U319" i="1"/>
  <c r="U183" i="1"/>
  <c r="U287" i="1"/>
  <c r="U142" i="1"/>
  <c r="U216" i="1"/>
  <c r="U269" i="1"/>
  <c r="U182" i="1"/>
  <c r="U209" i="1"/>
  <c r="U276" i="1"/>
  <c r="U219" i="1"/>
  <c r="U205" i="1"/>
  <c r="U255" i="1"/>
  <c r="U189" i="1"/>
  <c r="U285" i="1"/>
  <c r="U138" i="1"/>
  <c r="U224" i="1"/>
  <c r="U263" i="1"/>
  <c r="U204" i="1"/>
  <c r="U215" i="1"/>
  <c r="U184" i="1"/>
  <c r="U258" i="1"/>
  <c r="U188" i="1"/>
  <c r="U277" i="1"/>
  <c r="U194" i="1"/>
  <c r="U200" i="1"/>
  <c r="U218" i="1"/>
  <c r="U161" i="1"/>
  <c r="U262" i="1"/>
  <c r="U261" i="1"/>
  <c r="U275" i="1"/>
  <c r="U284" i="1"/>
  <c r="U316" i="1"/>
  <c r="U147" i="1"/>
  <c r="U195" i="1"/>
  <c r="U196" i="1"/>
  <c r="U203" i="1"/>
  <c r="U214" i="1"/>
  <c r="U146" i="1"/>
  <c r="U187" i="1"/>
  <c r="U186" i="1"/>
  <c r="U180" i="1"/>
  <c r="U145" i="1"/>
  <c r="U274" i="1"/>
  <c r="U137" i="1"/>
  <c r="U202" i="1"/>
  <c r="U211" i="1"/>
  <c r="U281" i="1"/>
  <c r="U254" i="1"/>
  <c r="U75" i="1"/>
  <c r="U273" i="1"/>
  <c r="U150" i="1"/>
  <c r="U79" i="1"/>
  <c r="U80" i="1"/>
  <c r="U162" i="1"/>
  <c r="U83" i="1"/>
  <c r="U84" i="1"/>
  <c r="U82" i="1"/>
  <c r="U85" i="1"/>
  <c r="U86" i="1"/>
  <c r="U199" i="1"/>
  <c r="U88" i="1"/>
  <c r="U89" i="1"/>
  <c r="U208" i="1"/>
  <c r="U93" i="1"/>
  <c r="U94" i="1"/>
  <c r="U95" i="1"/>
  <c r="U97" i="1"/>
  <c r="U96" i="1"/>
  <c r="U192" i="1"/>
  <c r="U98" i="1"/>
  <c r="U220" i="1"/>
  <c r="U101" i="1"/>
  <c r="U228" i="1"/>
  <c r="U104" i="1"/>
  <c r="U140" i="1"/>
  <c r="U105" i="1"/>
  <c r="U229" i="1"/>
  <c r="U256" i="1"/>
  <c r="U110" i="1"/>
  <c r="U270" i="1"/>
  <c r="U113" i="1"/>
  <c r="U278" i="1"/>
  <c r="U117" i="1"/>
  <c r="U116" i="1"/>
  <c r="U118" i="1"/>
  <c r="U119" i="1"/>
  <c r="U112" i="1"/>
  <c r="U123" i="1"/>
  <c r="U292" i="1"/>
  <c r="U135" i="1"/>
  <c r="U136" i="1"/>
  <c r="U286" i="1"/>
  <c r="U260" i="1"/>
  <c r="U210" i="1"/>
  <c r="U280" i="1"/>
  <c r="U271" i="1"/>
  <c r="U318" i="1"/>
  <c r="U317" i="1"/>
  <c r="U54" i="1"/>
  <c r="U55" i="1"/>
  <c r="U56" i="1"/>
  <c r="U92" i="1"/>
  <c r="U58" i="1"/>
  <c r="U61" i="1"/>
  <c r="U62" i="1"/>
  <c r="U60" i="1"/>
  <c r="U59" i="1"/>
  <c r="U115" i="1"/>
  <c r="U143" i="1"/>
  <c r="U65" i="1"/>
  <c r="U66" i="1"/>
  <c r="U69" i="1"/>
  <c r="U67" i="1"/>
  <c r="U68" i="1"/>
  <c r="U223" i="1"/>
  <c r="U72" i="1"/>
  <c r="U70" i="1"/>
  <c r="U71" i="1"/>
  <c r="U73" i="1"/>
  <c r="U74" i="1"/>
  <c r="U44" i="1"/>
  <c r="U45" i="1"/>
  <c r="U42" i="1"/>
  <c r="U265" i="1"/>
  <c r="U264" i="1"/>
  <c r="U19" i="1"/>
  <c r="U20" i="1"/>
  <c r="U21" i="1"/>
  <c r="U22" i="1"/>
  <c r="U29" i="1"/>
  <c r="U24" i="1"/>
  <c r="U139" i="1"/>
  <c r="U25" i="1"/>
  <c r="U148" i="1"/>
  <c r="U206" i="1"/>
  <c r="U27" i="1"/>
  <c r="U28" i="1"/>
  <c r="U26" i="1"/>
  <c r="U32" i="1"/>
  <c r="U33" i="1"/>
  <c r="U36" i="1"/>
  <c r="U34" i="1"/>
  <c r="U35" i="1"/>
  <c r="U225" i="1"/>
  <c r="U4" i="1"/>
  <c r="U5" i="1"/>
  <c r="U6" i="1"/>
  <c r="U7" i="1"/>
  <c r="U11" i="1"/>
  <c r="U13" i="1"/>
  <c r="U8" i="1"/>
  <c r="U9" i="1"/>
  <c r="U10" i="1"/>
  <c r="U12" i="1"/>
  <c r="U14" i="1"/>
  <c r="U15" i="1"/>
  <c r="U16" i="1"/>
  <c r="U17" i="1"/>
  <c r="U18" i="1"/>
  <c r="U23" i="1"/>
  <c r="U37" i="1"/>
  <c r="U39" i="1"/>
  <c r="U38" i="1"/>
  <c r="U40" i="1"/>
  <c r="U41" i="1"/>
  <c r="U47" i="1"/>
  <c r="U46" i="1"/>
  <c r="U48" i="1"/>
  <c r="U51" i="1"/>
  <c r="U49" i="1"/>
  <c r="U50" i="1"/>
  <c r="U52" i="1"/>
  <c r="U53" i="1"/>
  <c r="U77" i="1"/>
  <c r="U76" i="1"/>
  <c r="U323" i="1"/>
  <c r="U365" i="1"/>
  <c r="U373" i="1"/>
  <c r="U363" i="1"/>
  <c r="U375" i="1"/>
  <c r="U381" i="1"/>
  <c r="U390" i="1"/>
  <c r="U329" i="1"/>
  <c r="U334" i="1"/>
  <c r="U335" i="1"/>
  <c r="U446" i="1"/>
  <c r="U321" i="1"/>
  <c r="U322" i="1"/>
  <c r="U326" i="1"/>
  <c r="U327" i="1"/>
  <c r="U331" i="1"/>
  <c r="U332" i="1"/>
  <c r="U336" i="1"/>
  <c r="U333" i="1"/>
  <c r="U337" i="1"/>
  <c r="U342" i="1"/>
  <c r="U345" i="1"/>
  <c r="U360" i="1"/>
  <c r="U361" i="1"/>
  <c r="U362" i="1"/>
  <c r="U364" i="1"/>
  <c r="U368" i="1"/>
  <c r="U369" i="1"/>
  <c r="U371" i="1"/>
  <c r="U372" i="1"/>
  <c r="U376" i="1"/>
  <c r="U378" i="1"/>
  <c r="U380" i="1"/>
  <c r="U382" i="1"/>
  <c r="U384" i="1"/>
  <c r="U383" i="1"/>
  <c r="U388" i="1"/>
  <c r="U387" i="1"/>
  <c r="U458" i="1"/>
  <c r="U389" i="1"/>
  <c r="U493" i="1"/>
  <c r="U563" i="1"/>
  <c r="U618" i="1"/>
  <c r="U395" i="1"/>
  <c r="U396" i="1"/>
  <c r="U397" i="1"/>
  <c r="U394" i="1"/>
  <c r="U392" i="1"/>
  <c r="U393" i="1"/>
  <c r="U398" i="1"/>
  <c r="U404" i="1"/>
  <c r="U366" i="1"/>
  <c r="U385" i="1"/>
  <c r="U405" i="1"/>
  <c r="U420" i="1"/>
  <c r="U421" i="1"/>
  <c r="U422" i="1"/>
  <c r="U424" i="1"/>
  <c r="U438" i="1"/>
  <c r="U427" i="1"/>
  <c r="U428" i="1"/>
  <c r="U429" i="1"/>
  <c r="U426" i="1"/>
  <c r="U425" i="1"/>
  <c r="U473" i="1"/>
  <c r="U479" i="1"/>
  <c r="U524" i="1"/>
  <c r="U553" i="1"/>
  <c r="U587" i="1"/>
  <c r="U625" i="1"/>
  <c r="U433" i="1"/>
  <c r="U432" i="1"/>
  <c r="U435" i="1"/>
  <c r="U658" i="1"/>
  <c r="U436" i="1"/>
  <c r="U328" i="1"/>
  <c r="U379" i="1"/>
  <c r="U403" i="1"/>
  <c r="U439" i="1"/>
  <c r="U437" i="1"/>
  <c r="U430" i="1"/>
  <c r="U447" i="1"/>
  <c r="U457" i="1"/>
  <c r="U444" i="1"/>
  <c r="U460" i="1"/>
  <c r="U461" i="1"/>
  <c r="U462" i="1"/>
  <c r="U584" i="1"/>
  <c r="U499" i="1"/>
  <c r="U459" i="1"/>
  <c r="U550" i="1"/>
  <c r="U463" i="1"/>
  <c r="U469" i="1"/>
  <c r="U470" i="1"/>
  <c r="U630" i="1"/>
  <c r="U471" i="1"/>
  <c r="U472" i="1"/>
  <c r="U320" i="1"/>
  <c r="U474" i="1"/>
  <c r="U391" i="1"/>
  <c r="U475" i="1"/>
  <c r="U476" i="1"/>
  <c r="U431" i="1"/>
  <c r="U477" i="1"/>
  <c r="U583" i="1"/>
  <c r="U478" i="1"/>
  <c r="U445" i="1"/>
  <c r="U631" i="1"/>
  <c r="U484" i="1"/>
  <c r="U367" i="1"/>
  <c r="U494" i="1"/>
  <c r="U492" i="1"/>
  <c r="U504" i="1"/>
  <c r="U505" i="1"/>
  <c r="U506" i="1"/>
  <c r="U546" i="1"/>
  <c r="U551" i="1"/>
  <c r="U552" i="1"/>
  <c r="U510" i="1"/>
  <c r="U520" i="1"/>
  <c r="U521" i="1"/>
  <c r="U522" i="1"/>
  <c r="U518" i="1"/>
  <c r="U519" i="1"/>
  <c r="U531" i="1"/>
  <c r="U528" i="1"/>
  <c r="U529" i="1"/>
  <c r="U324" i="1"/>
  <c r="U386" i="1"/>
  <c r="U533" i="1"/>
  <c r="U534" i="1"/>
  <c r="U535" i="1"/>
  <c r="U434" i="1"/>
  <c r="U480" i="1"/>
  <c r="U545" i="1"/>
  <c r="U590" i="1"/>
  <c r="U626" i="1"/>
  <c r="U582" i="1"/>
  <c r="U542" i="1"/>
  <c r="U544" i="1"/>
  <c r="U340" i="1"/>
  <c r="U539" i="1"/>
  <c r="U540" i="1"/>
  <c r="U541" i="1"/>
  <c r="U627" i="1"/>
  <c r="U599" i="1"/>
  <c r="U597" i="1"/>
  <c r="U596" i="1"/>
  <c r="U606" i="1"/>
  <c r="U564" i="1"/>
  <c r="U561" i="1"/>
  <c r="U562" i="1"/>
  <c r="U591" i="1"/>
  <c r="U565" i="1"/>
  <c r="U567" i="1"/>
  <c r="U585" i="1"/>
  <c r="U588" i="1"/>
  <c r="U589" i="1"/>
  <c r="U598" i="1"/>
  <c r="U600" i="1"/>
  <c r="U603" i="1"/>
  <c r="U607" i="1"/>
  <c r="U608" i="1"/>
  <c r="U330" i="1"/>
  <c r="U613" i="1"/>
  <c r="U349" i="1"/>
  <c r="U646" i="1"/>
  <c r="U350" i="1"/>
  <c r="U621" i="1"/>
  <c r="U620" i="1"/>
  <c r="U623" i="1"/>
  <c r="U628" i="1"/>
  <c r="U629" i="1"/>
  <c r="U633" i="1"/>
  <c r="U632" i="1"/>
  <c r="U640" i="1"/>
  <c r="U641" i="1"/>
  <c r="U642" i="1"/>
  <c r="U639" i="1"/>
  <c r="U643" i="1"/>
  <c r="U647" i="1"/>
  <c r="U659" i="1"/>
  <c r="U532" i="1"/>
  <c r="U657" i="1"/>
  <c r="D4" i="1"/>
  <c r="D5" i="1"/>
  <c r="D6" i="1"/>
  <c r="D7" i="1"/>
  <c r="D11" i="1"/>
  <c r="D13" i="1"/>
  <c r="D8" i="1"/>
  <c r="D9" i="1"/>
  <c r="D10" i="1"/>
  <c r="D12" i="1"/>
  <c r="D14" i="1"/>
  <c r="D16" i="1"/>
  <c r="D17" i="1"/>
  <c r="D18" i="1"/>
  <c r="D23" i="1"/>
  <c r="D19" i="1"/>
  <c r="D20" i="1"/>
  <c r="D21" i="1"/>
  <c r="D22" i="1"/>
  <c r="D29" i="1"/>
  <c r="D24" i="1"/>
  <c r="D139" i="1"/>
  <c r="D25" i="1"/>
  <c r="D148" i="1"/>
  <c r="D206" i="1"/>
  <c r="D27" i="1"/>
  <c r="D28" i="1"/>
  <c r="D26" i="1"/>
  <c r="D32" i="1"/>
  <c r="D33" i="1"/>
  <c r="D36" i="1"/>
  <c r="D34" i="1"/>
  <c r="D35" i="1"/>
  <c r="D225" i="1"/>
  <c r="D37" i="1"/>
  <c r="D39" i="1"/>
  <c r="D38" i="1"/>
  <c r="D40" i="1"/>
  <c r="D41" i="1"/>
  <c r="D44" i="1"/>
  <c r="D45" i="1"/>
  <c r="D42" i="1"/>
  <c r="D265" i="1"/>
  <c r="D264" i="1"/>
  <c r="D47" i="1"/>
  <c r="D46" i="1"/>
  <c r="D48" i="1"/>
  <c r="D51" i="1"/>
  <c r="D49" i="1"/>
  <c r="D50" i="1"/>
  <c r="D52" i="1"/>
  <c r="D53" i="1"/>
  <c r="D54" i="1"/>
  <c r="D55" i="1"/>
  <c r="D56" i="1"/>
  <c r="D92" i="1"/>
  <c r="D58" i="1"/>
  <c r="D61" i="1"/>
  <c r="D62" i="1"/>
  <c r="D60" i="1"/>
  <c r="D59" i="1"/>
  <c r="D115" i="1"/>
  <c r="D143" i="1"/>
  <c r="D65" i="1"/>
  <c r="D66" i="1"/>
  <c r="D69" i="1"/>
  <c r="D67" i="1"/>
  <c r="D68" i="1"/>
  <c r="D223" i="1"/>
  <c r="D72" i="1"/>
  <c r="D70" i="1"/>
  <c r="D71" i="1"/>
  <c r="D73" i="1"/>
  <c r="D74" i="1"/>
  <c r="D77" i="1"/>
  <c r="D76" i="1"/>
  <c r="D75" i="1"/>
  <c r="D273" i="1"/>
  <c r="D150" i="1"/>
  <c r="D79" i="1"/>
  <c r="D80" i="1"/>
  <c r="D162" i="1"/>
  <c r="D83" i="1"/>
  <c r="D84" i="1"/>
  <c r="D82" i="1"/>
  <c r="D85" i="1"/>
  <c r="D86" i="1"/>
  <c r="D199" i="1"/>
  <c r="D88" i="1"/>
  <c r="D89" i="1"/>
  <c r="D208" i="1"/>
  <c r="D93" i="1"/>
  <c r="D94" i="1"/>
  <c r="D95" i="1"/>
  <c r="D97" i="1"/>
  <c r="D96" i="1"/>
  <c r="D192" i="1"/>
  <c r="D98" i="1"/>
  <c r="D220" i="1"/>
  <c r="D101" i="1"/>
  <c r="D228" i="1"/>
  <c r="D104" i="1"/>
  <c r="D140" i="1"/>
  <c r="D105" i="1"/>
  <c r="D229" i="1"/>
  <c r="D256" i="1"/>
  <c r="D110" i="1"/>
  <c r="D270" i="1"/>
  <c r="D113" i="1"/>
  <c r="D278" i="1"/>
  <c r="D117" i="1"/>
  <c r="D116" i="1"/>
  <c r="D118" i="1"/>
  <c r="D119" i="1"/>
  <c r="D112" i="1"/>
  <c r="D123" i="1"/>
  <c r="D292" i="1"/>
  <c r="D135" i="1"/>
  <c r="D136" i="1"/>
  <c r="D286" i="1"/>
  <c r="D260" i="1"/>
  <c r="D210" i="1"/>
  <c r="D280" i="1"/>
  <c r="D271" i="1"/>
  <c r="D318" i="1"/>
  <c r="D317" i="1"/>
  <c r="D323" i="1"/>
  <c r="D211" i="1"/>
  <c r="D281" i="1"/>
  <c r="D254" i="1"/>
  <c r="D202" i="1"/>
  <c r="D274" i="1"/>
  <c r="D137" i="1"/>
  <c r="D365" i="1"/>
  <c r="D145" i="1"/>
  <c r="D180" i="1"/>
  <c r="D146" i="1"/>
  <c r="D187" i="1"/>
  <c r="D186" i="1"/>
  <c r="D195" i="1"/>
  <c r="D196" i="1"/>
  <c r="D203" i="1"/>
  <c r="D214" i="1"/>
  <c r="D261" i="1"/>
  <c r="D275" i="1"/>
  <c r="D284" i="1"/>
  <c r="D316" i="1"/>
  <c r="D147" i="1"/>
  <c r="D262" i="1"/>
  <c r="D161" i="1"/>
  <c r="D194" i="1"/>
  <c r="D200" i="1"/>
  <c r="D218" i="1"/>
  <c r="D184" i="1"/>
  <c r="D258" i="1"/>
  <c r="D188" i="1"/>
  <c r="D277" i="1"/>
  <c r="D204" i="1"/>
  <c r="D215" i="1"/>
  <c r="D363" i="1"/>
  <c r="D224" i="1"/>
  <c r="D263" i="1"/>
  <c r="D375" i="1"/>
  <c r="D285" i="1"/>
  <c r="D138" i="1"/>
  <c r="D189" i="1"/>
  <c r="D205" i="1"/>
  <c r="D255" i="1"/>
  <c r="D276" i="1"/>
  <c r="D219" i="1"/>
  <c r="D182" i="1"/>
  <c r="D209" i="1"/>
  <c r="D216" i="1"/>
  <c r="D269" i="1"/>
  <c r="D319" i="1"/>
  <c r="D183" i="1"/>
  <c r="D287" i="1"/>
  <c r="D142" i="1"/>
  <c r="D155" i="1"/>
  <c r="D185" i="1"/>
  <c r="D168" i="1"/>
  <c r="D226" i="1"/>
  <c r="D173" i="1"/>
  <c r="D267" i="1"/>
  <c r="D213" i="1"/>
  <c r="D296" i="1"/>
  <c r="D289" i="1"/>
  <c r="D151" i="1"/>
  <c r="D227" i="1"/>
  <c r="D303" i="1"/>
  <c r="D312" i="1"/>
  <c r="D57" i="1"/>
  <c r="D290" i="1"/>
  <c r="D153" i="1"/>
  <c r="D191" i="1"/>
  <c r="D87" i="1"/>
  <c r="D377" i="1"/>
  <c r="D99" i="1"/>
  <c r="D111" i="1"/>
  <c r="D231" i="1"/>
  <c r="D257" i="1"/>
  <c r="D149" i="1"/>
  <c r="D197" i="1"/>
  <c r="D207" i="1"/>
  <c r="D237" i="1"/>
  <c r="D329" i="1"/>
  <c r="D334" i="1"/>
  <c r="D335" i="1"/>
  <c r="D236" i="1"/>
  <c r="D321" i="1"/>
  <c r="D322" i="1"/>
  <c r="D326" i="1"/>
  <c r="D327" i="1"/>
  <c r="D266" i="1"/>
  <c r="D288" i="1"/>
  <c r="D63" i="1"/>
  <c r="D91" i="1"/>
  <c r="D331" i="1"/>
  <c r="D332" i="1"/>
  <c r="D100" i="1"/>
  <c r="D107" i="1"/>
  <c r="D30" i="1"/>
  <c r="D336" i="1"/>
  <c r="D333" i="1"/>
  <c r="D337" i="1"/>
  <c r="D342" i="1"/>
  <c r="D345" i="1"/>
  <c r="D360" i="1"/>
  <c r="D361" i="1"/>
  <c r="D362" i="1"/>
  <c r="D364" i="1"/>
  <c r="D368" i="1"/>
  <c r="D369" i="1"/>
  <c r="D371" i="1"/>
  <c r="D372" i="1"/>
  <c r="D376" i="1"/>
  <c r="D378" i="1"/>
  <c r="D141" i="1"/>
  <c r="D159" i="1"/>
  <c r="D193" i="1"/>
  <c r="D217" i="1"/>
  <c r="D298" i="1"/>
  <c r="D81" i="1"/>
  <c r="D103" i="1"/>
  <c r="D144" i="1"/>
  <c r="D222" i="1"/>
  <c r="D64" i="1"/>
  <c r="D366" i="1"/>
  <c r="D160" i="1"/>
  <c r="D299" i="1"/>
  <c r="D279" i="1"/>
  <c r="D90" i="1"/>
  <c r="D106" i="1"/>
  <c r="D658" i="1"/>
  <c r="D152" i="1"/>
  <c r="D328" i="1"/>
  <c r="D379" i="1"/>
  <c r="D190" i="1"/>
  <c r="D198" i="1"/>
  <c r="D320" i="1"/>
  <c r="D230" i="1"/>
  <c r="D268" i="1"/>
  <c r="D291" i="1"/>
  <c r="D367" i="1"/>
  <c r="D132" i="1"/>
  <c r="D324" i="1"/>
  <c r="D340" i="1"/>
  <c r="D78" i="1"/>
  <c r="D134" i="1"/>
  <c r="D31" i="1"/>
  <c r="D174" i="1"/>
  <c r="D201" i="1"/>
  <c r="D212" i="1"/>
  <c r="D221" i="1"/>
  <c r="D243" i="1"/>
  <c r="D248" i="1"/>
  <c r="D259" i="1"/>
  <c r="D272" i="1"/>
  <c r="D282" i="1"/>
  <c r="D308" i="1"/>
  <c r="D330" i="1"/>
  <c r="D349" i="1"/>
  <c r="D350" i="1"/>
  <c r="D640" i="1"/>
  <c r="D641" i="1"/>
  <c r="D642" i="1"/>
  <c r="D639" i="1"/>
  <c r="D643" i="1"/>
  <c r="D647" i="1"/>
  <c r="D659" i="1"/>
  <c r="D657" i="1"/>
  <c r="AM10" i="41"/>
  <c r="AI10" i="41"/>
  <c r="AH10" i="41"/>
  <c r="AG10" i="41"/>
  <c r="AF10" i="41"/>
  <c r="AE10" i="41"/>
  <c r="U10" i="41"/>
  <c r="T10" i="41"/>
  <c r="S10" i="41"/>
  <c r="D10" i="41"/>
  <c r="C10" i="41"/>
  <c r="AM9" i="41"/>
  <c r="AI9" i="41"/>
  <c r="AH9" i="41"/>
  <c r="AG9" i="41"/>
  <c r="AF9" i="41"/>
  <c r="AE9" i="41"/>
  <c r="U9" i="41"/>
  <c r="T9" i="41"/>
  <c r="S9" i="41"/>
  <c r="D9" i="41"/>
  <c r="C9" i="41"/>
  <c r="AM8" i="41"/>
  <c r="AI8" i="41"/>
  <c r="AH8" i="41"/>
  <c r="AG8" i="41"/>
  <c r="AF8" i="41"/>
  <c r="AE8" i="41"/>
  <c r="U8" i="41"/>
  <c r="T8" i="41"/>
  <c r="S8" i="41"/>
  <c r="D8" i="41"/>
  <c r="C8" i="41"/>
  <c r="D7" i="41"/>
  <c r="C7" i="41"/>
  <c r="D6" i="41"/>
  <c r="C6" i="41"/>
  <c r="AH6" i="41"/>
  <c r="V6" i="41"/>
  <c r="U6" i="41"/>
  <c r="T6" i="41"/>
  <c r="T61" i="48"/>
  <c r="AF61" i="48"/>
  <c r="AN61" i="48"/>
  <c r="AV61" i="48"/>
  <c r="V2" i="48"/>
  <c r="T39" i="48"/>
  <c r="T40" i="48"/>
  <c r="T41" i="48"/>
  <c r="T42" i="48"/>
  <c r="T43" i="48"/>
  <c r="T49" i="48"/>
  <c r="T50" i="48"/>
  <c r="T51" i="48"/>
  <c r="T52" i="48"/>
  <c r="T57" i="48"/>
  <c r="T58" i="48"/>
  <c r="AF4" i="1"/>
  <c r="H17" i="52"/>
  <c r="H16" i="52"/>
  <c r="H15" i="52"/>
  <c r="H14" i="52"/>
  <c r="H13" i="52"/>
  <c r="H12" i="52"/>
  <c r="H11" i="52"/>
  <c r="H10" i="52"/>
  <c r="H9" i="52"/>
  <c r="H8" i="52"/>
  <c r="H7" i="52"/>
  <c r="H6" i="52"/>
  <c r="H5" i="52"/>
  <c r="H4" i="52"/>
  <c r="E34" i="17"/>
  <c r="G34" i="17" s="1"/>
  <c r="K34" i="17"/>
  <c r="U34" i="17" s="1"/>
  <c r="M34" i="17"/>
  <c r="N34" i="17"/>
  <c r="O34" i="17"/>
  <c r="E42" i="17"/>
  <c r="G42" i="17" s="1"/>
  <c r="K42" i="17"/>
  <c r="U42" i="17" s="1"/>
  <c r="M42" i="17"/>
  <c r="N42" i="17"/>
  <c r="O42" i="17"/>
  <c r="E43" i="17"/>
  <c r="G43" i="17" s="1"/>
  <c r="I43" i="17" s="1"/>
  <c r="K43" i="17"/>
  <c r="M43" i="17"/>
  <c r="N43" i="17"/>
  <c r="O43" i="17"/>
  <c r="E58" i="17"/>
  <c r="G58" i="17" s="1"/>
  <c r="I58" i="17" s="1"/>
  <c r="K58" i="17"/>
  <c r="U58" i="17" s="1"/>
  <c r="M58" i="17"/>
  <c r="N58" i="17"/>
  <c r="O58" i="17"/>
  <c r="E51" i="17"/>
  <c r="G51" i="17" s="1"/>
  <c r="K51" i="17"/>
  <c r="Z51" i="17" s="1"/>
  <c r="M51" i="17"/>
  <c r="N51" i="17"/>
  <c r="O51" i="17"/>
  <c r="E59" i="17"/>
  <c r="K59" i="17"/>
  <c r="M59" i="17"/>
  <c r="N59" i="17"/>
  <c r="O59" i="17"/>
  <c r="E53" i="17"/>
  <c r="G53" i="17" s="1"/>
  <c r="K53" i="17"/>
  <c r="Z53" i="17" s="1"/>
  <c r="M53" i="17"/>
  <c r="N53" i="17"/>
  <c r="O53" i="17"/>
  <c r="E40" i="17"/>
  <c r="G40" i="17" s="1"/>
  <c r="J40" i="17" s="1"/>
  <c r="K40" i="17"/>
  <c r="M40" i="17"/>
  <c r="N40" i="17"/>
  <c r="E41" i="17"/>
  <c r="G41" i="17" s="1"/>
  <c r="K41" i="17"/>
  <c r="M41" i="17"/>
  <c r="N41" i="17"/>
  <c r="O41" i="17"/>
  <c r="E50" i="17"/>
  <c r="G50" i="17" s="1"/>
  <c r="K50" i="17"/>
  <c r="Z50" i="17" s="1"/>
  <c r="M50" i="17"/>
  <c r="N50" i="17"/>
  <c r="O50" i="17"/>
  <c r="E44" i="17"/>
  <c r="G44" i="17" s="1"/>
  <c r="K44" i="17"/>
  <c r="M44" i="17"/>
  <c r="N44" i="17"/>
  <c r="O44" i="17"/>
  <c r="E52" i="17"/>
  <c r="G52" i="17" s="1"/>
  <c r="K52" i="17"/>
  <c r="U52" i="17" s="1"/>
  <c r="M52" i="17"/>
  <c r="N52" i="17"/>
  <c r="O52" i="17"/>
  <c r="CJ21" i="49"/>
  <c r="CI21" i="49"/>
  <c r="CH21" i="49"/>
  <c r="CG21" i="49"/>
  <c r="CF21" i="49"/>
  <c r="CE21" i="49"/>
  <c r="CD21" i="49"/>
  <c r="CC21" i="49"/>
  <c r="CB21" i="49"/>
  <c r="CA21" i="49"/>
  <c r="BZ21" i="49"/>
  <c r="BY21" i="49"/>
  <c r="BX21" i="49"/>
  <c r="BW21" i="49"/>
  <c r="BV21" i="49"/>
  <c r="BU21" i="49"/>
  <c r="BT21" i="49"/>
  <c r="BS21" i="49"/>
  <c r="BR21" i="49"/>
  <c r="BQ21" i="49"/>
  <c r="BP21" i="49"/>
  <c r="BO21" i="49"/>
  <c r="BN21" i="49"/>
  <c r="BM21" i="49"/>
  <c r="BL21" i="49"/>
  <c r="BK21" i="49"/>
  <c r="BJ21" i="49"/>
  <c r="BI21" i="49"/>
  <c r="BH21" i="49"/>
  <c r="BG21" i="49"/>
  <c r="BF21" i="49"/>
  <c r="BE21" i="49"/>
  <c r="BD21" i="49"/>
  <c r="BC21" i="49"/>
  <c r="BB21" i="49"/>
  <c r="BA21" i="49"/>
  <c r="AZ21" i="49"/>
  <c r="AY21" i="49"/>
  <c r="AX21" i="49"/>
  <c r="AW21" i="49"/>
  <c r="AV21" i="49"/>
  <c r="AU21" i="49"/>
  <c r="AT21" i="49"/>
  <c r="AS21" i="49"/>
  <c r="AR21" i="49"/>
  <c r="AQ21" i="49"/>
  <c r="AP21" i="49"/>
  <c r="AO21" i="49"/>
  <c r="AN21" i="49"/>
  <c r="AM21" i="49"/>
  <c r="AL21" i="49"/>
  <c r="AK21" i="49"/>
  <c r="AJ21" i="49"/>
  <c r="AI21" i="49"/>
  <c r="AH21" i="49"/>
  <c r="AG21" i="49"/>
  <c r="AF21" i="49"/>
  <c r="AE21" i="49"/>
  <c r="AD21" i="49"/>
  <c r="AC21" i="49"/>
  <c r="AB21" i="49"/>
  <c r="AA21" i="49"/>
  <c r="Z21" i="49"/>
  <c r="Y21" i="49"/>
  <c r="X21" i="49"/>
  <c r="W21" i="49"/>
  <c r="V21" i="49"/>
  <c r="U21" i="49"/>
  <c r="T21" i="49"/>
  <c r="S21" i="49"/>
  <c r="R21" i="49"/>
  <c r="Q21" i="49"/>
  <c r="P21" i="49"/>
  <c r="O21" i="49"/>
  <c r="N21" i="49"/>
  <c r="M21" i="49"/>
  <c r="L21" i="49"/>
  <c r="K21" i="49"/>
  <c r="J21" i="49"/>
  <c r="I21" i="49"/>
  <c r="H21" i="49"/>
  <c r="G21" i="49"/>
  <c r="F21" i="49"/>
  <c r="E21" i="49"/>
  <c r="D21" i="49"/>
  <c r="C21" i="49"/>
  <c r="B21" i="49"/>
  <c r="T2" i="48"/>
  <c r="T3" i="48"/>
  <c r="T4" i="48"/>
  <c r="T5" i="48"/>
  <c r="T6" i="48"/>
  <c r="T7" i="48"/>
  <c r="T8" i="48"/>
  <c r="T9" i="48"/>
  <c r="T11" i="48"/>
  <c r="T12" i="48"/>
  <c r="T13" i="48"/>
  <c r="T14" i="48"/>
  <c r="T15" i="48"/>
  <c r="T16" i="48"/>
  <c r="T17" i="48"/>
  <c r="T18" i="48"/>
  <c r="T19" i="48"/>
  <c r="T20" i="48"/>
  <c r="T21" i="48"/>
  <c r="T22" i="48"/>
  <c r="T23" i="48"/>
  <c r="T24" i="48"/>
  <c r="T25" i="48"/>
  <c r="T26" i="48"/>
  <c r="T27" i="48"/>
  <c r="T28" i="48"/>
  <c r="T29" i="48"/>
  <c r="T30" i="48"/>
  <c r="T31" i="48"/>
  <c r="T33" i="48"/>
  <c r="T35" i="48"/>
  <c r="T36" i="48"/>
  <c r="T37" i="48"/>
  <c r="T59" i="48"/>
  <c r="T60" i="48"/>
  <c r="T62" i="48"/>
  <c r="T63" i="48"/>
  <c r="S65" i="48"/>
  <c r="R65" i="48"/>
  <c r="Q65" i="48"/>
  <c r="P65" i="48"/>
  <c r="O65" i="48"/>
  <c r="AD3" i="48"/>
  <c r="AD2" i="48"/>
  <c r="AD15" i="48"/>
  <c r="AD16" i="48"/>
  <c r="AD21" i="48"/>
  <c r="AD22" i="48"/>
  <c r="AD23" i="48"/>
  <c r="AD24" i="48"/>
  <c r="AD25" i="48"/>
  <c r="AD35" i="48"/>
  <c r="AD63" i="48"/>
  <c r="AF2" i="48"/>
  <c r="AF15" i="48"/>
  <c r="AF16" i="48"/>
  <c r="AF21" i="48"/>
  <c r="AF22" i="48"/>
  <c r="AF23" i="48"/>
  <c r="AF24" i="48"/>
  <c r="AF25" i="48"/>
  <c r="AF35" i="48"/>
  <c r="AF63" i="48"/>
  <c r="AL2" i="48"/>
  <c r="AL15" i="48"/>
  <c r="AL16" i="48"/>
  <c r="AL21" i="48"/>
  <c r="AL22" i="48"/>
  <c r="AL23" i="48"/>
  <c r="AL24" i="48"/>
  <c r="AL25" i="48"/>
  <c r="AL35" i="48"/>
  <c r="AL63" i="48"/>
  <c r="AN2" i="48"/>
  <c r="AN15" i="48"/>
  <c r="AN16" i="48"/>
  <c r="AN21" i="48"/>
  <c r="AN22" i="48"/>
  <c r="AN23" i="48"/>
  <c r="AN24" i="48"/>
  <c r="AN25" i="48"/>
  <c r="AN35" i="48"/>
  <c r="AN63" i="48"/>
  <c r="AV2" i="48"/>
  <c r="AV21" i="48"/>
  <c r="AV22" i="48"/>
  <c r="AV23" i="48"/>
  <c r="AV24" i="48"/>
  <c r="AV25" i="48"/>
  <c r="AV35" i="48"/>
  <c r="AV63" i="48"/>
  <c r="AP65" i="48"/>
  <c r="X65" i="48"/>
  <c r="W65" i="48"/>
  <c r="AV62" i="48"/>
  <c r="AT62" i="48"/>
  <c r="AN62" i="48"/>
  <c r="AL62" i="48"/>
  <c r="AF62" i="48"/>
  <c r="AD62" i="48"/>
  <c r="AV60" i="48"/>
  <c r="AT60" i="48"/>
  <c r="AN60" i="48"/>
  <c r="AL60" i="48"/>
  <c r="AF60" i="48"/>
  <c r="AD60" i="48"/>
  <c r="AV37" i="48"/>
  <c r="AT37" i="48"/>
  <c r="AN37" i="48"/>
  <c r="AL37" i="48"/>
  <c r="AF37" i="48"/>
  <c r="AD37" i="48"/>
  <c r="AV36" i="48"/>
  <c r="AT36" i="48"/>
  <c r="AN36" i="48"/>
  <c r="AL36" i="48"/>
  <c r="AF36" i="48"/>
  <c r="AD36" i="48"/>
  <c r="AV33" i="48"/>
  <c r="AT33" i="48"/>
  <c r="AN33" i="48"/>
  <c r="AL33" i="48"/>
  <c r="AF33" i="48"/>
  <c r="AD33" i="48"/>
  <c r="AV31" i="48"/>
  <c r="AT31" i="48"/>
  <c r="AN31" i="48"/>
  <c r="AL31" i="48"/>
  <c r="AF31" i="48"/>
  <c r="AD31" i="48"/>
  <c r="AV30" i="48"/>
  <c r="AT30" i="48"/>
  <c r="AN30" i="48"/>
  <c r="AL30" i="48"/>
  <c r="AF30" i="48"/>
  <c r="AD30" i="48"/>
  <c r="AV29" i="48"/>
  <c r="AT29" i="48"/>
  <c r="AM29" i="48"/>
  <c r="AN29" i="48" s="1"/>
  <c r="AL29" i="48"/>
  <c r="AF29" i="48"/>
  <c r="AD29" i="48"/>
  <c r="AV28" i="48"/>
  <c r="AT28" i="48"/>
  <c r="AM28" i="48"/>
  <c r="AN28" i="48" s="1"/>
  <c r="AL28" i="48"/>
  <c r="AF28" i="48"/>
  <c r="AD28" i="48"/>
  <c r="AV27" i="48"/>
  <c r="AT27" i="48"/>
  <c r="AN27" i="48"/>
  <c r="AL27" i="48"/>
  <c r="AF27" i="48"/>
  <c r="AD27" i="48"/>
  <c r="AV26" i="48"/>
  <c r="AT26" i="48"/>
  <c r="AN26" i="48"/>
  <c r="AL26" i="48"/>
  <c r="AF26" i="48"/>
  <c r="AD26" i="48"/>
  <c r="AV20" i="48"/>
  <c r="AT20" i="48"/>
  <c r="AM20" i="48"/>
  <c r="AN20" i="48" s="1"/>
  <c r="AL20" i="48"/>
  <c r="AF20" i="48"/>
  <c r="AD20" i="48"/>
  <c r="AV19" i="48"/>
  <c r="AT19" i="48"/>
  <c r="AN19" i="48"/>
  <c r="AL19" i="48"/>
  <c r="AF19" i="48"/>
  <c r="AD19" i="48"/>
  <c r="AV18" i="48"/>
  <c r="AT18" i="48"/>
  <c r="AN18" i="48"/>
  <c r="AL18" i="48"/>
  <c r="AF18" i="48"/>
  <c r="AD18" i="48"/>
  <c r="AV17" i="48"/>
  <c r="AT17" i="48"/>
  <c r="AN17" i="48"/>
  <c r="AL17" i="48"/>
  <c r="AF17" i="48"/>
  <c r="AD17" i="48"/>
  <c r="AN14" i="48"/>
  <c r="AL14" i="48"/>
  <c r="AF14" i="48"/>
  <c r="AD14" i="48"/>
  <c r="AV13" i="48"/>
  <c r="AT13" i="48"/>
  <c r="AN13" i="48"/>
  <c r="AL13" i="48"/>
  <c r="AF13" i="48"/>
  <c r="AD13" i="48"/>
  <c r="AV12" i="48"/>
  <c r="AT12" i="48"/>
  <c r="AN12" i="48"/>
  <c r="AL12" i="48"/>
  <c r="AF12" i="48"/>
  <c r="AD12" i="48"/>
  <c r="AV11" i="48"/>
  <c r="AT11" i="48"/>
  <c r="AN11" i="48"/>
  <c r="AL11" i="48"/>
  <c r="AF11" i="48"/>
  <c r="AD11" i="48"/>
  <c r="AV9" i="48"/>
  <c r="AT9" i="48"/>
  <c r="AM9" i="48"/>
  <c r="AL9" i="48"/>
  <c r="AF9" i="48"/>
  <c r="AD9" i="48"/>
  <c r="AV8" i="48"/>
  <c r="AT8" i="48"/>
  <c r="AN8" i="48"/>
  <c r="AL8" i="48"/>
  <c r="AF8" i="48"/>
  <c r="AD8" i="48"/>
  <c r="AV7" i="48"/>
  <c r="AT7" i="48"/>
  <c r="AN7" i="48"/>
  <c r="AL7" i="48"/>
  <c r="AF7" i="48"/>
  <c r="AD7" i="48"/>
  <c r="AV6" i="48"/>
  <c r="AT6" i="48"/>
  <c r="AN6" i="48"/>
  <c r="AL6" i="48"/>
  <c r="AF6" i="48"/>
  <c r="AD6" i="48"/>
  <c r="AV5" i="48"/>
  <c r="AT5" i="48"/>
  <c r="AN5" i="48"/>
  <c r="AL5" i="48"/>
  <c r="AF5" i="48"/>
  <c r="AD5" i="48"/>
  <c r="AV4" i="48"/>
  <c r="AT4" i="48"/>
  <c r="AN4" i="48"/>
  <c r="AL4" i="48"/>
  <c r="AF4" i="48"/>
  <c r="AD4" i="48"/>
  <c r="AV3" i="48"/>
  <c r="AT3" i="48"/>
  <c r="AN3" i="48"/>
  <c r="AL3" i="48"/>
  <c r="AF3" i="48"/>
  <c r="AG4" i="1"/>
  <c r="AH4" i="1"/>
  <c r="AI4" i="1"/>
  <c r="AJ4" i="1"/>
  <c r="K5" i="17"/>
  <c r="Z5" i="17" s="1"/>
  <c r="E62" i="17"/>
  <c r="G62" i="17" s="1"/>
  <c r="K62" i="17"/>
  <c r="U62" i="17" s="1"/>
  <c r="M62" i="17"/>
  <c r="N62" i="17"/>
  <c r="O62" i="17"/>
  <c r="N5" i="17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5" i="17"/>
  <c r="N36" i="17"/>
  <c r="N37" i="17"/>
  <c r="N38" i="17"/>
  <c r="N60" i="17"/>
  <c r="N61" i="17"/>
  <c r="N63" i="17"/>
  <c r="N64" i="17"/>
  <c r="M5" i="17"/>
  <c r="M6" i="17"/>
  <c r="M7" i="17"/>
  <c r="M8" i="17"/>
  <c r="M9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5" i="17"/>
  <c r="M36" i="17"/>
  <c r="M37" i="17"/>
  <c r="M38" i="17"/>
  <c r="M60" i="17"/>
  <c r="M61" i="17"/>
  <c r="M63" i="17"/>
  <c r="M64" i="17"/>
  <c r="E60" i="17"/>
  <c r="G60" i="17" s="1"/>
  <c r="J60" i="17" s="1"/>
  <c r="K60" i="17"/>
  <c r="O60" i="17"/>
  <c r="Y26" i="27"/>
  <c r="Z26" i="27"/>
  <c r="AA26" i="27"/>
  <c r="Y18" i="27"/>
  <c r="Z18" i="27"/>
  <c r="AA18" i="27"/>
  <c r="Y17" i="27"/>
  <c r="Z17" i="27"/>
  <c r="AA17" i="27"/>
  <c r="Y14" i="27"/>
  <c r="Z14" i="27"/>
  <c r="AA14" i="27"/>
  <c r="Y11" i="27"/>
  <c r="Z11" i="27"/>
  <c r="AA11" i="27"/>
  <c r="Y12" i="27"/>
  <c r="Z12" i="27"/>
  <c r="AA12" i="27"/>
  <c r="Y9" i="27"/>
  <c r="Z9" i="27"/>
  <c r="AA9" i="27"/>
  <c r="Y82" i="27"/>
  <c r="Z82" i="27"/>
  <c r="AA82" i="27"/>
  <c r="Y83" i="27"/>
  <c r="Z83" i="27"/>
  <c r="AA83" i="27"/>
  <c r="Y84" i="27"/>
  <c r="Z84" i="27"/>
  <c r="AA84" i="27"/>
  <c r="Y85" i="27"/>
  <c r="Z85" i="27"/>
  <c r="AA85" i="27"/>
  <c r="Y80" i="27"/>
  <c r="Z80" i="27"/>
  <c r="AA80" i="27"/>
  <c r="Y78" i="27"/>
  <c r="Z78" i="27"/>
  <c r="AA78" i="27"/>
  <c r="Y68" i="27"/>
  <c r="Z68" i="27"/>
  <c r="AA68" i="27"/>
  <c r="Y70" i="27"/>
  <c r="Z70" i="27"/>
  <c r="AA70" i="27"/>
  <c r="Y71" i="27"/>
  <c r="Z71" i="27"/>
  <c r="AA71" i="27"/>
  <c r="Y72" i="27"/>
  <c r="Z72" i="27"/>
  <c r="AA72" i="27"/>
  <c r="Y73" i="27"/>
  <c r="Z73" i="27"/>
  <c r="AA73" i="27"/>
  <c r="Y74" i="27"/>
  <c r="Z74" i="27"/>
  <c r="AA74" i="27"/>
  <c r="Y75" i="27"/>
  <c r="Z75" i="27"/>
  <c r="AA75" i="27"/>
  <c r="Y76" i="27"/>
  <c r="Z76" i="27"/>
  <c r="AA76" i="27"/>
  <c r="Y50" i="27"/>
  <c r="Z50" i="27"/>
  <c r="AA50" i="27"/>
  <c r="Y51" i="27"/>
  <c r="Z51" i="27"/>
  <c r="AA51" i="27"/>
  <c r="Y52" i="27"/>
  <c r="Z52" i="27"/>
  <c r="AA52" i="27"/>
  <c r="X98" i="31"/>
  <c r="W98" i="31"/>
  <c r="V98" i="31"/>
  <c r="U98" i="31"/>
  <c r="T98" i="31"/>
  <c r="S98" i="31"/>
  <c r="B98" i="31"/>
  <c r="AA22" i="31"/>
  <c r="Z22" i="31"/>
  <c r="Y22" i="31"/>
  <c r="AA93" i="31"/>
  <c r="Z93" i="31"/>
  <c r="Y93" i="31"/>
  <c r="AA46" i="31"/>
  <c r="Z46" i="31"/>
  <c r="Y46" i="31"/>
  <c r="AA75" i="31"/>
  <c r="Z75" i="31"/>
  <c r="Y75" i="31"/>
  <c r="AA57" i="31"/>
  <c r="Z57" i="31"/>
  <c r="Y57" i="31"/>
  <c r="AA92" i="31"/>
  <c r="Z92" i="31"/>
  <c r="Y92" i="31"/>
  <c r="AA45" i="31"/>
  <c r="Z45" i="31"/>
  <c r="Y45" i="31"/>
  <c r="AA29" i="31"/>
  <c r="Z29" i="31"/>
  <c r="Y29" i="31"/>
  <c r="AA97" i="31"/>
  <c r="Z97" i="31"/>
  <c r="Y97" i="31"/>
  <c r="AA74" i="31"/>
  <c r="Z74" i="31"/>
  <c r="Y74" i="31"/>
  <c r="AA21" i="31"/>
  <c r="Z21" i="31"/>
  <c r="Y21" i="31"/>
  <c r="AA11" i="31"/>
  <c r="Z11" i="31"/>
  <c r="Y11" i="31"/>
  <c r="AA91" i="31"/>
  <c r="Z91" i="31"/>
  <c r="Y91" i="31"/>
  <c r="AA44" i="31"/>
  <c r="Z44" i="31"/>
  <c r="Y44" i="31"/>
  <c r="AA73" i="31"/>
  <c r="Z73" i="31"/>
  <c r="Y73" i="31"/>
  <c r="AA10" i="31"/>
  <c r="Z10" i="31"/>
  <c r="Y10" i="31"/>
  <c r="AA20" i="31"/>
  <c r="Z20" i="31"/>
  <c r="Y20" i="31"/>
  <c r="AA90" i="31"/>
  <c r="Z90" i="31"/>
  <c r="Y90" i="31"/>
  <c r="AA72" i="31"/>
  <c r="Z72" i="31"/>
  <c r="Y72" i="31"/>
  <c r="AA43" i="31"/>
  <c r="Z43" i="31"/>
  <c r="Y43" i="31"/>
  <c r="AA56" i="31"/>
  <c r="Z56" i="31"/>
  <c r="Y56" i="31"/>
  <c r="AA28" i="31"/>
  <c r="Z28" i="31"/>
  <c r="Y28" i="31"/>
  <c r="AA42" i="31"/>
  <c r="Z42" i="31"/>
  <c r="Y42" i="31"/>
  <c r="AA9" i="31"/>
  <c r="Z9" i="31"/>
  <c r="Y9" i="31"/>
  <c r="AA19" i="31"/>
  <c r="Z19" i="31"/>
  <c r="Y19" i="31"/>
  <c r="AA55" i="31"/>
  <c r="Z55" i="31"/>
  <c r="Y55" i="31"/>
  <c r="AA71" i="31"/>
  <c r="Z71" i="31"/>
  <c r="Y71" i="31"/>
  <c r="AA89" i="31"/>
  <c r="Z89" i="31"/>
  <c r="Y89" i="31"/>
  <c r="AA54" i="31"/>
  <c r="Z54" i="31"/>
  <c r="Y54" i="31"/>
  <c r="AA70" i="31"/>
  <c r="Z70" i="31"/>
  <c r="Y70" i="31"/>
  <c r="AA18" i="31"/>
  <c r="Z18" i="31"/>
  <c r="Y18" i="31"/>
  <c r="AA41" i="31"/>
  <c r="Z41" i="31"/>
  <c r="Y41" i="31"/>
  <c r="AA96" i="31"/>
  <c r="Z96" i="31"/>
  <c r="Y96" i="31"/>
  <c r="AA8" i="31"/>
  <c r="Z8" i="31"/>
  <c r="Y8" i="31"/>
  <c r="AA88" i="31"/>
  <c r="Z88" i="31"/>
  <c r="Y88" i="31"/>
  <c r="AA40" i="31"/>
  <c r="Z40" i="31"/>
  <c r="Y40" i="31"/>
  <c r="AA69" i="31"/>
  <c r="Z69" i="31"/>
  <c r="Y69" i="31"/>
  <c r="AA17" i="31"/>
  <c r="Z17" i="31"/>
  <c r="Y17" i="31"/>
  <c r="AA77" i="31"/>
  <c r="Z77" i="31"/>
  <c r="Y77" i="31"/>
  <c r="AA76" i="31"/>
  <c r="Z76" i="31"/>
  <c r="Y76" i="31"/>
  <c r="AA27" i="31"/>
  <c r="Z27" i="31"/>
  <c r="Y27" i="31"/>
  <c r="AA39" i="31"/>
  <c r="Z39" i="31"/>
  <c r="Y39" i="31"/>
  <c r="AA87" i="31"/>
  <c r="Z87" i="31"/>
  <c r="Y87" i="31"/>
  <c r="AA68" i="31"/>
  <c r="Z68" i="31"/>
  <c r="Y68" i="31"/>
  <c r="AA16" i="31"/>
  <c r="Z16" i="31"/>
  <c r="Y16" i="31"/>
  <c r="AA67" i="31"/>
  <c r="Z67" i="31"/>
  <c r="Y67" i="31"/>
  <c r="AA86" i="31"/>
  <c r="Z86" i="31"/>
  <c r="Y86" i="31"/>
  <c r="AA38" i="31"/>
  <c r="Z38" i="31"/>
  <c r="Y38" i="31"/>
  <c r="AA66" i="31"/>
  <c r="Z66" i="31"/>
  <c r="Y66" i="31"/>
  <c r="AA85" i="31"/>
  <c r="Z85" i="31"/>
  <c r="Y85" i="31"/>
  <c r="AA65" i="31"/>
  <c r="Z65" i="31"/>
  <c r="Y65" i="31"/>
  <c r="AA37" i="31"/>
  <c r="Z37" i="31"/>
  <c r="Y37" i="31"/>
  <c r="AA53" i="31"/>
  <c r="Z53" i="31"/>
  <c r="Y53" i="31"/>
  <c r="AA84" i="31"/>
  <c r="Z84" i="31"/>
  <c r="Y84" i="31"/>
  <c r="AA7" i="31"/>
  <c r="Z7" i="31"/>
  <c r="Y7" i="31"/>
  <c r="AA36" i="31"/>
  <c r="Z36" i="31"/>
  <c r="Y36" i="31"/>
  <c r="AA95" i="31"/>
  <c r="Z95" i="31"/>
  <c r="Y95" i="31"/>
  <c r="AA15" i="31"/>
  <c r="Z15" i="31"/>
  <c r="Y15" i="31"/>
  <c r="AA64" i="31"/>
  <c r="Z64" i="31"/>
  <c r="Y64" i="31"/>
  <c r="AA26" i="31"/>
  <c r="Z26" i="31"/>
  <c r="Y26" i="31"/>
  <c r="AA35" i="31"/>
  <c r="Z35" i="31"/>
  <c r="Y35" i="31"/>
  <c r="AA63" i="31"/>
  <c r="Z63" i="31"/>
  <c r="Y63" i="31"/>
  <c r="AA83" i="31"/>
  <c r="Z83" i="31"/>
  <c r="Y83" i="31"/>
  <c r="AA52" i="31"/>
  <c r="Z52" i="31"/>
  <c r="Y52" i="31"/>
  <c r="AA14" i="31"/>
  <c r="Z14" i="31"/>
  <c r="Y14" i="31"/>
  <c r="AA6" i="31"/>
  <c r="Z6" i="31"/>
  <c r="Y6" i="31"/>
  <c r="AA62" i="31"/>
  <c r="Z62" i="31"/>
  <c r="Y62" i="31"/>
  <c r="AA34" i="31"/>
  <c r="Z34" i="31"/>
  <c r="Y34" i="31"/>
  <c r="AA82" i="31"/>
  <c r="Z82" i="31"/>
  <c r="Y82" i="31"/>
  <c r="AA51" i="31"/>
  <c r="Z51" i="31"/>
  <c r="Y51" i="31"/>
  <c r="AA50" i="31"/>
  <c r="Z50" i="31"/>
  <c r="Y50" i="31"/>
  <c r="AA25" i="31"/>
  <c r="Z25" i="31"/>
  <c r="Y25" i="31"/>
  <c r="AA81" i="31"/>
  <c r="Z81" i="31"/>
  <c r="Y81" i="31"/>
  <c r="AA13" i="31"/>
  <c r="Z13" i="31"/>
  <c r="Y13" i="31"/>
  <c r="AA5" i="31"/>
  <c r="Z5" i="31"/>
  <c r="Y5" i="31"/>
  <c r="AA61" i="31"/>
  <c r="Z61" i="31"/>
  <c r="Y61" i="31"/>
  <c r="AA33" i="31"/>
  <c r="Z33" i="31"/>
  <c r="Y33" i="31"/>
  <c r="AA49" i="31"/>
  <c r="Z49" i="31"/>
  <c r="Y49" i="31"/>
  <c r="AA24" i="31"/>
  <c r="Z24" i="31"/>
  <c r="Y24" i="31"/>
  <c r="AA94" i="31"/>
  <c r="Z94" i="31"/>
  <c r="Y94" i="31"/>
  <c r="AA80" i="31"/>
  <c r="Z80" i="31"/>
  <c r="Y80" i="31"/>
  <c r="AA60" i="31"/>
  <c r="Z60" i="31"/>
  <c r="Y60" i="31"/>
  <c r="AA12" i="31"/>
  <c r="Z12" i="31"/>
  <c r="Y12" i="31"/>
  <c r="AA48" i="31"/>
  <c r="Z48" i="31"/>
  <c r="Y48" i="31"/>
  <c r="AA4" i="31"/>
  <c r="Z4" i="31"/>
  <c r="Y4" i="31"/>
  <c r="AA32" i="31"/>
  <c r="Z32" i="31"/>
  <c r="Y32" i="31"/>
  <c r="AA79" i="31"/>
  <c r="Z79" i="31"/>
  <c r="Y79" i="31"/>
  <c r="AA31" i="31"/>
  <c r="Z31" i="31"/>
  <c r="Y31" i="31"/>
  <c r="AA59" i="31"/>
  <c r="Z59" i="31"/>
  <c r="Y59" i="31"/>
  <c r="AA47" i="31"/>
  <c r="Z47" i="31"/>
  <c r="Y47" i="31"/>
  <c r="AA23" i="31"/>
  <c r="Z23" i="31"/>
  <c r="Y23" i="31"/>
  <c r="AA58" i="31"/>
  <c r="Z58" i="31"/>
  <c r="Y58" i="31"/>
  <c r="AA30" i="31"/>
  <c r="Z30" i="31"/>
  <c r="Y30" i="31"/>
  <c r="AA78" i="31"/>
  <c r="Z78" i="31"/>
  <c r="Y78" i="31"/>
  <c r="X163" i="29"/>
  <c r="W163" i="29"/>
  <c r="V163" i="29"/>
  <c r="U163" i="29"/>
  <c r="T163" i="29"/>
  <c r="S163" i="29"/>
  <c r="B163" i="29"/>
  <c r="AA162" i="29"/>
  <c r="Z162" i="29"/>
  <c r="Y162" i="29"/>
  <c r="AA161" i="29"/>
  <c r="Z161" i="29"/>
  <c r="Y161" i="29"/>
  <c r="AA160" i="29"/>
  <c r="Z160" i="29"/>
  <c r="Y160" i="29"/>
  <c r="AA159" i="29"/>
  <c r="Z159" i="29"/>
  <c r="Y159" i="29"/>
  <c r="AA158" i="29"/>
  <c r="Z158" i="29"/>
  <c r="Y158" i="29"/>
  <c r="AA157" i="29"/>
  <c r="Z157" i="29"/>
  <c r="Y157" i="29"/>
  <c r="AA156" i="29"/>
  <c r="Z156" i="29"/>
  <c r="Y156" i="29"/>
  <c r="AA155" i="29"/>
  <c r="Z155" i="29"/>
  <c r="Y155" i="29"/>
  <c r="AA154" i="29"/>
  <c r="Z154" i="29"/>
  <c r="Y154" i="29"/>
  <c r="AA153" i="29"/>
  <c r="Z153" i="29"/>
  <c r="Y153" i="29"/>
  <c r="AA152" i="29"/>
  <c r="Z152" i="29"/>
  <c r="Y152" i="29"/>
  <c r="AA151" i="29"/>
  <c r="Z151" i="29"/>
  <c r="Y151" i="29"/>
  <c r="AA150" i="29"/>
  <c r="Z150" i="29"/>
  <c r="Y150" i="29"/>
  <c r="AA149" i="29"/>
  <c r="Z149" i="29"/>
  <c r="Y149" i="29"/>
  <c r="AA148" i="29"/>
  <c r="Z148" i="29"/>
  <c r="Y148" i="29"/>
  <c r="AA147" i="29"/>
  <c r="Z147" i="29"/>
  <c r="Y147" i="29"/>
  <c r="AA146" i="29"/>
  <c r="Z146" i="29"/>
  <c r="Y146" i="29"/>
  <c r="AA145" i="29"/>
  <c r="Z145" i="29"/>
  <c r="Y145" i="29"/>
  <c r="AA144" i="29"/>
  <c r="Z144" i="29"/>
  <c r="Y144" i="29"/>
  <c r="AA143" i="29"/>
  <c r="Z143" i="29"/>
  <c r="Y143" i="29"/>
  <c r="AA142" i="29"/>
  <c r="Z142" i="29"/>
  <c r="Y142" i="29"/>
  <c r="AA141" i="29"/>
  <c r="Z141" i="29"/>
  <c r="Y141" i="29"/>
  <c r="AA140" i="29"/>
  <c r="Z140" i="29"/>
  <c r="Y140" i="29"/>
  <c r="AA139" i="29"/>
  <c r="Z139" i="29"/>
  <c r="Y139" i="29"/>
  <c r="AA138" i="29"/>
  <c r="Z138" i="29"/>
  <c r="Y138" i="29"/>
  <c r="AA137" i="29"/>
  <c r="Z137" i="29"/>
  <c r="Y137" i="29"/>
  <c r="AA136" i="29"/>
  <c r="Z136" i="29"/>
  <c r="Y136" i="29"/>
  <c r="AA135" i="29"/>
  <c r="Z135" i="29"/>
  <c r="Y135" i="29"/>
  <c r="AA134" i="29"/>
  <c r="Z134" i="29"/>
  <c r="Y134" i="29"/>
  <c r="AA133" i="29"/>
  <c r="Z133" i="29"/>
  <c r="Y133" i="29"/>
  <c r="AA132" i="29"/>
  <c r="Z132" i="29"/>
  <c r="Y132" i="29"/>
  <c r="AA131" i="29"/>
  <c r="Z131" i="29"/>
  <c r="Y131" i="29"/>
  <c r="AA130" i="29"/>
  <c r="Z130" i="29"/>
  <c r="Y130" i="29"/>
  <c r="AA129" i="29"/>
  <c r="Z129" i="29"/>
  <c r="Y129" i="29"/>
  <c r="AA128" i="29"/>
  <c r="Z128" i="29"/>
  <c r="Y128" i="29"/>
  <c r="AA127" i="29"/>
  <c r="Z127" i="29"/>
  <c r="Y127" i="29"/>
  <c r="AA126" i="29"/>
  <c r="Z126" i="29"/>
  <c r="Y126" i="29"/>
  <c r="AA125" i="29"/>
  <c r="Z125" i="29"/>
  <c r="Y125" i="29"/>
  <c r="AA124" i="29"/>
  <c r="Z124" i="29"/>
  <c r="Y124" i="29"/>
  <c r="AA123" i="29"/>
  <c r="Z123" i="29"/>
  <c r="Y123" i="29"/>
  <c r="AA122" i="29"/>
  <c r="Z122" i="29"/>
  <c r="Y122" i="29"/>
  <c r="AA121" i="29"/>
  <c r="Z121" i="29"/>
  <c r="Y121" i="29"/>
  <c r="AA120" i="29"/>
  <c r="Z120" i="29"/>
  <c r="Y120" i="29"/>
  <c r="AA119" i="29"/>
  <c r="Z119" i="29"/>
  <c r="Y119" i="29"/>
  <c r="AA118" i="29"/>
  <c r="Z118" i="29"/>
  <c r="Y118" i="29"/>
  <c r="AA117" i="29"/>
  <c r="Z117" i="29"/>
  <c r="Y117" i="29"/>
  <c r="AA116" i="29"/>
  <c r="Z116" i="29"/>
  <c r="Y116" i="29"/>
  <c r="AA115" i="29"/>
  <c r="Z115" i="29"/>
  <c r="Y115" i="29"/>
  <c r="AA114" i="29"/>
  <c r="Z114" i="29"/>
  <c r="Y114" i="29"/>
  <c r="AA113" i="29"/>
  <c r="Z113" i="29"/>
  <c r="Y113" i="29"/>
  <c r="AA112" i="29"/>
  <c r="Z112" i="29"/>
  <c r="Y112" i="29"/>
  <c r="AA111" i="29"/>
  <c r="Z111" i="29"/>
  <c r="Y111" i="29"/>
  <c r="AA110" i="29"/>
  <c r="Z110" i="29"/>
  <c r="Y110" i="29"/>
  <c r="AA109" i="29"/>
  <c r="Z109" i="29"/>
  <c r="Y109" i="29"/>
  <c r="AA108" i="29"/>
  <c r="Z108" i="29"/>
  <c r="Y108" i="29"/>
  <c r="AA107" i="29"/>
  <c r="Z107" i="29"/>
  <c r="Y107" i="29"/>
  <c r="AA106" i="29"/>
  <c r="Z106" i="29"/>
  <c r="Y106" i="29"/>
  <c r="AA105" i="29"/>
  <c r="Z105" i="29"/>
  <c r="Y105" i="29"/>
  <c r="AA104" i="29"/>
  <c r="Z104" i="29"/>
  <c r="Y104" i="29"/>
  <c r="AA103" i="29"/>
  <c r="Z103" i="29"/>
  <c r="Y103" i="29"/>
  <c r="AA102" i="29"/>
  <c r="Z102" i="29"/>
  <c r="Y102" i="29"/>
  <c r="AA101" i="29"/>
  <c r="Z101" i="29"/>
  <c r="Y101" i="29"/>
  <c r="AA100" i="29"/>
  <c r="Z100" i="29"/>
  <c r="Y100" i="29"/>
  <c r="AA99" i="29"/>
  <c r="Z99" i="29"/>
  <c r="Y99" i="29"/>
  <c r="AA98" i="29"/>
  <c r="Z98" i="29"/>
  <c r="Y98" i="29"/>
  <c r="AA97" i="29"/>
  <c r="Z97" i="29"/>
  <c r="Y97" i="29"/>
  <c r="AA96" i="29"/>
  <c r="Z96" i="29"/>
  <c r="Y96" i="29"/>
  <c r="AA95" i="29"/>
  <c r="Z95" i="29"/>
  <c r="Y95" i="29"/>
  <c r="AA94" i="29"/>
  <c r="Z94" i="29"/>
  <c r="Y94" i="29"/>
  <c r="AA93" i="29"/>
  <c r="Z93" i="29"/>
  <c r="Y93" i="29"/>
  <c r="AA92" i="29"/>
  <c r="Z92" i="29"/>
  <c r="Y92" i="29"/>
  <c r="AA91" i="29"/>
  <c r="Z91" i="29"/>
  <c r="Y91" i="29"/>
  <c r="AA90" i="29"/>
  <c r="Z90" i="29"/>
  <c r="Y90" i="29"/>
  <c r="AA89" i="29"/>
  <c r="Z89" i="29"/>
  <c r="Y89" i="29"/>
  <c r="AA88" i="29"/>
  <c r="Z88" i="29"/>
  <c r="Y88" i="29"/>
  <c r="AA87" i="29"/>
  <c r="Z87" i="29"/>
  <c r="Y87" i="29"/>
  <c r="AA86" i="29"/>
  <c r="Z86" i="29"/>
  <c r="Y86" i="29"/>
  <c r="AA85" i="29"/>
  <c r="Z85" i="29"/>
  <c r="Y85" i="29"/>
  <c r="AA84" i="29"/>
  <c r="Z84" i="29"/>
  <c r="Y84" i="29"/>
  <c r="AA83" i="29"/>
  <c r="Z83" i="29"/>
  <c r="Y83" i="29"/>
  <c r="AA82" i="29"/>
  <c r="Z82" i="29"/>
  <c r="Y82" i="29"/>
  <c r="AA81" i="29"/>
  <c r="Z81" i="29"/>
  <c r="Y81" i="29"/>
  <c r="AA80" i="29"/>
  <c r="Z80" i="29"/>
  <c r="Y80" i="29"/>
  <c r="AA79" i="29"/>
  <c r="Z79" i="29"/>
  <c r="Y79" i="29"/>
  <c r="AA78" i="29"/>
  <c r="Z78" i="29"/>
  <c r="Y78" i="29"/>
  <c r="AA77" i="29"/>
  <c r="Z77" i="29"/>
  <c r="Y77" i="29"/>
  <c r="AA76" i="29"/>
  <c r="Z76" i="29"/>
  <c r="Y76" i="29"/>
  <c r="AA75" i="29"/>
  <c r="Z75" i="29"/>
  <c r="Y75" i="29"/>
  <c r="AA74" i="29"/>
  <c r="Z74" i="29"/>
  <c r="Y74" i="29"/>
  <c r="AA73" i="29"/>
  <c r="Z73" i="29"/>
  <c r="Y73" i="29"/>
  <c r="AA72" i="29"/>
  <c r="Z72" i="29"/>
  <c r="Y72" i="29"/>
  <c r="AA71" i="29"/>
  <c r="Z71" i="29"/>
  <c r="Y71" i="29"/>
  <c r="AA70" i="29"/>
  <c r="Z70" i="29"/>
  <c r="Y70" i="29"/>
  <c r="AA69" i="29"/>
  <c r="Z69" i="29"/>
  <c r="Y69" i="29"/>
  <c r="AA68" i="29"/>
  <c r="Z68" i="29"/>
  <c r="Y68" i="29"/>
  <c r="AA67" i="29"/>
  <c r="Z67" i="29"/>
  <c r="Y67" i="29"/>
  <c r="AA66" i="29"/>
  <c r="Z66" i="29"/>
  <c r="Y66" i="29"/>
  <c r="AA65" i="29"/>
  <c r="Z65" i="29"/>
  <c r="Y65" i="29"/>
  <c r="AA64" i="29"/>
  <c r="Z64" i="29"/>
  <c r="Y64" i="29"/>
  <c r="AA63" i="29"/>
  <c r="Z63" i="29"/>
  <c r="Y63" i="29"/>
  <c r="AA62" i="29"/>
  <c r="Z62" i="29"/>
  <c r="Y62" i="29"/>
  <c r="AA61" i="29"/>
  <c r="Z61" i="29"/>
  <c r="Y61" i="29"/>
  <c r="AA60" i="29"/>
  <c r="Z60" i="29"/>
  <c r="Y60" i="29"/>
  <c r="AA59" i="29"/>
  <c r="Z59" i="29"/>
  <c r="Y59" i="29"/>
  <c r="AA58" i="29"/>
  <c r="Z58" i="29"/>
  <c r="Y58" i="29"/>
  <c r="AA57" i="29"/>
  <c r="Z57" i="29"/>
  <c r="Y57" i="29"/>
  <c r="AA56" i="29"/>
  <c r="Z56" i="29"/>
  <c r="Y56" i="29"/>
  <c r="AA55" i="29"/>
  <c r="Z55" i="29"/>
  <c r="Y55" i="29"/>
  <c r="AA54" i="29"/>
  <c r="Z54" i="29"/>
  <c r="Y54" i="29"/>
  <c r="AA53" i="29"/>
  <c r="Z53" i="29"/>
  <c r="Y53" i="29"/>
  <c r="AA52" i="29"/>
  <c r="Z52" i="29"/>
  <c r="Y52" i="29"/>
  <c r="AA51" i="29"/>
  <c r="Z51" i="29"/>
  <c r="Y51" i="29"/>
  <c r="AA50" i="29"/>
  <c r="Z50" i="29"/>
  <c r="Y50" i="29"/>
  <c r="AA49" i="29"/>
  <c r="Z49" i="29"/>
  <c r="Y49" i="29"/>
  <c r="AA48" i="29"/>
  <c r="Z48" i="29"/>
  <c r="Y48" i="29"/>
  <c r="AA47" i="29"/>
  <c r="Z47" i="29"/>
  <c r="Y47" i="29"/>
  <c r="AA46" i="29"/>
  <c r="Z46" i="29"/>
  <c r="Y46" i="29"/>
  <c r="AA45" i="29"/>
  <c r="Z45" i="29"/>
  <c r="Y45" i="29"/>
  <c r="AA44" i="29"/>
  <c r="Z44" i="29"/>
  <c r="Y44" i="29"/>
  <c r="AA43" i="29"/>
  <c r="Z43" i="29"/>
  <c r="Y43" i="29"/>
  <c r="AA42" i="29"/>
  <c r="Z42" i="29"/>
  <c r="Y42" i="29"/>
  <c r="AA41" i="29"/>
  <c r="Z41" i="29"/>
  <c r="Y41" i="29"/>
  <c r="AA40" i="29"/>
  <c r="Z40" i="29"/>
  <c r="Y40" i="29"/>
  <c r="AA39" i="29"/>
  <c r="Z39" i="29"/>
  <c r="Y39" i="29"/>
  <c r="AA38" i="29"/>
  <c r="Z38" i="29"/>
  <c r="Y38" i="29"/>
  <c r="AA37" i="29"/>
  <c r="Z37" i="29"/>
  <c r="Y37" i="29"/>
  <c r="AA36" i="29"/>
  <c r="Z36" i="29"/>
  <c r="Y36" i="29"/>
  <c r="AA35" i="29"/>
  <c r="Z35" i="29"/>
  <c r="Y35" i="29"/>
  <c r="AA34" i="29"/>
  <c r="Z34" i="29"/>
  <c r="Y34" i="29"/>
  <c r="AA33" i="29"/>
  <c r="Z33" i="29"/>
  <c r="Y33" i="29"/>
  <c r="AA32" i="29"/>
  <c r="Z32" i="29"/>
  <c r="Y32" i="29"/>
  <c r="AA31" i="29"/>
  <c r="Z31" i="29"/>
  <c r="Y31" i="29"/>
  <c r="AA30" i="29"/>
  <c r="Z30" i="29"/>
  <c r="Y30" i="29"/>
  <c r="AA29" i="29"/>
  <c r="Z29" i="29"/>
  <c r="Y29" i="29"/>
  <c r="AA28" i="29"/>
  <c r="Z28" i="29"/>
  <c r="Y28" i="29"/>
  <c r="AA27" i="29"/>
  <c r="Z27" i="29"/>
  <c r="Y27" i="29"/>
  <c r="AA26" i="29"/>
  <c r="Z26" i="29"/>
  <c r="Y26" i="29"/>
  <c r="AA25" i="29"/>
  <c r="Z25" i="29"/>
  <c r="Y25" i="29"/>
  <c r="AA24" i="29"/>
  <c r="Z24" i="29"/>
  <c r="Y24" i="29"/>
  <c r="AA23" i="29"/>
  <c r="Z23" i="29"/>
  <c r="Y23" i="29"/>
  <c r="AA22" i="29"/>
  <c r="Z22" i="29"/>
  <c r="Y22" i="29"/>
  <c r="AA21" i="29"/>
  <c r="Z21" i="29"/>
  <c r="Y21" i="29"/>
  <c r="AA20" i="29"/>
  <c r="Z20" i="29"/>
  <c r="Y20" i="29"/>
  <c r="AA19" i="29"/>
  <c r="Z19" i="29"/>
  <c r="Y19" i="29"/>
  <c r="AA18" i="29"/>
  <c r="Z18" i="29"/>
  <c r="Y18" i="29"/>
  <c r="AA17" i="29"/>
  <c r="Z17" i="29"/>
  <c r="Y17" i="29"/>
  <c r="AA16" i="29"/>
  <c r="Z16" i="29"/>
  <c r="Y16" i="29"/>
  <c r="AA15" i="29"/>
  <c r="Z15" i="29"/>
  <c r="Y15" i="29"/>
  <c r="AA14" i="29"/>
  <c r="Z14" i="29"/>
  <c r="Y14" i="29"/>
  <c r="AA13" i="29"/>
  <c r="Z13" i="29"/>
  <c r="Y13" i="29"/>
  <c r="AA12" i="29"/>
  <c r="Z12" i="29"/>
  <c r="Y12" i="29"/>
  <c r="AA11" i="29"/>
  <c r="Z11" i="29"/>
  <c r="Y11" i="29"/>
  <c r="AA10" i="29"/>
  <c r="Z10" i="29"/>
  <c r="Y10" i="29"/>
  <c r="AA9" i="29"/>
  <c r="Z9" i="29"/>
  <c r="Y9" i="29"/>
  <c r="AA8" i="29"/>
  <c r="Z8" i="29"/>
  <c r="Y8" i="29"/>
  <c r="AA7" i="29"/>
  <c r="Z7" i="29"/>
  <c r="Y7" i="29"/>
  <c r="AA6" i="29"/>
  <c r="Z6" i="29"/>
  <c r="Y6" i="29"/>
  <c r="AA5" i="29"/>
  <c r="Z5" i="29"/>
  <c r="Y5" i="29"/>
  <c r="AA4" i="29"/>
  <c r="Z4" i="29"/>
  <c r="Y4" i="29"/>
  <c r="Q98" i="31"/>
  <c r="R98" i="31"/>
  <c r="Q163" i="29"/>
  <c r="R163" i="29"/>
  <c r="X459" i="28"/>
  <c r="W459" i="28"/>
  <c r="V459" i="28"/>
  <c r="U459" i="28"/>
  <c r="T459" i="28"/>
  <c r="S459" i="28"/>
  <c r="B459" i="28"/>
  <c r="AA458" i="28"/>
  <c r="Z458" i="28"/>
  <c r="Y458" i="28"/>
  <c r="AA457" i="28"/>
  <c r="Z457" i="28"/>
  <c r="Y457" i="28"/>
  <c r="AA456" i="28"/>
  <c r="Z456" i="28"/>
  <c r="Y456" i="28"/>
  <c r="AA455" i="28"/>
  <c r="Z455" i="28"/>
  <c r="Y455" i="28"/>
  <c r="AA454" i="28"/>
  <c r="Z454" i="28"/>
  <c r="Y454" i="28"/>
  <c r="AA453" i="28"/>
  <c r="Z453" i="28"/>
  <c r="Y453" i="28"/>
  <c r="AA452" i="28"/>
  <c r="Z452" i="28"/>
  <c r="Y452" i="28"/>
  <c r="AA451" i="28"/>
  <c r="Z451" i="28"/>
  <c r="Y451" i="28"/>
  <c r="AA450" i="28"/>
  <c r="Z450" i="28"/>
  <c r="Y450" i="28"/>
  <c r="AA449" i="28"/>
  <c r="Z449" i="28"/>
  <c r="Y449" i="28"/>
  <c r="AA448" i="28"/>
  <c r="Z448" i="28"/>
  <c r="Y448" i="28"/>
  <c r="AA447" i="28"/>
  <c r="Z447" i="28"/>
  <c r="Y447" i="28"/>
  <c r="AA446" i="28"/>
  <c r="Z446" i="28"/>
  <c r="Y446" i="28"/>
  <c r="AA445" i="28"/>
  <c r="Z445" i="28"/>
  <c r="Y445" i="28"/>
  <c r="AA444" i="28"/>
  <c r="Z444" i="28"/>
  <c r="Y444" i="28"/>
  <c r="AA443" i="28"/>
  <c r="Z443" i="28"/>
  <c r="Y443" i="28"/>
  <c r="AA442" i="28"/>
  <c r="Z442" i="28"/>
  <c r="Y442" i="28"/>
  <c r="AA441" i="28"/>
  <c r="Z441" i="28"/>
  <c r="Y441" i="28"/>
  <c r="AA440" i="28"/>
  <c r="Z440" i="28"/>
  <c r="Y440" i="28"/>
  <c r="AA439" i="28"/>
  <c r="Z439" i="28"/>
  <c r="Y439" i="28"/>
  <c r="AA438" i="28"/>
  <c r="Z438" i="28"/>
  <c r="Y438" i="28"/>
  <c r="AA437" i="28"/>
  <c r="Z437" i="28"/>
  <c r="Y437" i="28"/>
  <c r="AA436" i="28"/>
  <c r="Z436" i="28"/>
  <c r="Y436" i="28"/>
  <c r="AA435" i="28"/>
  <c r="Z435" i="28"/>
  <c r="Y435" i="28"/>
  <c r="AA434" i="28"/>
  <c r="Z434" i="28"/>
  <c r="Y434" i="28"/>
  <c r="AA433" i="28"/>
  <c r="Z433" i="28"/>
  <c r="Y433" i="28"/>
  <c r="AA432" i="28"/>
  <c r="Z432" i="28"/>
  <c r="Y432" i="28"/>
  <c r="AA431" i="28"/>
  <c r="Z431" i="28"/>
  <c r="Y431" i="28"/>
  <c r="AA430" i="28"/>
  <c r="Z430" i="28"/>
  <c r="Y430" i="28"/>
  <c r="AA429" i="28"/>
  <c r="Z429" i="28"/>
  <c r="Y429" i="28"/>
  <c r="AA428" i="28"/>
  <c r="Z428" i="28"/>
  <c r="Y428" i="28"/>
  <c r="AA427" i="28"/>
  <c r="Z427" i="28"/>
  <c r="Y427" i="28"/>
  <c r="AA426" i="28"/>
  <c r="Z426" i="28"/>
  <c r="Y426" i="28"/>
  <c r="AA425" i="28"/>
  <c r="Z425" i="28"/>
  <c r="Y425" i="28"/>
  <c r="AA424" i="28"/>
  <c r="Z424" i="28"/>
  <c r="Y424" i="28"/>
  <c r="AA423" i="28"/>
  <c r="Z423" i="28"/>
  <c r="Y423" i="28"/>
  <c r="AA422" i="28"/>
  <c r="Z422" i="28"/>
  <c r="Y422" i="28"/>
  <c r="AA421" i="28"/>
  <c r="Z421" i="28"/>
  <c r="Y421" i="28"/>
  <c r="AA419" i="28"/>
  <c r="Z419" i="28"/>
  <c r="Y419" i="28"/>
  <c r="AA418" i="28"/>
  <c r="Z418" i="28"/>
  <c r="Y418" i="28"/>
  <c r="AA417" i="28"/>
  <c r="Z417" i="28"/>
  <c r="Y417" i="28"/>
  <c r="AA416" i="28"/>
  <c r="Z416" i="28"/>
  <c r="Y416" i="28"/>
  <c r="AA415" i="28"/>
  <c r="Z415" i="28"/>
  <c r="Y415" i="28"/>
  <c r="AA414" i="28"/>
  <c r="Z414" i="28"/>
  <c r="Y414" i="28"/>
  <c r="AA413" i="28"/>
  <c r="Z413" i="28"/>
  <c r="Y413" i="28"/>
  <c r="AA412" i="28"/>
  <c r="Z412" i="28"/>
  <c r="Y412" i="28"/>
  <c r="AA411" i="28"/>
  <c r="Z411" i="28"/>
  <c r="Y411" i="28"/>
  <c r="AA410" i="28"/>
  <c r="Z410" i="28"/>
  <c r="Y410" i="28"/>
  <c r="AA409" i="28"/>
  <c r="Z409" i="28"/>
  <c r="Y409" i="28"/>
  <c r="AA408" i="28"/>
  <c r="Z408" i="28"/>
  <c r="Y408" i="28"/>
  <c r="AA407" i="28"/>
  <c r="Z407" i="28"/>
  <c r="Y407" i="28"/>
  <c r="AA406" i="28"/>
  <c r="Z406" i="28"/>
  <c r="Y406" i="28"/>
  <c r="AA405" i="28"/>
  <c r="Z405" i="28"/>
  <c r="Y405" i="28"/>
  <c r="AA404" i="28"/>
  <c r="Z404" i="28"/>
  <c r="Y404" i="28"/>
  <c r="AA403" i="28"/>
  <c r="Z403" i="28"/>
  <c r="Y403" i="28"/>
  <c r="AA402" i="28"/>
  <c r="Z402" i="28"/>
  <c r="Y402" i="28"/>
  <c r="AA401" i="28"/>
  <c r="Z401" i="28"/>
  <c r="Y401" i="28"/>
  <c r="AA400" i="28"/>
  <c r="Z400" i="28"/>
  <c r="Y400" i="28"/>
  <c r="AA399" i="28"/>
  <c r="Z399" i="28"/>
  <c r="Y399" i="28"/>
  <c r="AA398" i="28"/>
  <c r="Z398" i="28"/>
  <c r="Y398" i="28"/>
  <c r="AA397" i="28"/>
  <c r="Z397" i="28"/>
  <c r="Y397" i="28"/>
  <c r="AA396" i="28"/>
  <c r="Z396" i="28"/>
  <c r="Y396" i="28"/>
  <c r="AA395" i="28"/>
  <c r="Z395" i="28"/>
  <c r="Y395" i="28"/>
  <c r="AA394" i="28"/>
  <c r="Z394" i="28"/>
  <c r="Y394" i="28"/>
  <c r="AA393" i="28"/>
  <c r="Z393" i="28"/>
  <c r="Y393" i="28"/>
  <c r="AA392" i="28"/>
  <c r="Z392" i="28"/>
  <c r="Y392" i="28"/>
  <c r="AA391" i="28"/>
  <c r="Z391" i="28"/>
  <c r="Y391" i="28"/>
  <c r="AA390" i="28"/>
  <c r="Z390" i="28"/>
  <c r="Y390" i="28"/>
  <c r="AA389" i="28"/>
  <c r="Z389" i="28"/>
  <c r="Y389" i="28"/>
  <c r="AA388" i="28"/>
  <c r="Z388" i="28"/>
  <c r="Y388" i="28"/>
  <c r="AA387" i="28"/>
  <c r="Z387" i="28"/>
  <c r="Y387" i="28"/>
  <c r="AA386" i="28"/>
  <c r="Z386" i="28"/>
  <c r="Y386" i="28"/>
  <c r="AA385" i="28"/>
  <c r="Z385" i="28"/>
  <c r="Y385" i="28"/>
  <c r="AA384" i="28"/>
  <c r="Z384" i="28"/>
  <c r="Y384" i="28"/>
  <c r="AA383" i="28"/>
  <c r="Z383" i="28"/>
  <c r="Y383" i="28"/>
  <c r="AA382" i="28"/>
  <c r="Z382" i="28"/>
  <c r="Y382" i="28"/>
  <c r="AA381" i="28"/>
  <c r="Z381" i="28"/>
  <c r="Y381" i="28"/>
  <c r="AA380" i="28"/>
  <c r="Z380" i="28"/>
  <c r="Y380" i="28"/>
  <c r="AA379" i="28"/>
  <c r="Z379" i="28"/>
  <c r="Y379" i="28"/>
  <c r="AA378" i="28"/>
  <c r="Z378" i="28"/>
  <c r="Y378" i="28"/>
  <c r="AA377" i="28"/>
  <c r="Z377" i="28"/>
  <c r="Y377" i="28"/>
  <c r="AA376" i="28"/>
  <c r="Z376" i="28"/>
  <c r="Y376" i="28"/>
  <c r="AA375" i="28"/>
  <c r="Z375" i="28"/>
  <c r="Y375" i="28"/>
  <c r="AA374" i="28"/>
  <c r="Z374" i="28"/>
  <c r="Y374" i="28"/>
  <c r="AA373" i="28"/>
  <c r="Z373" i="28"/>
  <c r="Y373" i="28"/>
  <c r="AA372" i="28"/>
  <c r="Z372" i="28"/>
  <c r="Y372" i="28"/>
  <c r="AA371" i="28"/>
  <c r="Z371" i="28"/>
  <c r="Y371" i="28"/>
  <c r="AA370" i="28"/>
  <c r="Z370" i="28"/>
  <c r="Y370" i="28"/>
  <c r="AA369" i="28"/>
  <c r="Z369" i="28"/>
  <c r="Y369" i="28"/>
  <c r="AA368" i="28"/>
  <c r="Z368" i="28"/>
  <c r="Y368" i="28"/>
  <c r="AA367" i="28"/>
  <c r="Z367" i="28"/>
  <c r="Y367" i="28"/>
  <c r="AA366" i="28"/>
  <c r="Z366" i="28"/>
  <c r="Y366" i="28"/>
  <c r="AA365" i="28"/>
  <c r="Z365" i="28"/>
  <c r="Y365" i="28"/>
  <c r="AA364" i="28"/>
  <c r="Z364" i="28"/>
  <c r="Y364" i="28"/>
  <c r="AA363" i="28"/>
  <c r="Z363" i="28"/>
  <c r="Y363" i="28"/>
  <c r="AA362" i="28"/>
  <c r="Z362" i="28"/>
  <c r="Y362" i="28"/>
  <c r="AA361" i="28"/>
  <c r="Z361" i="28"/>
  <c r="Y361" i="28"/>
  <c r="AA359" i="28"/>
  <c r="Z359" i="28"/>
  <c r="Y359" i="28"/>
  <c r="AA358" i="28"/>
  <c r="Z358" i="28"/>
  <c r="Y358" i="28"/>
  <c r="AA357" i="28"/>
  <c r="Z357" i="28"/>
  <c r="Y357" i="28"/>
  <c r="AA356" i="28"/>
  <c r="Z356" i="28"/>
  <c r="Y356" i="28"/>
  <c r="AA355" i="28"/>
  <c r="Z355" i="28"/>
  <c r="Y355" i="28"/>
  <c r="AA354" i="28"/>
  <c r="Z354" i="28"/>
  <c r="Y354" i="28"/>
  <c r="AA353" i="28"/>
  <c r="Z353" i="28"/>
  <c r="Y353" i="28"/>
  <c r="AA352" i="28"/>
  <c r="Z352" i="28"/>
  <c r="Y352" i="28"/>
  <c r="AA351" i="28"/>
  <c r="Z351" i="28"/>
  <c r="Y351" i="28"/>
  <c r="AA350" i="28"/>
  <c r="Z350" i="28"/>
  <c r="Y350" i="28"/>
  <c r="AA349" i="28"/>
  <c r="Z349" i="28"/>
  <c r="Y349" i="28"/>
  <c r="AA348" i="28"/>
  <c r="Z348" i="28"/>
  <c r="Y348" i="28"/>
  <c r="AA347" i="28"/>
  <c r="Z347" i="28"/>
  <c r="Y347" i="28"/>
  <c r="AA346" i="28"/>
  <c r="Z346" i="28"/>
  <c r="Y346" i="28"/>
  <c r="AA345" i="28"/>
  <c r="Z345" i="28"/>
  <c r="Y345" i="28"/>
  <c r="AA344" i="28"/>
  <c r="Z344" i="28"/>
  <c r="Y344" i="28"/>
  <c r="AA343" i="28"/>
  <c r="Z343" i="28"/>
  <c r="Y343" i="28"/>
  <c r="AA342" i="28"/>
  <c r="Z342" i="28"/>
  <c r="Y342" i="28"/>
  <c r="AA341" i="28"/>
  <c r="Z341" i="28"/>
  <c r="Y341" i="28"/>
  <c r="AA340" i="28"/>
  <c r="Z340" i="28"/>
  <c r="Y340" i="28"/>
  <c r="AA339" i="28"/>
  <c r="Z339" i="28"/>
  <c r="Y339" i="28"/>
  <c r="AA338" i="28"/>
  <c r="Z338" i="28"/>
  <c r="Y338" i="28"/>
  <c r="AA337" i="28"/>
  <c r="Z337" i="28"/>
  <c r="Y337" i="28"/>
  <c r="AA336" i="28"/>
  <c r="Z336" i="28"/>
  <c r="Y336" i="28"/>
  <c r="AA335" i="28"/>
  <c r="Z335" i="28"/>
  <c r="Y335" i="28"/>
  <c r="AA334" i="28"/>
  <c r="Z334" i="28"/>
  <c r="Y334" i="28"/>
  <c r="AA333" i="28"/>
  <c r="Z333" i="28"/>
  <c r="Y333" i="28"/>
  <c r="AA332" i="28"/>
  <c r="Z332" i="28"/>
  <c r="Y332" i="28"/>
  <c r="AA331" i="28"/>
  <c r="Z331" i="28"/>
  <c r="Y331" i="28"/>
  <c r="AA330" i="28"/>
  <c r="Z330" i="28"/>
  <c r="Y330" i="28"/>
  <c r="AA329" i="28"/>
  <c r="Z329" i="28"/>
  <c r="Y329" i="28"/>
  <c r="AA328" i="28"/>
  <c r="Z328" i="28"/>
  <c r="Y328" i="28"/>
  <c r="AA327" i="28"/>
  <c r="Z327" i="28"/>
  <c r="Y327" i="28"/>
  <c r="AA326" i="28"/>
  <c r="Z326" i="28"/>
  <c r="Y326" i="28"/>
  <c r="AA325" i="28"/>
  <c r="Z325" i="28"/>
  <c r="Y325" i="28"/>
  <c r="AA324" i="28"/>
  <c r="Z324" i="28"/>
  <c r="Y324" i="28"/>
  <c r="AA323" i="28"/>
  <c r="Z323" i="28"/>
  <c r="Y323" i="28"/>
  <c r="AA322" i="28"/>
  <c r="Z322" i="28"/>
  <c r="Y322" i="28"/>
  <c r="AA321" i="28"/>
  <c r="Z321" i="28"/>
  <c r="Y321" i="28"/>
  <c r="AA320" i="28"/>
  <c r="Z320" i="28"/>
  <c r="Y320" i="28"/>
  <c r="AA319" i="28"/>
  <c r="Z319" i="28"/>
  <c r="Y319" i="28"/>
  <c r="AA318" i="28"/>
  <c r="Z318" i="28"/>
  <c r="Y318" i="28"/>
  <c r="AA317" i="28"/>
  <c r="Z317" i="28"/>
  <c r="Y317" i="28"/>
  <c r="AA316" i="28"/>
  <c r="Z316" i="28"/>
  <c r="Y316" i="28"/>
  <c r="AA315" i="28"/>
  <c r="Z315" i="28"/>
  <c r="Y315" i="28"/>
  <c r="AA314" i="28"/>
  <c r="Z314" i="28"/>
  <c r="Y314" i="28"/>
  <c r="AA313" i="28"/>
  <c r="Z313" i="28"/>
  <c r="Y313" i="28"/>
  <c r="AA312" i="28"/>
  <c r="Z312" i="28"/>
  <c r="Y312" i="28"/>
  <c r="AA311" i="28"/>
  <c r="Z311" i="28"/>
  <c r="Y311" i="28"/>
  <c r="AA310" i="28"/>
  <c r="Z310" i="28"/>
  <c r="Y310" i="28"/>
  <c r="AA309" i="28"/>
  <c r="Z309" i="28"/>
  <c r="Y309" i="28"/>
  <c r="AA308" i="28"/>
  <c r="Z308" i="28"/>
  <c r="Y308" i="28"/>
  <c r="AA307" i="28"/>
  <c r="Z307" i="28"/>
  <c r="Y307" i="28"/>
  <c r="AA306" i="28"/>
  <c r="Z306" i="28"/>
  <c r="Y306" i="28"/>
  <c r="AA305" i="28"/>
  <c r="Z305" i="28"/>
  <c r="Y305" i="28"/>
  <c r="AA304" i="28"/>
  <c r="Z304" i="28"/>
  <c r="Y304" i="28"/>
  <c r="AA303" i="28"/>
  <c r="Z303" i="28"/>
  <c r="Y303" i="28"/>
  <c r="AA302" i="28"/>
  <c r="Z302" i="28"/>
  <c r="Y302" i="28"/>
  <c r="AA301" i="28"/>
  <c r="Z301" i="28"/>
  <c r="Y301" i="28"/>
  <c r="AA300" i="28"/>
  <c r="Z300" i="28"/>
  <c r="Y300" i="28"/>
  <c r="AA299" i="28"/>
  <c r="Z299" i="28"/>
  <c r="Y299" i="28"/>
  <c r="AA298" i="28"/>
  <c r="Z298" i="28"/>
  <c r="Y298" i="28"/>
  <c r="AA297" i="28"/>
  <c r="Z297" i="28"/>
  <c r="Y297" i="28"/>
  <c r="AA296" i="28"/>
  <c r="Z296" i="28"/>
  <c r="Y296" i="28"/>
  <c r="AA295" i="28"/>
  <c r="Z295" i="28"/>
  <c r="Y295" i="28"/>
  <c r="AA294" i="28"/>
  <c r="Z294" i="28"/>
  <c r="Y294" i="28"/>
  <c r="AA293" i="28"/>
  <c r="Z293" i="28"/>
  <c r="Y293" i="28"/>
  <c r="AA292" i="28"/>
  <c r="Z292" i="28"/>
  <c r="Y292" i="28"/>
  <c r="AA291" i="28"/>
  <c r="Z291" i="28"/>
  <c r="Y291" i="28"/>
  <c r="AA290" i="28"/>
  <c r="Z290" i="28"/>
  <c r="Y290" i="28"/>
  <c r="AA289" i="28"/>
  <c r="Z289" i="28"/>
  <c r="Y289" i="28"/>
  <c r="AA288" i="28"/>
  <c r="Z288" i="28"/>
  <c r="Y288" i="28"/>
  <c r="AA287" i="28"/>
  <c r="Z287" i="28"/>
  <c r="Y287" i="28"/>
  <c r="AA286" i="28"/>
  <c r="Z286" i="28"/>
  <c r="Y286" i="28"/>
  <c r="AA285" i="28"/>
  <c r="Z285" i="28"/>
  <c r="Y285" i="28"/>
  <c r="AA284" i="28"/>
  <c r="Z284" i="28"/>
  <c r="Y284" i="28"/>
  <c r="AA283" i="28"/>
  <c r="Z283" i="28"/>
  <c r="Y283" i="28"/>
  <c r="AA282" i="28"/>
  <c r="Z282" i="28"/>
  <c r="Y282" i="28"/>
  <c r="AA281" i="28"/>
  <c r="Z281" i="28"/>
  <c r="Y281" i="28"/>
  <c r="AA280" i="28"/>
  <c r="Z280" i="28"/>
  <c r="Y280" i="28"/>
  <c r="AA279" i="28"/>
  <c r="Z279" i="28"/>
  <c r="Y279" i="28"/>
  <c r="AA278" i="28"/>
  <c r="Z278" i="28"/>
  <c r="Y278" i="28"/>
  <c r="AA277" i="28"/>
  <c r="Z277" i="28"/>
  <c r="Y277" i="28"/>
  <c r="AA276" i="28"/>
  <c r="Z276" i="28"/>
  <c r="Y276" i="28"/>
  <c r="AA275" i="28"/>
  <c r="Z275" i="28"/>
  <c r="Y275" i="28"/>
  <c r="AA274" i="28"/>
  <c r="Z274" i="28"/>
  <c r="Y274" i="28"/>
  <c r="AA273" i="28"/>
  <c r="Z273" i="28"/>
  <c r="Y273" i="28"/>
  <c r="AA272" i="28"/>
  <c r="Z272" i="28"/>
  <c r="Y272" i="28"/>
  <c r="AA271" i="28"/>
  <c r="Z271" i="28"/>
  <c r="Y271" i="28"/>
  <c r="AA270" i="28"/>
  <c r="Z270" i="28"/>
  <c r="Y270" i="28"/>
  <c r="AA269" i="28"/>
  <c r="Z269" i="28"/>
  <c r="Y269" i="28"/>
  <c r="AA268" i="28"/>
  <c r="Z268" i="28"/>
  <c r="Y268" i="28"/>
  <c r="AA267" i="28"/>
  <c r="Z267" i="28"/>
  <c r="Y267" i="28"/>
  <c r="AA266" i="28"/>
  <c r="Z266" i="28"/>
  <c r="Y266" i="28"/>
  <c r="AA265" i="28"/>
  <c r="Z265" i="28"/>
  <c r="Y265" i="28"/>
  <c r="AA264" i="28"/>
  <c r="Z264" i="28"/>
  <c r="Y264" i="28"/>
  <c r="AA263" i="28"/>
  <c r="Z263" i="28"/>
  <c r="Y263" i="28"/>
  <c r="AA262" i="28"/>
  <c r="Z262" i="28"/>
  <c r="Y262" i="28"/>
  <c r="AA261" i="28"/>
  <c r="Z261" i="28"/>
  <c r="Y261" i="28"/>
  <c r="AA260" i="28"/>
  <c r="Z260" i="28"/>
  <c r="Y260" i="28"/>
  <c r="AA259" i="28"/>
  <c r="Z259" i="28"/>
  <c r="Y259" i="28"/>
  <c r="AA258" i="28"/>
  <c r="Z258" i="28"/>
  <c r="Y258" i="28"/>
  <c r="AA257" i="28"/>
  <c r="Z257" i="28"/>
  <c r="Y257" i="28"/>
  <c r="AA256" i="28"/>
  <c r="Z256" i="28"/>
  <c r="Y256" i="28"/>
  <c r="AA255" i="28"/>
  <c r="Z255" i="28"/>
  <c r="Y255" i="28"/>
  <c r="AA254" i="28"/>
  <c r="Z254" i="28"/>
  <c r="Y254" i="28"/>
  <c r="AA253" i="28"/>
  <c r="Z253" i="28"/>
  <c r="Y253" i="28"/>
  <c r="AA252" i="28"/>
  <c r="Z252" i="28"/>
  <c r="Y252" i="28"/>
  <c r="AA251" i="28"/>
  <c r="Z251" i="28"/>
  <c r="Y251" i="28"/>
  <c r="AA250" i="28"/>
  <c r="Z250" i="28"/>
  <c r="Y250" i="28"/>
  <c r="AA249" i="28"/>
  <c r="Z249" i="28"/>
  <c r="Y249" i="28"/>
  <c r="AA248" i="28"/>
  <c r="Z248" i="28"/>
  <c r="Y248" i="28"/>
  <c r="AA247" i="28"/>
  <c r="Z247" i="28"/>
  <c r="Y247" i="28"/>
  <c r="AA246" i="28"/>
  <c r="Z246" i="28"/>
  <c r="Y246" i="28"/>
  <c r="AA245" i="28"/>
  <c r="Z245" i="28"/>
  <c r="Y245" i="28"/>
  <c r="AA244" i="28"/>
  <c r="Z244" i="28"/>
  <c r="Y244" i="28"/>
  <c r="AA243" i="28"/>
  <c r="Z243" i="28"/>
  <c r="Y243" i="28"/>
  <c r="AA242" i="28"/>
  <c r="Z242" i="28"/>
  <c r="Y242" i="28"/>
  <c r="AA241" i="28"/>
  <c r="Z241" i="28"/>
  <c r="Y241" i="28"/>
  <c r="AA240" i="28"/>
  <c r="Z240" i="28"/>
  <c r="Y240" i="28"/>
  <c r="AA239" i="28"/>
  <c r="Z239" i="28"/>
  <c r="Y239" i="28"/>
  <c r="AA238" i="28"/>
  <c r="Z238" i="28"/>
  <c r="Y238" i="28"/>
  <c r="AA237" i="28"/>
  <c r="Z237" i="28"/>
  <c r="Y237" i="28"/>
  <c r="AA236" i="28"/>
  <c r="Z236" i="28"/>
  <c r="Y236" i="28"/>
  <c r="AA235" i="28"/>
  <c r="Z235" i="28"/>
  <c r="Y235" i="28"/>
  <c r="AA234" i="28"/>
  <c r="Z234" i="28"/>
  <c r="Y234" i="28"/>
  <c r="AA233" i="28"/>
  <c r="Z233" i="28"/>
  <c r="Y233" i="28"/>
  <c r="AA232" i="28"/>
  <c r="Z232" i="28"/>
  <c r="Y232" i="28"/>
  <c r="AA231" i="28"/>
  <c r="Z231" i="28"/>
  <c r="Y231" i="28"/>
  <c r="AA230" i="28"/>
  <c r="Z230" i="28"/>
  <c r="Y230" i="28"/>
  <c r="AA229" i="28"/>
  <c r="Z229" i="28"/>
  <c r="Y229" i="28"/>
  <c r="AA228" i="28"/>
  <c r="Z228" i="28"/>
  <c r="Y228" i="28"/>
  <c r="AA227" i="28"/>
  <c r="Z227" i="28"/>
  <c r="Y227" i="28"/>
  <c r="AA226" i="28"/>
  <c r="Z226" i="28"/>
  <c r="Y226" i="28"/>
  <c r="AA225" i="28"/>
  <c r="Z225" i="28"/>
  <c r="Y225" i="28"/>
  <c r="AA224" i="28"/>
  <c r="Z224" i="28"/>
  <c r="Y224" i="28"/>
  <c r="AA223" i="28"/>
  <c r="Z223" i="28"/>
  <c r="Y223" i="28"/>
  <c r="AA222" i="28"/>
  <c r="Z222" i="28"/>
  <c r="Y222" i="28"/>
  <c r="AA221" i="28"/>
  <c r="Z221" i="28"/>
  <c r="Y221" i="28"/>
  <c r="AA220" i="28"/>
  <c r="Z220" i="28"/>
  <c r="Y220" i="28"/>
  <c r="AA219" i="28"/>
  <c r="Z219" i="28"/>
  <c r="Y219" i="28"/>
  <c r="AA218" i="28"/>
  <c r="Z218" i="28"/>
  <c r="Y218" i="28"/>
  <c r="AA217" i="28"/>
  <c r="Z217" i="28"/>
  <c r="Y217" i="28"/>
  <c r="AA216" i="28"/>
  <c r="Z216" i="28"/>
  <c r="Y216" i="28"/>
  <c r="AA215" i="28"/>
  <c r="Z215" i="28"/>
  <c r="Y215" i="28"/>
  <c r="AA214" i="28"/>
  <c r="Z214" i="28"/>
  <c r="Y214" i="28"/>
  <c r="AA213" i="28"/>
  <c r="Z213" i="28"/>
  <c r="Y213" i="28"/>
  <c r="AA212" i="28"/>
  <c r="Z212" i="28"/>
  <c r="Y212" i="28"/>
  <c r="AA211" i="28"/>
  <c r="Z211" i="28"/>
  <c r="Y211" i="28"/>
  <c r="AA210" i="28"/>
  <c r="Z210" i="28"/>
  <c r="Y210" i="28"/>
  <c r="AA209" i="28"/>
  <c r="Z209" i="28"/>
  <c r="Y209" i="28"/>
  <c r="AA208" i="28"/>
  <c r="Z208" i="28"/>
  <c r="Y208" i="28"/>
  <c r="AA207" i="28"/>
  <c r="Z207" i="28"/>
  <c r="Y207" i="28"/>
  <c r="AA206" i="28"/>
  <c r="Z206" i="28"/>
  <c r="Y206" i="28"/>
  <c r="AA205" i="28"/>
  <c r="Z205" i="28"/>
  <c r="Y205" i="28"/>
  <c r="AA204" i="28"/>
  <c r="Z204" i="28"/>
  <c r="Y204" i="28"/>
  <c r="AA203" i="28"/>
  <c r="Z203" i="28"/>
  <c r="Y203" i="28"/>
  <c r="AA202" i="28"/>
  <c r="Z202" i="28"/>
  <c r="Y202" i="28"/>
  <c r="AA201" i="28"/>
  <c r="Z201" i="28"/>
  <c r="Y201" i="28"/>
  <c r="AA200" i="28"/>
  <c r="Z200" i="28"/>
  <c r="Y200" i="28"/>
  <c r="AA199" i="28"/>
  <c r="Z199" i="28"/>
  <c r="Y199" i="28"/>
  <c r="AA198" i="28"/>
  <c r="Z198" i="28"/>
  <c r="Y198" i="28"/>
  <c r="AA197" i="28"/>
  <c r="Z197" i="28"/>
  <c r="Y197" i="28"/>
  <c r="AA196" i="28"/>
  <c r="Z196" i="28"/>
  <c r="Y196" i="28"/>
  <c r="AA195" i="28"/>
  <c r="Z195" i="28"/>
  <c r="Y195" i="28"/>
  <c r="AA194" i="28"/>
  <c r="Z194" i="28"/>
  <c r="Y194" i="28"/>
  <c r="AA193" i="28"/>
  <c r="Z193" i="28"/>
  <c r="Y193" i="28"/>
  <c r="AA192" i="28"/>
  <c r="Z192" i="28"/>
  <c r="Y192" i="28"/>
  <c r="AA191" i="28"/>
  <c r="Z191" i="28"/>
  <c r="Y191" i="28"/>
  <c r="AA190" i="28"/>
  <c r="Z190" i="28"/>
  <c r="Y190" i="28"/>
  <c r="AA189" i="28"/>
  <c r="Z189" i="28"/>
  <c r="Y189" i="28"/>
  <c r="AA188" i="28"/>
  <c r="Z188" i="28"/>
  <c r="Y188" i="28"/>
  <c r="AA187" i="28"/>
  <c r="Z187" i="28"/>
  <c r="Y187" i="28"/>
  <c r="AA186" i="28"/>
  <c r="Z186" i="28"/>
  <c r="Y186" i="28"/>
  <c r="AA185" i="28"/>
  <c r="Z185" i="28"/>
  <c r="Y185" i="28"/>
  <c r="AA184" i="28"/>
  <c r="Z184" i="28"/>
  <c r="Y184" i="28"/>
  <c r="AA183" i="28"/>
  <c r="Z183" i="28"/>
  <c r="Y183" i="28"/>
  <c r="AA182" i="28"/>
  <c r="Z182" i="28"/>
  <c r="Y182" i="28"/>
  <c r="AA181" i="28"/>
  <c r="Z181" i="28"/>
  <c r="Y181" i="28"/>
  <c r="AA180" i="28"/>
  <c r="Z180" i="28"/>
  <c r="Y180" i="28"/>
  <c r="AA179" i="28"/>
  <c r="Z179" i="28"/>
  <c r="Y179" i="28"/>
  <c r="AA178" i="28"/>
  <c r="Z178" i="28"/>
  <c r="Y178" i="28"/>
  <c r="AA177" i="28"/>
  <c r="Z177" i="28"/>
  <c r="Y177" i="28"/>
  <c r="AA176" i="28"/>
  <c r="Z176" i="28"/>
  <c r="Y176" i="28"/>
  <c r="AA175" i="28"/>
  <c r="Z175" i="28"/>
  <c r="Y175" i="28"/>
  <c r="AA174" i="28"/>
  <c r="Z174" i="28"/>
  <c r="Y174" i="28"/>
  <c r="AA173" i="28"/>
  <c r="Z173" i="28"/>
  <c r="Y173" i="28"/>
  <c r="AA172" i="28"/>
  <c r="Z172" i="28"/>
  <c r="Y172" i="28"/>
  <c r="AA171" i="28"/>
  <c r="Z171" i="28"/>
  <c r="Y171" i="28"/>
  <c r="AA170" i="28"/>
  <c r="Z170" i="28"/>
  <c r="Y170" i="28"/>
  <c r="AA169" i="28"/>
  <c r="Z169" i="28"/>
  <c r="Y169" i="28"/>
  <c r="AA168" i="28"/>
  <c r="Z168" i="28"/>
  <c r="Y168" i="28"/>
  <c r="AA167" i="28"/>
  <c r="Z167" i="28"/>
  <c r="Y167" i="28"/>
  <c r="AA166" i="28"/>
  <c r="Z166" i="28"/>
  <c r="Y166" i="28"/>
  <c r="AA165" i="28"/>
  <c r="Z165" i="28"/>
  <c r="Y165" i="28"/>
  <c r="AA164" i="28"/>
  <c r="Z164" i="28"/>
  <c r="Y164" i="28"/>
  <c r="AA163" i="28"/>
  <c r="Z163" i="28"/>
  <c r="Y163" i="28"/>
  <c r="AA162" i="28"/>
  <c r="Z162" i="28"/>
  <c r="Y162" i="28"/>
  <c r="AA161" i="28"/>
  <c r="Z161" i="28"/>
  <c r="Y161" i="28"/>
  <c r="AA160" i="28"/>
  <c r="Z160" i="28"/>
  <c r="Y160" i="28"/>
  <c r="AA159" i="28"/>
  <c r="Z159" i="28"/>
  <c r="Y159" i="28"/>
  <c r="AA158" i="28"/>
  <c r="Z158" i="28"/>
  <c r="Y158" i="28"/>
  <c r="AA157" i="28"/>
  <c r="Z157" i="28"/>
  <c r="Y157" i="28"/>
  <c r="AA156" i="28"/>
  <c r="Z156" i="28"/>
  <c r="Y156" i="28"/>
  <c r="AA155" i="28"/>
  <c r="Z155" i="28"/>
  <c r="Y155" i="28"/>
  <c r="AA154" i="28"/>
  <c r="Z154" i="28"/>
  <c r="Y154" i="28"/>
  <c r="AA153" i="28"/>
  <c r="Z153" i="28"/>
  <c r="Y153" i="28"/>
  <c r="AA152" i="28"/>
  <c r="Z152" i="28"/>
  <c r="Y152" i="28"/>
  <c r="AA151" i="28"/>
  <c r="Z151" i="28"/>
  <c r="Y151" i="28"/>
  <c r="AA150" i="28"/>
  <c r="Z150" i="28"/>
  <c r="Y150" i="28"/>
  <c r="AA149" i="28"/>
  <c r="Z149" i="28"/>
  <c r="Y149" i="28"/>
  <c r="AA148" i="28"/>
  <c r="Z148" i="28"/>
  <c r="Y148" i="28"/>
  <c r="AA147" i="28"/>
  <c r="Z147" i="28"/>
  <c r="Y147" i="28"/>
  <c r="AA146" i="28"/>
  <c r="Z146" i="28"/>
  <c r="Y146" i="28"/>
  <c r="AA145" i="28"/>
  <c r="Z145" i="28"/>
  <c r="Y145" i="28"/>
  <c r="AA144" i="28"/>
  <c r="Z144" i="28"/>
  <c r="Y144" i="28"/>
  <c r="AA143" i="28"/>
  <c r="Z143" i="28"/>
  <c r="Y143" i="28"/>
  <c r="AA142" i="28"/>
  <c r="Z142" i="28"/>
  <c r="Y142" i="28"/>
  <c r="AA141" i="28"/>
  <c r="Z141" i="28"/>
  <c r="Y141" i="28"/>
  <c r="AA140" i="28"/>
  <c r="Z140" i="28"/>
  <c r="Y140" i="28"/>
  <c r="AA139" i="28"/>
  <c r="Z139" i="28"/>
  <c r="Y139" i="28"/>
  <c r="AA138" i="28"/>
  <c r="Z138" i="28"/>
  <c r="Y138" i="28"/>
  <c r="AA137" i="28"/>
  <c r="Z137" i="28"/>
  <c r="Y137" i="28"/>
  <c r="AA136" i="28"/>
  <c r="Z136" i="28"/>
  <c r="Y136" i="28"/>
  <c r="AA135" i="28"/>
  <c r="Z135" i="28"/>
  <c r="Y135" i="28"/>
  <c r="AA134" i="28"/>
  <c r="Z134" i="28"/>
  <c r="Y134" i="28"/>
  <c r="AA133" i="28"/>
  <c r="Z133" i="28"/>
  <c r="Y133" i="28"/>
  <c r="AA132" i="28"/>
  <c r="Z132" i="28"/>
  <c r="Y132" i="28"/>
  <c r="AA131" i="28"/>
  <c r="Z131" i="28"/>
  <c r="Y131" i="28"/>
  <c r="AA130" i="28"/>
  <c r="Z130" i="28"/>
  <c r="Y130" i="28"/>
  <c r="AA129" i="28"/>
  <c r="Z129" i="28"/>
  <c r="Y129" i="28"/>
  <c r="AA128" i="28"/>
  <c r="Z128" i="28"/>
  <c r="Y128" i="28"/>
  <c r="AA127" i="28"/>
  <c r="Z127" i="28"/>
  <c r="Y127" i="28"/>
  <c r="AA126" i="28"/>
  <c r="Z126" i="28"/>
  <c r="Y126" i="28"/>
  <c r="AA125" i="28"/>
  <c r="Z125" i="28"/>
  <c r="Y125" i="28"/>
  <c r="AA124" i="28"/>
  <c r="Z124" i="28"/>
  <c r="Y124" i="28"/>
  <c r="AA123" i="28"/>
  <c r="Z123" i="28"/>
  <c r="Y123" i="28"/>
  <c r="AA122" i="28"/>
  <c r="Z122" i="28"/>
  <c r="Y122" i="28"/>
  <c r="AA121" i="28"/>
  <c r="Z121" i="28"/>
  <c r="Y121" i="28"/>
  <c r="AA120" i="28"/>
  <c r="Z120" i="28"/>
  <c r="Y120" i="28"/>
  <c r="AA119" i="28"/>
  <c r="Z119" i="28"/>
  <c r="Y119" i="28"/>
  <c r="AA118" i="28"/>
  <c r="Z118" i="28"/>
  <c r="Y118" i="28"/>
  <c r="AA117" i="28"/>
  <c r="Z117" i="28"/>
  <c r="Y117" i="28"/>
  <c r="AA116" i="28"/>
  <c r="Z116" i="28"/>
  <c r="Y116" i="28"/>
  <c r="AA115" i="28"/>
  <c r="Z115" i="28"/>
  <c r="Y115" i="28"/>
  <c r="AA114" i="28"/>
  <c r="Z114" i="28"/>
  <c r="Y114" i="28"/>
  <c r="AA113" i="28"/>
  <c r="Z113" i="28"/>
  <c r="Y113" i="28"/>
  <c r="AA63" i="28"/>
  <c r="Z63" i="28"/>
  <c r="Y63" i="28"/>
  <c r="AA47" i="28"/>
  <c r="Z47" i="28"/>
  <c r="Y47" i="28"/>
  <c r="AA102" i="28"/>
  <c r="Z102" i="28"/>
  <c r="Y102" i="28"/>
  <c r="AA101" i="28"/>
  <c r="Z101" i="28"/>
  <c r="Y101" i="28"/>
  <c r="AA31" i="28"/>
  <c r="Z31" i="28"/>
  <c r="Y31" i="28"/>
  <c r="AA96" i="28"/>
  <c r="Z96" i="28"/>
  <c r="Y96" i="28"/>
  <c r="AA62" i="28"/>
  <c r="Z62" i="28"/>
  <c r="Y62" i="28"/>
  <c r="AA100" i="28"/>
  <c r="Z100" i="28"/>
  <c r="Y100" i="28"/>
  <c r="AA81" i="28"/>
  <c r="Z81" i="28"/>
  <c r="Y81" i="28"/>
  <c r="AA46" i="28"/>
  <c r="Z46" i="28"/>
  <c r="Y46" i="28"/>
  <c r="AA30" i="28"/>
  <c r="Z30" i="28"/>
  <c r="Y30" i="28"/>
  <c r="AA61" i="28"/>
  <c r="Z61" i="28"/>
  <c r="Y61" i="28"/>
  <c r="AA6" i="28"/>
  <c r="Z6" i="28"/>
  <c r="Y6" i="28"/>
  <c r="AA29" i="28"/>
  <c r="Z29" i="28"/>
  <c r="Y29" i="28"/>
  <c r="AA45" i="28"/>
  <c r="Z45" i="28"/>
  <c r="Y45" i="28"/>
  <c r="AA105" i="28"/>
  <c r="Z105" i="28"/>
  <c r="Y105" i="28"/>
  <c r="AA10" i="28"/>
  <c r="Z10" i="28"/>
  <c r="Y10" i="28"/>
  <c r="AA104" i="28"/>
  <c r="Z104" i="28"/>
  <c r="Y104" i="28"/>
  <c r="AA8" i="28"/>
  <c r="Z8" i="28"/>
  <c r="Y8" i="28"/>
  <c r="AA60" i="28"/>
  <c r="Z60" i="28"/>
  <c r="Y60" i="28"/>
  <c r="AA12" i="28"/>
  <c r="Z12" i="28"/>
  <c r="Y12" i="28"/>
  <c r="AA28" i="28"/>
  <c r="Z28" i="28"/>
  <c r="Y28" i="28"/>
  <c r="AA87" i="28"/>
  <c r="Z87" i="28"/>
  <c r="Y87" i="28"/>
  <c r="AA59" i="28"/>
  <c r="Z59" i="28"/>
  <c r="Y59" i="28"/>
  <c r="AA103" i="28"/>
  <c r="Z103" i="28"/>
  <c r="Y103" i="28"/>
  <c r="AA94" i="28"/>
  <c r="Z94" i="28"/>
  <c r="Y94" i="28"/>
  <c r="AA91" i="28"/>
  <c r="Z91" i="28"/>
  <c r="Y91" i="28"/>
  <c r="AA89" i="28"/>
  <c r="Z89" i="28"/>
  <c r="Y89" i="28"/>
  <c r="AA93" i="28"/>
  <c r="Z93" i="28"/>
  <c r="Y93" i="28"/>
  <c r="AA44" i="28"/>
  <c r="Z44" i="28"/>
  <c r="Y44" i="28"/>
  <c r="AA90" i="28"/>
  <c r="Z90" i="28"/>
  <c r="Y90" i="28"/>
  <c r="AA27" i="28"/>
  <c r="Z27" i="28"/>
  <c r="Y27" i="28"/>
  <c r="AA88" i="28"/>
  <c r="Z88" i="28"/>
  <c r="Y88" i="28"/>
  <c r="AA71" i="28"/>
  <c r="Z71" i="28"/>
  <c r="Y71" i="28"/>
  <c r="AA92" i="28"/>
  <c r="Z92" i="28"/>
  <c r="Y92" i="28"/>
  <c r="AA43" i="28"/>
  <c r="Z43" i="28"/>
  <c r="Y43" i="28"/>
  <c r="AA68" i="28"/>
  <c r="Z68" i="28"/>
  <c r="Y68" i="28"/>
  <c r="AA67" i="28"/>
  <c r="Z67" i="28"/>
  <c r="Y67" i="28"/>
  <c r="AA26" i="28"/>
  <c r="Z26" i="28"/>
  <c r="Y26" i="28"/>
  <c r="AA58" i="28"/>
  <c r="Z58" i="28"/>
  <c r="Y58" i="28"/>
  <c r="AA42" i="28"/>
  <c r="Z42" i="28"/>
  <c r="Y42" i="28"/>
  <c r="AA70" i="28"/>
  <c r="Z70" i="28"/>
  <c r="Y70" i="28"/>
  <c r="AA80" i="28"/>
  <c r="Z80" i="28"/>
  <c r="Y80" i="28"/>
  <c r="AA25" i="28"/>
  <c r="Z25" i="28"/>
  <c r="Y25" i="28"/>
  <c r="AA57" i="28"/>
  <c r="Z57" i="28"/>
  <c r="Y57" i="28"/>
  <c r="AA41" i="28"/>
  <c r="Z41" i="28"/>
  <c r="Y41" i="28"/>
  <c r="AA112" i="28"/>
  <c r="Z112" i="28"/>
  <c r="Y112" i="28"/>
  <c r="AA64" i="28"/>
  <c r="Z64" i="28"/>
  <c r="Y64" i="28"/>
  <c r="AA56" i="28"/>
  <c r="Z56" i="28"/>
  <c r="Y56" i="28"/>
  <c r="AA24" i="28"/>
  <c r="Z24" i="28"/>
  <c r="Y24" i="28"/>
  <c r="AA40" i="28"/>
  <c r="Z40" i="28"/>
  <c r="Y40" i="28"/>
  <c r="AA66" i="28"/>
  <c r="Z66" i="28"/>
  <c r="Y66" i="28"/>
  <c r="AA23" i="28"/>
  <c r="Z23" i="28"/>
  <c r="Y23" i="28"/>
  <c r="AA4" i="28"/>
  <c r="Z4" i="28"/>
  <c r="Y4" i="28"/>
  <c r="AA79" i="28"/>
  <c r="Z79" i="28"/>
  <c r="Y79" i="28"/>
  <c r="AA55" i="28"/>
  <c r="Z55" i="28"/>
  <c r="Y55" i="28"/>
  <c r="AA22" i="28"/>
  <c r="Z22" i="28"/>
  <c r="Y22" i="28"/>
  <c r="AA39" i="28"/>
  <c r="Z39" i="28"/>
  <c r="Y39" i="28"/>
  <c r="AA86" i="28"/>
  <c r="Z86" i="28"/>
  <c r="Y86" i="28"/>
  <c r="AA85" i="28"/>
  <c r="Z85" i="28"/>
  <c r="Y85" i="28"/>
  <c r="AA110" i="28"/>
  <c r="Z110" i="28"/>
  <c r="Y110" i="28"/>
  <c r="AA54" i="28"/>
  <c r="Z54" i="28"/>
  <c r="Y54" i="28"/>
  <c r="AA38" i="28"/>
  <c r="Z38" i="28"/>
  <c r="Y38" i="28"/>
  <c r="AA21" i="28"/>
  <c r="Z21" i="28"/>
  <c r="Y21" i="28"/>
  <c r="AA99" i="28"/>
  <c r="Z99" i="28"/>
  <c r="Y99" i="28"/>
  <c r="AA97" i="28"/>
  <c r="Z97" i="28"/>
  <c r="Y97" i="28"/>
  <c r="AA53" i="28"/>
  <c r="Z53" i="28"/>
  <c r="Y53" i="28"/>
  <c r="AA20" i="28"/>
  <c r="Z20" i="28"/>
  <c r="Y20" i="28"/>
  <c r="AA72" i="28"/>
  <c r="Z72" i="28"/>
  <c r="Y72" i="28"/>
  <c r="AA52" i="28"/>
  <c r="Z52" i="28"/>
  <c r="Y52" i="28"/>
  <c r="AA37" i="28"/>
  <c r="Z37" i="28"/>
  <c r="Y37" i="28"/>
  <c r="AA107" i="28"/>
  <c r="Z107" i="28"/>
  <c r="Y107" i="28"/>
  <c r="AA106" i="28"/>
  <c r="Z106" i="28"/>
  <c r="Y106" i="28"/>
  <c r="AA19" i="28"/>
  <c r="Z19" i="28"/>
  <c r="Y19" i="28"/>
  <c r="AA9" i="28"/>
  <c r="Z9" i="28"/>
  <c r="Y9" i="28"/>
  <c r="AA7" i="28"/>
  <c r="Z7" i="28"/>
  <c r="Y7" i="28"/>
  <c r="AA11" i="28"/>
  <c r="Z11" i="28"/>
  <c r="Y11" i="28"/>
  <c r="AA51" i="28"/>
  <c r="Z51" i="28"/>
  <c r="Y51" i="28"/>
  <c r="AA98" i="28"/>
  <c r="Z98" i="28"/>
  <c r="Y98" i="28"/>
  <c r="AA69" i="28"/>
  <c r="Z69" i="28"/>
  <c r="Y69" i="28"/>
  <c r="AA18" i="28"/>
  <c r="Z18" i="28"/>
  <c r="Y18" i="28"/>
  <c r="AA36" i="28"/>
  <c r="Z36" i="28"/>
  <c r="Y36" i="28"/>
  <c r="AA50" i="28"/>
  <c r="Z50" i="28"/>
  <c r="Y50" i="28"/>
  <c r="AA5" i="28"/>
  <c r="Z5" i="28"/>
  <c r="Y5" i="28"/>
  <c r="AA17" i="28"/>
  <c r="Z17" i="28"/>
  <c r="Y17" i="28"/>
  <c r="AA35" i="28"/>
  <c r="Z35" i="28"/>
  <c r="Y35" i="28"/>
  <c r="AA95" i="28"/>
  <c r="Z95" i="28"/>
  <c r="Y95" i="28"/>
  <c r="AA16" i="28"/>
  <c r="Z16" i="28"/>
  <c r="Y16" i="28"/>
  <c r="AA111" i="28"/>
  <c r="Z111" i="28"/>
  <c r="Y111" i="28"/>
  <c r="AA109" i="28"/>
  <c r="Z109" i="28"/>
  <c r="Y109" i="28"/>
  <c r="AA65" i="28"/>
  <c r="Z65" i="28"/>
  <c r="Y65" i="28"/>
  <c r="AA49" i="28"/>
  <c r="Z49" i="28"/>
  <c r="Y49" i="28"/>
  <c r="AA34" i="28"/>
  <c r="Z34" i="28"/>
  <c r="Y34" i="28"/>
  <c r="AA84" i="28"/>
  <c r="Z84" i="28"/>
  <c r="Y84" i="28"/>
  <c r="AA108" i="28"/>
  <c r="Z108" i="28"/>
  <c r="Y108" i="28"/>
  <c r="AA15" i="28"/>
  <c r="Z15" i="28"/>
  <c r="Y15" i="28"/>
  <c r="AA33" i="28"/>
  <c r="Z33" i="28"/>
  <c r="Y33" i="28"/>
  <c r="AA75" i="28"/>
  <c r="Z75" i="28"/>
  <c r="Y75" i="28"/>
  <c r="AA14" i="28"/>
  <c r="Z14" i="28"/>
  <c r="Y14" i="28"/>
  <c r="AA73" i="28"/>
  <c r="Z73" i="28"/>
  <c r="Y73" i="28"/>
  <c r="AA83" i="28"/>
  <c r="Z83" i="28"/>
  <c r="Y83" i="28"/>
  <c r="AA77" i="28"/>
  <c r="Z77" i="28"/>
  <c r="Y77" i="28"/>
  <c r="AA76" i="28"/>
  <c r="Z76" i="28"/>
  <c r="Y76" i="28"/>
  <c r="AA74" i="28"/>
  <c r="Z74" i="28"/>
  <c r="Y74" i="28"/>
  <c r="AA78" i="28"/>
  <c r="Z78" i="28"/>
  <c r="Y78" i="28"/>
  <c r="AA32" i="28"/>
  <c r="Z32" i="28"/>
  <c r="Y32" i="28"/>
  <c r="AA13" i="28"/>
  <c r="Z13" i="28"/>
  <c r="Y13" i="28"/>
  <c r="AA48" i="28"/>
  <c r="Z48" i="28"/>
  <c r="Y48" i="28"/>
  <c r="AA82" i="28"/>
  <c r="Z82" i="28"/>
  <c r="Y82" i="28"/>
  <c r="R459" i="28"/>
  <c r="Q459" i="28"/>
  <c r="X459" i="27"/>
  <c r="W459" i="27"/>
  <c r="V459" i="27"/>
  <c r="U459" i="27"/>
  <c r="T459" i="27"/>
  <c r="S459" i="27"/>
  <c r="B459" i="27"/>
  <c r="AA458" i="27"/>
  <c r="Z458" i="27"/>
  <c r="Y458" i="27"/>
  <c r="AA457" i="27"/>
  <c r="Z457" i="27"/>
  <c r="Y457" i="27"/>
  <c r="AA456" i="27"/>
  <c r="Z456" i="27"/>
  <c r="Y456" i="27"/>
  <c r="AA455" i="27"/>
  <c r="Z455" i="27"/>
  <c r="Y455" i="27"/>
  <c r="AA454" i="27"/>
  <c r="Z454" i="27"/>
  <c r="Y454" i="27"/>
  <c r="AA453" i="27"/>
  <c r="Z453" i="27"/>
  <c r="Y453" i="27"/>
  <c r="AA452" i="27"/>
  <c r="Z452" i="27"/>
  <c r="Y452" i="27"/>
  <c r="AA451" i="27"/>
  <c r="Z451" i="27"/>
  <c r="Y451" i="27"/>
  <c r="AA450" i="27"/>
  <c r="Z450" i="27"/>
  <c r="Y450" i="27"/>
  <c r="AA449" i="27"/>
  <c r="Z449" i="27"/>
  <c r="Y449" i="27"/>
  <c r="AA448" i="27"/>
  <c r="Z448" i="27"/>
  <c r="Y448" i="27"/>
  <c r="AA447" i="27"/>
  <c r="Z447" i="27"/>
  <c r="Y447" i="27"/>
  <c r="AA446" i="27"/>
  <c r="Z446" i="27"/>
  <c r="Y446" i="27"/>
  <c r="AA445" i="27"/>
  <c r="Z445" i="27"/>
  <c r="Y445" i="27"/>
  <c r="AA444" i="27"/>
  <c r="Z444" i="27"/>
  <c r="Y444" i="27"/>
  <c r="AA443" i="27"/>
  <c r="Z443" i="27"/>
  <c r="Y443" i="27"/>
  <c r="AA442" i="27"/>
  <c r="Z442" i="27"/>
  <c r="Y442" i="27"/>
  <c r="AA441" i="27"/>
  <c r="Z441" i="27"/>
  <c r="Y441" i="27"/>
  <c r="AA440" i="27"/>
  <c r="Z440" i="27"/>
  <c r="Y440" i="27"/>
  <c r="AA439" i="27"/>
  <c r="Z439" i="27"/>
  <c r="Y439" i="27"/>
  <c r="AA438" i="27"/>
  <c r="Z438" i="27"/>
  <c r="Y438" i="27"/>
  <c r="AA437" i="27"/>
  <c r="Z437" i="27"/>
  <c r="Y437" i="27"/>
  <c r="AA436" i="27"/>
  <c r="Z436" i="27"/>
  <c r="Y436" i="27"/>
  <c r="AA435" i="27"/>
  <c r="Z435" i="27"/>
  <c r="Y435" i="27"/>
  <c r="AA434" i="27"/>
  <c r="Z434" i="27"/>
  <c r="Y434" i="27"/>
  <c r="AA433" i="27"/>
  <c r="Z433" i="27"/>
  <c r="Y433" i="27"/>
  <c r="AA432" i="27"/>
  <c r="Z432" i="27"/>
  <c r="Y432" i="27"/>
  <c r="AA431" i="27"/>
  <c r="Z431" i="27"/>
  <c r="Y431" i="27"/>
  <c r="AA430" i="27"/>
  <c r="Z430" i="27"/>
  <c r="Y430" i="27"/>
  <c r="AA429" i="27"/>
  <c r="Z429" i="27"/>
  <c r="Y429" i="27"/>
  <c r="AA428" i="27"/>
  <c r="Z428" i="27"/>
  <c r="Y428" i="27"/>
  <c r="AA427" i="27"/>
  <c r="Z427" i="27"/>
  <c r="Y427" i="27"/>
  <c r="AA426" i="27"/>
  <c r="Z426" i="27"/>
  <c r="Y426" i="27"/>
  <c r="AA425" i="27"/>
  <c r="Z425" i="27"/>
  <c r="Y425" i="27"/>
  <c r="AA424" i="27"/>
  <c r="Z424" i="27"/>
  <c r="Y424" i="27"/>
  <c r="AA423" i="27"/>
  <c r="Z423" i="27"/>
  <c r="Y423" i="27"/>
  <c r="AA422" i="27"/>
  <c r="Z422" i="27"/>
  <c r="Y422" i="27"/>
  <c r="AA421" i="27"/>
  <c r="Z421" i="27"/>
  <c r="Y421" i="27"/>
  <c r="AA419" i="27"/>
  <c r="Z419" i="27"/>
  <c r="Y419" i="27"/>
  <c r="AA418" i="27"/>
  <c r="Z418" i="27"/>
  <c r="Y418" i="27"/>
  <c r="AA417" i="27"/>
  <c r="Z417" i="27"/>
  <c r="Y417" i="27"/>
  <c r="AA416" i="27"/>
  <c r="Z416" i="27"/>
  <c r="Y416" i="27"/>
  <c r="AA415" i="27"/>
  <c r="Z415" i="27"/>
  <c r="Y415" i="27"/>
  <c r="AA414" i="27"/>
  <c r="Z414" i="27"/>
  <c r="Y414" i="27"/>
  <c r="AA413" i="27"/>
  <c r="Z413" i="27"/>
  <c r="Y413" i="27"/>
  <c r="AA412" i="27"/>
  <c r="Z412" i="27"/>
  <c r="Y412" i="27"/>
  <c r="AA411" i="27"/>
  <c r="Z411" i="27"/>
  <c r="Y411" i="27"/>
  <c r="AA410" i="27"/>
  <c r="Z410" i="27"/>
  <c r="Y410" i="27"/>
  <c r="AA409" i="27"/>
  <c r="Z409" i="27"/>
  <c r="Y409" i="27"/>
  <c r="AA408" i="27"/>
  <c r="Z408" i="27"/>
  <c r="Y408" i="27"/>
  <c r="AA407" i="27"/>
  <c r="Z407" i="27"/>
  <c r="Y407" i="27"/>
  <c r="AA406" i="27"/>
  <c r="Z406" i="27"/>
  <c r="Y406" i="27"/>
  <c r="AA405" i="27"/>
  <c r="Z405" i="27"/>
  <c r="Y405" i="27"/>
  <c r="AA404" i="27"/>
  <c r="Z404" i="27"/>
  <c r="Y404" i="27"/>
  <c r="AA403" i="27"/>
  <c r="Z403" i="27"/>
  <c r="Y403" i="27"/>
  <c r="AA402" i="27"/>
  <c r="Z402" i="27"/>
  <c r="Y402" i="27"/>
  <c r="AA401" i="27"/>
  <c r="Z401" i="27"/>
  <c r="Y401" i="27"/>
  <c r="AA400" i="27"/>
  <c r="Z400" i="27"/>
  <c r="Y400" i="27"/>
  <c r="AA399" i="27"/>
  <c r="Z399" i="27"/>
  <c r="Y399" i="27"/>
  <c r="AA398" i="27"/>
  <c r="Z398" i="27"/>
  <c r="Y398" i="27"/>
  <c r="AA397" i="27"/>
  <c r="Z397" i="27"/>
  <c r="Y397" i="27"/>
  <c r="AA396" i="27"/>
  <c r="Z396" i="27"/>
  <c r="Y396" i="27"/>
  <c r="AA395" i="27"/>
  <c r="Z395" i="27"/>
  <c r="Y395" i="27"/>
  <c r="AA394" i="27"/>
  <c r="Z394" i="27"/>
  <c r="Y394" i="27"/>
  <c r="AA393" i="27"/>
  <c r="Z393" i="27"/>
  <c r="Y393" i="27"/>
  <c r="AA392" i="27"/>
  <c r="Z392" i="27"/>
  <c r="Y392" i="27"/>
  <c r="AA391" i="27"/>
  <c r="Z391" i="27"/>
  <c r="Y391" i="27"/>
  <c r="AA390" i="27"/>
  <c r="Z390" i="27"/>
  <c r="Y390" i="27"/>
  <c r="AA389" i="27"/>
  <c r="Z389" i="27"/>
  <c r="Y389" i="27"/>
  <c r="AA388" i="27"/>
  <c r="Z388" i="27"/>
  <c r="Y388" i="27"/>
  <c r="AA387" i="27"/>
  <c r="Z387" i="27"/>
  <c r="Y387" i="27"/>
  <c r="AA386" i="27"/>
  <c r="Z386" i="27"/>
  <c r="Y386" i="27"/>
  <c r="AA385" i="27"/>
  <c r="Z385" i="27"/>
  <c r="Y385" i="27"/>
  <c r="AA384" i="27"/>
  <c r="Z384" i="27"/>
  <c r="Y384" i="27"/>
  <c r="AA383" i="27"/>
  <c r="Z383" i="27"/>
  <c r="Y383" i="27"/>
  <c r="AA382" i="27"/>
  <c r="Z382" i="27"/>
  <c r="Y382" i="27"/>
  <c r="AA381" i="27"/>
  <c r="Z381" i="27"/>
  <c r="Y381" i="27"/>
  <c r="AA380" i="27"/>
  <c r="Z380" i="27"/>
  <c r="Y380" i="27"/>
  <c r="AA379" i="27"/>
  <c r="Z379" i="27"/>
  <c r="Y379" i="27"/>
  <c r="AA378" i="27"/>
  <c r="Z378" i="27"/>
  <c r="Y378" i="27"/>
  <c r="AA377" i="27"/>
  <c r="Z377" i="27"/>
  <c r="Y377" i="27"/>
  <c r="AA376" i="27"/>
  <c r="Z376" i="27"/>
  <c r="Y376" i="27"/>
  <c r="AA375" i="27"/>
  <c r="Z375" i="27"/>
  <c r="Y375" i="27"/>
  <c r="AA374" i="27"/>
  <c r="Z374" i="27"/>
  <c r="Y374" i="27"/>
  <c r="AA373" i="27"/>
  <c r="Z373" i="27"/>
  <c r="Y373" i="27"/>
  <c r="AA372" i="27"/>
  <c r="Z372" i="27"/>
  <c r="Y372" i="27"/>
  <c r="AA371" i="27"/>
  <c r="Z371" i="27"/>
  <c r="Y371" i="27"/>
  <c r="AA370" i="27"/>
  <c r="Z370" i="27"/>
  <c r="Y370" i="27"/>
  <c r="AA369" i="27"/>
  <c r="Z369" i="27"/>
  <c r="Y369" i="27"/>
  <c r="AA368" i="27"/>
  <c r="Z368" i="27"/>
  <c r="Y368" i="27"/>
  <c r="AA367" i="27"/>
  <c r="Z367" i="27"/>
  <c r="Y367" i="27"/>
  <c r="AA366" i="27"/>
  <c r="Z366" i="27"/>
  <c r="Y366" i="27"/>
  <c r="AA365" i="27"/>
  <c r="Z365" i="27"/>
  <c r="Y365" i="27"/>
  <c r="AA364" i="27"/>
  <c r="Z364" i="27"/>
  <c r="Y364" i="27"/>
  <c r="AA363" i="27"/>
  <c r="Z363" i="27"/>
  <c r="Y363" i="27"/>
  <c r="AA362" i="27"/>
  <c r="Z362" i="27"/>
  <c r="Y362" i="27"/>
  <c r="AA361" i="27"/>
  <c r="Z361" i="27"/>
  <c r="Y361" i="27"/>
  <c r="AA359" i="27"/>
  <c r="Z359" i="27"/>
  <c r="Y359" i="27"/>
  <c r="AA358" i="27"/>
  <c r="Z358" i="27"/>
  <c r="Y358" i="27"/>
  <c r="AA357" i="27"/>
  <c r="Z357" i="27"/>
  <c r="Y357" i="27"/>
  <c r="AA356" i="27"/>
  <c r="Z356" i="27"/>
  <c r="Y356" i="27"/>
  <c r="AA355" i="27"/>
  <c r="Z355" i="27"/>
  <c r="Y355" i="27"/>
  <c r="AA354" i="27"/>
  <c r="Z354" i="27"/>
  <c r="Y354" i="27"/>
  <c r="AA353" i="27"/>
  <c r="Z353" i="27"/>
  <c r="Y353" i="27"/>
  <c r="AA352" i="27"/>
  <c r="Z352" i="27"/>
  <c r="Y352" i="27"/>
  <c r="AA351" i="27"/>
  <c r="Z351" i="27"/>
  <c r="Y351" i="27"/>
  <c r="AA350" i="27"/>
  <c r="Z350" i="27"/>
  <c r="Y350" i="27"/>
  <c r="AA349" i="27"/>
  <c r="Z349" i="27"/>
  <c r="Y349" i="27"/>
  <c r="AA348" i="27"/>
  <c r="Z348" i="27"/>
  <c r="Y348" i="27"/>
  <c r="AA347" i="27"/>
  <c r="Z347" i="27"/>
  <c r="Y347" i="27"/>
  <c r="AA346" i="27"/>
  <c r="Z346" i="27"/>
  <c r="Y346" i="27"/>
  <c r="AA345" i="27"/>
  <c r="Z345" i="27"/>
  <c r="Y345" i="27"/>
  <c r="AA344" i="27"/>
  <c r="Z344" i="27"/>
  <c r="Y344" i="27"/>
  <c r="AA343" i="27"/>
  <c r="Z343" i="27"/>
  <c r="Y343" i="27"/>
  <c r="AA342" i="27"/>
  <c r="Z342" i="27"/>
  <c r="Y342" i="27"/>
  <c r="AA341" i="27"/>
  <c r="Z341" i="27"/>
  <c r="Y341" i="27"/>
  <c r="AA340" i="27"/>
  <c r="Z340" i="27"/>
  <c r="Y340" i="27"/>
  <c r="AA339" i="27"/>
  <c r="Z339" i="27"/>
  <c r="Y339" i="27"/>
  <c r="AA338" i="27"/>
  <c r="Z338" i="27"/>
  <c r="Y338" i="27"/>
  <c r="AA337" i="27"/>
  <c r="Z337" i="27"/>
  <c r="Y337" i="27"/>
  <c r="AA336" i="27"/>
  <c r="Z336" i="27"/>
  <c r="Y336" i="27"/>
  <c r="AA335" i="27"/>
  <c r="Z335" i="27"/>
  <c r="Y335" i="27"/>
  <c r="AA334" i="27"/>
  <c r="Z334" i="27"/>
  <c r="Y334" i="27"/>
  <c r="AA333" i="27"/>
  <c r="Z333" i="27"/>
  <c r="Y333" i="27"/>
  <c r="AA332" i="27"/>
  <c r="Z332" i="27"/>
  <c r="Y332" i="27"/>
  <c r="AA331" i="27"/>
  <c r="Z331" i="27"/>
  <c r="Y331" i="27"/>
  <c r="AA330" i="27"/>
  <c r="Z330" i="27"/>
  <c r="Y330" i="27"/>
  <c r="AA329" i="27"/>
  <c r="Z329" i="27"/>
  <c r="Y329" i="27"/>
  <c r="AA328" i="27"/>
  <c r="Z328" i="27"/>
  <c r="Y328" i="27"/>
  <c r="AA327" i="27"/>
  <c r="Z327" i="27"/>
  <c r="Y327" i="27"/>
  <c r="AA326" i="27"/>
  <c r="Z326" i="27"/>
  <c r="Y326" i="27"/>
  <c r="AA325" i="27"/>
  <c r="Z325" i="27"/>
  <c r="Y325" i="27"/>
  <c r="AA324" i="27"/>
  <c r="Z324" i="27"/>
  <c r="Y324" i="27"/>
  <c r="AA323" i="27"/>
  <c r="Z323" i="27"/>
  <c r="Y323" i="27"/>
  <c r="AA322" i="27"/>
  <c r="Z322" i="27"/>
  <c r="Y322" i="27"/>
  <c r="AA321" i="27"/>
  <c r="Z321" i="27"/>
  <c r="Y321" i="27"/>
  <c r="AA320" i="27"/>
  <c r="Z320" i="27"/>
  <c r="Y320" i="27"/>
  <c r="AA319" i="27"/>
  <c r="Z319" i="27"/>
  <c r="Y319" i="27"/>
  <c r="AA318" i="27"/>
  <c r="Z318" i="27"/>
  <c r="Y318" i="27"/>
  <c r="AA317" i="27"/>
  <c r="Z317" i="27"/>
  <c r="Y317" i="27"/>
  <c r="AA316" i="27"/>
  <c r="Z316" i="27"/>
  <c r="Y316" i="27"/>
  <c r="AA315" i="27"/>
  <c r="Z315" i="27"/>
  <c r="Y315" i="27"/>
  <c r="AA314" i="27"/>
  <c r="Z314" i="27"/>
  <c r="Y314" i="27"/>
  <c r="AA313" i="27"/>
  <c r="Z313" i="27"/>
  <c r="Y313" i="27"/>
  <c r="AA312" i="27"/>
  <c r="Z312" i="27"/>
  <c r="Y312" i="27"/>
  <c r="AA311" i="27"/>
  <c r="Z311" i="27"/>
  <c r="Y311" i="27"/>
  <c r="AA310" i="27"/>
  <c r="Z310" i="27"/>
  <c r="Y310" i="27"/>
  <c r="AA309" i="27"/>
  <c r="Z309" i="27"/>
  <c r="Y309" i="27"/>
  <c r="AA308" i="27"/>
  <c r="Z308" i="27"/>
  <c r="Y308" i="27"/>
  <c r="AA307" i="27"/>
  <c r="Z307" i="27"/>
  <c r="Y307" i="27"/>
  <c r="AA306" i="27"/>
  <c r="Z306" i="27"/>
  <c r="Y306" i="27"/>
  <c r="AA305" i="27"/>
  <c r="Z305" i="27"/>
  <c r="Y305" i="27"/>
  <c r="AA304" i="27"/>
  <c r="Z304" i="27"/>
  <c r="Y304" i="27"/>
  <c r="AA303" i="27"/>
  <c r="Z303" i="27"/>
  <c r="Y303" i="27"/>
  <c r="AA302" i="27"/>
  <c r="Z302" i="27"/>
  <c r="Y302" i="27"/>
  <c r="AA301" i="27"/>
  <c r="Z301" i="27"/>
  <c r="Y301" i="27"/>
  <c r="AA300" i="27"/>
  <c r="Z300" i="27"/>
  <c r="Y300" i="27"/>
  <c r="AA299" i="27"/>
  <c r="Z299" i="27"/>
  <c r="Y299" i="27"/>
  <c r="AA298" i="27"/>
  <c r="Z298" i="27"/>
  <c r="Y298" i="27"/>
  <c r="AA297" i="27"/>
  <c r="Z297" i="27"/>
  <c r="Y297" i="27"/>
  <c r="AA296" i="27"/>
  <c r="Z296" i="27"/>
  <c r="Y296" i="27"/>
  <c r="AA295" i="27"/>
  <c r="Z295" i="27"/>
  <c r="Y295" i="27"/>
  <c r="AA294" i="27"/>
  <c r="Z294" i="27"/>
  <c r="Y294" i="27"/>
  <c r="AA293" i="27"/>
  <c r="Z293" i="27"/>
  <c r="Y293" i="27"/>
  <c r="AA292" i="27"/>
  <c r="Z292" i="27"/>
  <c r="Y292" i="27"/>
  <c r="AA291" i="27"/>
  <c r="Z291" i="27"/>
  <c r="Y291" i="27"/>
  <c r="AA290" i="27"/>
  <c r="Z290" i="27"/>
  <c r="Y290" i="27"/>
  <c r="AA289" i="27"/>
  <c r="Z289" i="27"/>
  <c r="Y289" i="27"/>
  <c r="AA288" i="27"/>
  <c r="Z288" i="27"/>
  <c r="Y288" i="27"/>
  <c r="AA287" i="27"/>
  <c r="Z287" i="27"/>
  <c r="Y287" i="27"/>
  <c r="AA286" i="27"/>
  <c r="Z286" i="27"/>
  <c r="Y286" i="27"/>
  <c r="AA285" i="27"/>
  <c r="Z285" i="27"/>
  <c r="Y285" i="27"/>
  <c r="AA284" i="27"/>
  <c r="Z284" i="27"/>
  <c r="Y284" i="27"/>
  <c r="AA283" i="27"/>
  <c r="Z283" i="27"/>
  <c r="Y283" i="27"/>
  <c r="AA282" i="27"/>
  <c r="Z282" i="27"/>
  <c r="Y282" i="27"/>
  <c r="AA281" i="27"/>
  <c r="Z281" i="27"/>
  <c r="Y281" i="27"/>
  <c r="AA280" i="27"/>
  <c r="Z280" i="27"/>
  <c r="Y280" i="27"/>
  <c r="AA279" i="27"/>
  <c r="Z279" i="27"/>
  <c r="Y279" i="27"/>
  <c r="AA278" i="27"/>
  <c r="Z278" i="27"/>
  <c r="Y278" i="27"/>
  <c r="AA277" i="27"/>
  <c r="Z277" i="27"/>
  <c r="Y277" i="27"/>
  <c r="AA276" i="27"/>
  <c r="Z276" i="27"/>
  <c r="Y276" i="27"/>
  <c r="AA275" i="27"/>
  <c r="Z275" i="27"/>
  <c r="Y275" i="27"/>
  <c r="AA274" i="27"/>
  <c r="Z274" i="27"/>
  <c r="Y274" i="27"/>
  <c r="AA273" i="27"/>
  <c r="Z273" i="27"/>
  <c r="Y273" i="27"/>
  <c r="AA272" i="27"/>
  <c r="Z272" i="27"/>
  <c r="Y272" i="27"/>
  <c r="AA271" i="27"/>
  <c r="Z271" i="27"/>
  <c r="Y271" i="27"/>
  <c r="AA270" i="27"/>
  <c r="Z270" i="27"/>
  <c r="Y270" i="27"/>
  <c r="AA269" i="27"/>
  <c r="Z269" i="27"/>
  <c r="Y269" i="27"/>
  <c r="AA268" i="27"/>
  <c r="Z268" i="27"/>
  <c r="Y268" i="27"/>
  <c r="AA267" i="27"/>
  <c r="Z267" i="27"/>
  <c r="Y267" i="27"/>
  <c r="AA266" i="27"/>
  <c r="Z266" i="27"/>
  <c r="Y266" i="27"/>
  <c r="AA265" i="27"/>
  <c r="Z265" i="27"/>
  <c r="Y265" i="27"/>
  <c r="AA264" i="27"/>
  <c r="Z264" i="27"/>
  <c r="Y264" i="27"/>
  <c r="AA263" i="27"/>
  <c r="Z263" i="27"/>
  <c r="Y263" i="27"/>
  <c r="AA262" i="27"/>
  <c r="Z262" i="27"/>
  <c r="Y262" i="27"/>
  <c r="AA261" i="27"/>
  <c r="Z261" i="27"/>
  <c r="Y261" i="27"/>
  <c r="AA260" i="27"/>
  <c r="Z260" i="27"/>
  <c r="Y260" i="27"/>
  <c r="AA259" i="27"/>
  <c r="Z259" i="27"/>
  <c r="Y259" i="27"/>
  <c r="AA258" i="27"/>
  <c r="Z258" i="27"/>
  <c r="Y258" i="27"/>
  <c r="AA257" i="27"/>
  <c r="Z257" i="27"/>
  <c r="Y257" i="27"/>
  <c r="AA256" i="27"/>
  <c r="Z256" i="27"/>
  <c r="Y256" i="27"/>
  <c r="AA255" i="27"/>
  <c r="Z255" i="27"/>
  <c r="Y255" i="27"/>
  <c r="AA254" i="27"/>
  <c r="Z254" i="27"/>
  <c r="Y254" i="27"/>
  <c r="AA253" i="27"/>
  <c r="Z253" i="27"/>
  <c r="Y253" i="27"/>
  <c r="AA252" i="27"/>
  <c r="Z252" i="27"/>
  <c r="Y252" i="27"/>
  <c r="AA251" i="27"/>
  <c r="Z251" i="27"/>
  <c r="Y251" i="27"/>
  <c r="AA250" i="27"/>
  <c r="Z250" i="27"/>
  <c r="Y250" i="27"/>
  <c r="AA249" i="27"/>
  <c r="Z249" i="27"/>
  <c r="Y249" i="27"/>
  <c r="AA248" i="27"/>
  <c r="Z248" i="27"/>
  <c r="Y248" i="27"/>
  <c r="AA247" i="27"/>
  <c r="Z247" i="27"/>
  <c r="Y247" i="27"/>
  <c r="AA246" i="27"/>
  <c r="Z246" i="27"/>
  <c r="Y246" i="27"/>
  <c r="AA245" i="27"/>
  <c r="Z245" i="27"/>
  <c r="Y245" i="27"/>
  <c r="AA244" i="27"/>
  <c r="Z244" i="27"/>
  <c r="Y244" i="27"/>
  <c r="AA243" i="27"/>
  <c r="Z243" i="27"/>
  <c r="Y243" i="27"/>
  <c r="AA242" i="27"/>
  <c r="Z242" i="27"/>
  <c r="Y242" i="27"/>
  <c r="AA241" i="27"/>
  <c r="Z241" i="27"/>
  <c r="Y241" i="27"/>
  <c r="AA240" i="27"/>
  <c r="Z240" i="27"/>
  <c r="Y240" i="27"/>
  <c r="AA239" i="27"/>
  <c r="Z239" i="27"/>
  <c r="Y239" i="27"/>
  <c r="AA238" i="27"/>
  <c r="Z238" i="27"/>
  <c r="Y238" i="27"/>
  <c r="AA237" i="27"/>
  <c r="Z237" i="27"/>
  <c r="Y237" i="27"/>
  <c r="AA236" i="27"/>
  <c r="Z236" i="27"/>
  <c r="Y236" i="27"/>
  <c r="AA235" i="27"/>
  <c r="Z235" i="27"/>
  <c r="Y235" i="27"/>
  <c r="AA234" i="27"/>
  <c r="Z234" i="27"/>
  <c r="Y234" i="27"/>
  <c r="AA233" i="27"/>
  <c r="Z233" i="27"/>
  <c r="Y233" i="27"/>
  <c r="AA232" i="27"/>
  <c r="Z232" i="27"/>
  <c r="Y232" i="27"/>
  <c r="AA231" i="27"/>
  <c r="Z231" i="27"/>
  <c r="Y231" i="27"/>
  <c r="AA230" i="27"/>
  <c r="Z230" i="27"/>
  <c r="Y230" i="27"/>
  <c r="AA229" i="27"/>
  <c r="Z229" i="27"/>
  <c r="Y229" i="27"/>
  <c r="AA228" i="27"/>
  <c r="Z228" i="27"/>
  <c r="Y228" i="27"/>
  <c r="AA227" i="27"/>
  <c r="Z227" i="27"/>
  <c r="Y227" i="27"/>
  <c r="AA226" i="27"/>
  <c r="Z226" i="27"/>
  <c r="Y226" i="27"/>
  <c r="AA225" i="27"/>
  <c r="Z225" i="27"/>
  <c r="Y225" i="27"/>
  <c r="AA224" i="27"/>
  <c r="Z224" i="27"/>
  <c r="Y224" i="27"/>
  <c r="AA223" i="27"/>
  <c r="Z223" i="27"/>
  <c r="Y223" i="27"/>
  <c r="AA222" i="27"/>
  <c r="Z222" i="27"/>
  <c r="Y222" i="27"/>
  <c r="AA221" i="27"/>
  <c r="Z221" i="27"/>
  <c r="Y221" i="27"/>
  <c r="AA220" i="27"/>
  <c r="Z220" i="27"/>
  <c r="Y220" i="27"/>
  <c r="AA219" i="27"/>
  <c r="Z219" i="27"/>
  <c r="Y219" i="27"/>
  <c r="AA218" i="27"/>
  <c r="Z218" i="27"/>
  <c r="Y218" i="27"/>
  <c r="AA217" i="27"/>
  <c r="Z217" i="27"/>
  <c r="Y217" i="27"/>
  <c r="AA216" i="27"/>
  <c r="Z216" i="27"/>
  <c r="Y216" i="27"/>
  <c r="AA215" i="27"/>
  <c r="Z215" i="27"/>
  <c r="Y215" i="27"/>
  <c r="AA214" i="27"/>
  <c r="Z214" i="27"/>
  <c r="Y214" i="27"/>
  <c r="AA213" i="27"/>
  <c r="Z213" i="27"/>
  <c r="Y213" i="27"/>
  <c r="AA212" i="27"/>
  <c r="Z212" i="27"/>
  <c r="Y212" i="27"/>
  <c r="AA211" i="27"/>
  <c r="Z211" i="27"/>
  <c r="Y211" i="27"/>
  <c r="AA210" i="27"/>
  <c r="Z210" i="27"/>
  <c r="Y210" i="27"/>
  <c r="AA209" i="27"/>
  <c r="Z209" i="27"/>
  <c r="Y209" i="27"/>
  <c r="AA208" i="27"/>
  <c r="Z208" i="27"/>
  <c r="Y208" i="27"/>
  <c r="AA207" i="27"/>
  <c r="Z207" i="27"/>
  <c r="Y207" i="27"/>
  <c r="AA206" i="27"/>
  <c r="Z206" i="27"/>
  <c r="Y206" i="27"/>
  <c r="AA205" i="27"/>
  <c r="Z205" i="27"/>
  <c r="Y205" i="27"/>
  <c r="AA204" i="27"/>
  <c r="Z204" i="27"/>
  <c r="Y204" i="27"/>
  <c r="AA203" i="27"/>
  <c r="Z203" i="27"/>
  <c r="Y203" i="27"/>
  <c r="AA202" i="27"/>
  <c r="Z202" i="27"/>
  <c r="Y202" i="27"/>
  <c r="AA201" i="27"/>
  <c r="Z201" i="27"/>
  <c r="Y201" i="27"/>
  <c r="AA200" i="27"/>
  <c r="Z200" i="27"/>
  <c r="Y200" i="27"/>
  <c r="AA199" i="27"/>
  <c r="Z199" i="27"/>
  <c r="Y199" i="27"/>
  <c r="AA198" i="27"/>
  <c r="Z198" i="27"/>
  <c r="Y198" i="27"/>
  <c r="AA197" i="27"/>
  <c r="Z197" i="27"/>
  <c r="Y197" i="27"/>
  <c r="AA196" i="27"/>
  <c r="Z196" i="27"/>
  <c r="Y196" i="27"/>
  <c r="AA195" i="27"/>
  <c r="Z195" i="27"/>
  <c r="Y195" i="27"/>
  <c r="AA194" i="27"/>
  <c r="Z194" i="27"/>
  <c r="Y194" i="27"/>
  <c r="AA193" i="27"/>
  <c r="Z193" i="27"/>
  <c r="Y193" i="27"/>
  <c r="AA192" i="27"/>
  <c r="Z192" i="27"/>
  <c r="Y192" i="27"/>
  <c r="AA191" i="27"/>
  <c r="Z191" i="27"/>
  <c r="Y191" i="27"/>
  <c r="AA190" i="27"/>
  <c r="Z190" i="27"/>
  <c r="Y190" i="27"/>
  <c r="AA189" i="27"/>
  <c r="Z189" i="27"/>
  <c r="Y189" i="27"/>
  <c r="AA188" i="27"/>
  <c r="Z188" i="27"/>
  <c r="Y188" i="27"/>
  <c r="AA187" i="27"/>
  <c r="Z187" i="27"/>
  <c r="Y187" i="27"/>
  <c r="AA186" i="27"/>
  <c r="Z186" i="27"/>
  <c r="Y186" i="27"/>
  <c r="AA185" i="27"/>
  <c r="Z185" i="27"/>
  <c r="Y185" i="27"/>
  <c r="AA184" i="27"/>
  <c r="Z184" i="27"/>
  <c r="Y184" i="27"/>
  <c r="AA183" i="27"/>
  <c r="Z183" i="27"/>
  <c r="Y183" i="27"/>
  <c r="AA182" i="27"/>
  <c r="Z182" i="27"/>
  <c r="Y182" i="27"/>
  <c r="AA181" i="27"/>
  <c r="Z181" i="27"/>
  <c r="Y181" i="27"/>
  <c r="AA180" i="27"/>
  <c r="Z180" i="27"/>
  <c r="Y180" i="27"/>
  <c r="AA179" i="27"/>
  <c r="Z179" i="27"/>
  <c r="Y179" i="27"/>
  <c r="AA178" i="27"/>
  <c r="Z178" i="27"/>
  <c r="Y178" i="27"/>
  <c r="AA177" i="27"/>
  <c r="Z177" i="27"/>
  <c r="Y177" i="27"/>
  <c r="AA176" i="27"/>
  <c r="Z176" i="27"/>
  <c r="Y176" i="27"/>
  <c r="AA175" i="27"/>
  <c r="Z175" i="27"/>
  <c r="Y175" i="27"/>
  <c r="AA174" i="27"/>
  <c r="Z174" i="27"/>
  <c r="Y174" i="27"/>
  <c r="AA173" i="27"/>
  <c r="Z173" i="27"/>
  <c r="Y173" i="27"/>
  <c r="AA172" i="27"/>
  <c r="Z172" i="27"/>
  <c r="Y172" i="27"/>
  <c r="AA171" i="27"/>
  <c r="Z171" i="27"/>
  <c r="Y171" i="27"/>
  <c r="AA170" i="27"/>
  <c r="Z170" i="27"/>
  <c r="Y170" i="27"/>
  <c r="AA169" i="27"/>
  <c r="Z169" i="27"/>
  <c r="Y169" i="27"/>
  <c r="AA168" i="27"/>
  <c r="Z168" i="27"/>
  <c r="Y168" i="27"/>
  <c r="AA167" i="27"/>
  <c r="Z167" i="27"/>
  <c r="Y167" i="27"/>
  <c r="AA166" i="27"/>
  <c r="Z166" i="27"/>
  <c r="Y166" i="27"/>
  <c r="AA165" i="27"/>
  <c r="Z165" i="27"/>
  <c r="Y165" i="27"/>
  <c r="AA164" i="27"/>
  <c r="Z164" i="27"/>
  <c r="Y164" i="27"/>
  <c r="AA163" i="27"/>
  <c r="Z163" i="27"/>
  <c r="Y163" i="27"/>
  <c r="AA162" i="27"/>
  <c r="Z162" i="27"/>
  <c r="Y162" i="27"/>
  <c r="AA161" i="27"/>
  <c r="Z161" i="27"/>
  <c r="Y161" i="27"/>
  <c r="AA160" i="27"/>
  <c r="Z160" i="27"/>
  <c r="Y160" i="27"/>
  <c r="AA159" i="27"/>
  <c r="Z159" i="27"/>
  <c r="Y159" i="27"/>
  <c r="AA158" i="27"/>
  <c r="Z158" i="27"/>
  <c r="Y158" i="27"/>
  <c r="AA157" i="27"/>
  <c r="Z157" i="27"/>
  <c r="Y157" i="27"/>
  <c r="AA156" i="27"/>
  <c r="Z156" i="27"/>
  <c r="Y156" i="27"/>
  <c r="AA155" i="27"/>
  <c r="Z155" i="27"/>
  <c r="Y155" i="27"/>
  <c r="AA154" i="27"/>
  <c r="Z154" i="27"/>
  <c r="Y154" i="27"/>
  <c r="AA153" i="27"/>
  <c r="Z153" i="27"/>
  <c r="Y153" i="27"/>
  <c r="AA152" i="27"/>
  <c r="Z152" i="27"/>
  <c r="Y152" i="27"/>
  <c r="AA151" i="27"/>
  <c r="Z151" i="27"/>
  <c r="Y151" i="27"/>
  <c r="AA150" i="27"/>
  <c r="Z150" i="27"/>
  <c r="Y150" i="27"/>
  <c r="AA149" i="27"/>
  <c r="Z149" i="27"/>
  <c r="Y149" i="27"/>
  <c r="AA148" i="27"/>
  <c r="Z148" i="27"/>
  <c r="Y148" i="27"/>
  <c r="AA147" i="27"/>
  <c r="Z147" i="27"/>
  <c r="Y147" i="27"/>
  <c r="AA146" i="27"/>
  <c r="Z146" i="27"/>
  <c r="Y146" i="27"/>
  <c r="AA145" i="27"/>
  <c r="Z145" i="27"/>
  <c r="Y145" i="27"/>
  <c r="AA144" i="27"/>
  <c r="Z144" i="27"/>
  <c r="Y144" i="27"/>
  <c r="AA143" i="27"/>
  <c r="Z143" i="27"/>
  <c r="Y143" i="27"/>
  <c r="AA142" i="27"/>
  <c r="Z142" i="27"/>
  <c r="Y142" i="27"/>
  <c r="AA141" i="27"/>
  <c r="Z141" i="27"/>
  <c r="Y141" i="27"/>
  <c r="AA140" i="27"/>
  <c r="Z140" i="27"/>
  <c r="Y140" i="27"/>
  <c r="AA139" i="27"/>
  <c r="Z139" i="27"/>
  <c r="Y139" i="27"/>
  <c r="AA138" i="27"/>
  <c r="Z138" i="27"/>
  <c r="Y138" i="27"/>
  <c r="AA137" i="27"/>
  <c r="Z137" i="27"/>
  <c r="Y137" i="27"/>
  <c r="AA136" i="27"/>
  <c r="Z136" i="27"/>
  <c r="Y136" i="27"/>
  <c r="AA135" i="27"/>
  <c r="Z135" i="27"/>
  <c r="Y135" i="27"/>
  <c r="AA134" i="27"/>
  <c r="Z134" i="27"/>
  <c r="Y134" i="27"/>
  <c r="AA133" i="27"/>
  <c r="Z133" i="27"/>
  <c r="Y133" i="27"/>
  <c r="AA132" i="27"/>
  <c r="Z132" i="27"/>
  <c r="Y132" i="27"/>
  <c r="AA131" i="27"/>
  <c r="Z131" i="27"/>
  <c r="Y131" i="27"/>
  <c r="AA130" i="27"/>
  <c r="Z130" i="27"/>
  <c r="Y130" i="27"/>
  <c r="AA129" i="27"/>
  <c r="Z129" i="27"/>
  <c r="Y129" i="27"/>
  <c r="AA128" i="27"/>
  <c r="Z128" i="27"/>
  <c r="Y128" i="27"/>
  <c r="AA127" i="27"/>
  <c r="Z127" i="27"/>
  <c r="Y127" i="27"/>
  <c r="AA126" i="27"/>
  <c r="Z126" i="27"/>
  <c r="Y126" i="27"/>
  <c r="AA125" i="27"/>
  <c r="Z125" i="27"/>
  <c r="Y125" i="27"/>
  <c r="AA124" i="27"/>
  <c r="Z124" i="27"/>
  <c r="Y124" i="27"/>
  <c r="AA123" i="27"/>
  <c r="Z123" i="27"/>
  <c r="Y123" i="27"/>
  <c r="AA122" i="27"/>
  <c r="Z122" i="27"/>
  <c r="Y122" i="27"/>
  <c r="AA121" i="27"/>
  <c r="Z121" i="27"/>
  <c r="Y121" i="27"/>
  <c r="AA120" i="27"/>
  <c r="Z120" i="27"/>
  <c r="Y120" i="27"/>
  <c r="AA119" i="27"/>
  <c r="Z119" i="27"/>
  <c r="Y119" i="27"/>
  <c r="AA118" i="27"/>
  <c r="Z118" i="27"/>
  <c r="Y118" i="27"/>
  <c r="AA117" i="27"/>
  <c r="Z117" i="27"/>
  <c r="Y117" i="27"/>
  <c r="AA116" i="27"/>
  <c r="Z116" i="27"/>
  <c r="Y116" i="27"/>
  <c r="AA115" i="27"/>
  <c r="Z115" i="27"/>
  <c r="Y115" i="27"/>
  <c r="AA114" i="27"/>
  <c r="Z114" i="27"/>
  <c r="Y114" i="27"/>
  <c r="AA113" i="27"/>
  <c r="Z113" i="27"/>
  <c r="Y113" i="27"/>
  <c r="AA112" i="27"/>
  <c r="Z112" i="27"/>
  <c r="Y112" i="27"/>
  <c r="AA111" i="27"/>
  <c r="Z111" i="27"/>
  <c r="Y111" i="27"/>
  <c r="AA110" i="27"/>
  <c r="Z110" i="27"/>
  <c r="Y110" i="27"/>
  <c r="AA109" i="27"/>
  <c r="Z109" i="27"/>
  <c r="Y109" i="27"/>
  <c r="AA108" i="27"/>
  <c r="Z108" i="27"/>
  <c r="Y108" i="27"/>
  <c r="AA107" i="27"/>
  <c r="Z107" i="27"/>
  <c r="Y107" i="27"/>
  <c r="AA106" i="27"/>
  <c r="Z106" i="27"/>
  <c r="Y106" i="27"/>
  <c r="AA105" i="27"/>
  <c r="Z105" i="27"/>
  <c r="Y105" i="27"/>
  <c r="AA104" i="27"/>
  <c r="Z104" i="27"/>
  <c r="Y104" i="27"/>
  <c r="AA103" i="27"/>
  <c r="Z103" i="27"/>
  <c r="Y103" i="27"/>
  <c r="AA102" i="27"/>
  <c r="Z102" i="27"/>
  <c r="Y102" i="27"/>
  <c r="AA101" i="27"/>
  <c r="Z101" i="27"/>
  <c r="Y101" i="27"/>
  <c r="AA100" i="27"/>
  <c r="Z100" i="27"/>
  <c r="Y100" i="27"/>
  <c r="AA99" i="27"/>
  <c r="Z99" i="27"/>
  <c r="Y99" i="27"/>
  <c r="AA98" i="27"/>
  <c r="Z98" i="27"/>
  <c r="Y98" i="27"/>
  <c r="AA97" i="27"/>
  <c r="Z97" i="27"/>
  <c r="Y97" i="27"/>
  <c r="AA96" i="27"/>
  <c r="Z96" i="27"/>
  <c r="Y96" i="27"/>
  <c r="AA95" i="27"/>
  <c r="Z95" i="27"/>
  <c r="Y95" i="27"/>
  <c r="AA94" i="27"/>
  <c r="Z94" i="27"/>
  <c r="Y94" i="27"/>
  <c r="AA93" i="27"/>
  <c r="Z93" i="27"/>
  <c r="Y93" i="27"/>
  <c r="AA92" i="27"/>
  <c r="Z92" i="27"/>
  <c r="Y92" i="27"/>
  <c r="AA91" i="27"/>
  <c r="Z91" i="27"/>
  <c r="Y91" i="27"/>
  <c r="AA90" i="27"/>
  <c r="Z90" i="27"/>
  <c r="Y90" i="27"/>
  <c r="AA89" i="27"/>
  <c r="Z89" i="27"/>
  <c r="Y89" i="27"/>
  <c r="AA88" i="27"/>
  <c r="Z88" i="27"/>
  <c r="Y88" i="27"/>
  <c r="AA87" i="27"/>
  <c r="Z87" i="27"/>
  <c r="Y87" i="27"/>
  <c r="AA86" i="27"/>
  <c r="Z86" i="27"/>
  <c r="Y86" i="27"/>
  <c r="AA81" i="27"/>
  <c r="Z81" i="27"/>
  <c r="Y81" i="27"/>
  <c r="AA79" i="27"/>
  <c r="Z79" i="27"/>
  <c r="Y79" i="27"/>
  <c r="AA77" i="27"/>
  <c r="Z77" i="27"/>
  <c r="Y77" i="27"/>
  <c r="AA69" i="27"/>
  <c r="Z69" i="27"/>
  <c r="Y69" i="27"/>
  <c r="AA67" i="27"/>
  <c r="Z67" i="27"/>
  <c r="Y67" i="27"/>
  <c r="AA66" i="27"/>
  <c r="Z66" i="27"/>
  <c r="Y66" i="27"/>
  <c r="AA65" i="27"/>
  <c r="Z65" i="27"/>
  <c r="Y65" i="27"/>
  <c r="AA64" i="27"/>
  <c r="Z64" i="27"/>
  <c r="Y64" i="27"/>
  <c r="AA63" i="27"/>
  <c r="Z63" i="27"/>
  <c r="Y63" i="27"/>
  <c r="AA62" i="27"/>
  <c r="Z62" i="27"/>
  <c r="Y62" i="27"/>
  <c r="AA61" i="27"/>
  <c r="Z61" i="27"/>
  <c r="Y61" i="27"/>
  <c r="AA60" i="27"/>
  <c r="Z60" i="27"/>
  <c r="Y60" i="27"/>
  <c r="AA59" i="27"/>
  <c r="Z59" i="27"/>
  <c r="Y59" i="27"/>
  <c r="AA58" i="27"/>
  <c r="Z58" i="27"/>
  <c r="Y58" i="27"/>
  <c r="AA57" i="27"/>
  <c r="Z57" i="27"/>
  <c r="Y57" i="27"/>
  <c r="AA56" i="27"/>
  <c r="Z56" i="27"/>
  <c r="Y56" i="27"/>
  <c r="AA55" i="27"/>
  <c r="Z55" i="27"/>
  <c r="Y55" i="27"/>
  <c r="AA54" i="27"/>
  <c r="Z54" i="27"/>
  <c r="Y54" i="27"/>
  <c r="AA53" i="27"/>
  <c r="Z53" i="27"/>
  <c r="Y53" i="27"/>
  <c r="AA49" i="27"/>
  <c r="Z49" i="27"/>
  <c r="Y49" i="27"/>
  <c r="AA48" i="27"/>
  <c r="Z48" i="27"/>
  <c r="Y48" i="27"/>
  <c r="AA47" i="27"/>
  <c r="Z47" i="27"/>
  <c r="Y47" i="27"/>
  <c r="AA46" i="27"/>
  <c r="Z46" i="27"/>
  <c r="Y46" i="27"/>
  <c r="AA45" i="27"/>
  <c r="Z45" i="27"/>
  <c r="Y45" i="27"/>
  <c r="AA44" i="27"/>
  <c r="Z44" i="27"/>
  <c r="Y44" i="27"/>
  <c r="AA43" i="27"/>
  <c r="Z43" i="27"/>
  <c r="Y43" i="27"/>
  <c r="AA42" i="27"/>
  <c r="Z42" i="27"/>
  <c r="Y42" i="27"/>
  <c r="AA41" i="27"/>
  <c r="Z41" i="27"/>
  <c r="Y41" i="27"/>
  <c r="AA40" i="27"/>
  <c r="Z40" i="27"/>
  <c r="Y40" i="27"/>
  <c r="AA39" i="27"/>
  <c r="Z39" i="27"/>
  <c r="Y39" i="27"/>
  <c r="AA38" i="27"/>
  <c r="Z38" i="27"/>
  <c r="Y38" i="27"/>
  <c r="AA37" i="27"/>
  <c r="Z37" i="27"/>
  <c r="Y37" i="27"/>
  <c r="AA36" i="27"/>
  <c r="Z36" i="27"/>
  <c r="Y36" i="27"/>
  <c r="AA35" i="27"/>
  <c r="Z35" i="27"/>
  <c r="Y35" i="27"/>
  <c r="AA34" i="27"/>
  <c r="Z34" i="27"/>
  <c r="Y34" i="27"/>
  <c r="AA33" i="27"/>
  <c r="Z33" i="27"/>
  <c r="Y33" i="27"/>
  <c r="AA32" i="27"/>
  <c r="Z32" i="27"/>
  <c r="Y32" i="27"/>
  <c r="AA31" i="27"/>
  <c r="Z31" i="27"/>
  <c r="Y31" i="27"/>
  <c r="AA30" i="27"/>
  <c r="Z30" i="27"/>
  <c r="Y30" i="27"/>
  <c r="AA29" i="27"/>
  <c r="Z29" i="27"/>
  <c r="Y29" i="27"/>
  <c r="AA28" i="27"/>
  <c r="Z28" i="27"/>
  <c r="Y28" i="27"/>
  <c r="AA27" i="27"/>
  <c r="Z27" i="27"/>
  <c r="Y27" i="27"/>
  <c r="AA25" i="27"/>
  <c r="Z25" i="27"/>
  <c r="Y25" i="27"/>
  <c r="AA24" i="27"/>
  <c r="Z24" i="27"/>
  <c r="Y24" i="27"/>
  <c r="AA23" i="27"/>
  <c r="Z23" i="27"/>
  <c r="Y23" i="27"/>
  <c r="AA22" i="27"/>
  <c r="Z22" i="27"/>
  <c r="Y22" i="27"/>
  <c r="AA21" i="27"/>
  <c r="Z21" i="27"/>
  <c r="Y21" i="27"/>
  <c r="AA20" i="27"/>
  <c r="Z20" i="27"/>
  <c r="Y20" i="27"/>
  <c r="AA19" i="27"/>
  <c r="Z19" i="27"/>
  <c r="Y19" i="27"/>
  <c r="AA16" i="27"/>
  <c r="Z16" i="27"/>
  <c r="Y16" i="27"/>
  <c r="AA15" i="27"/>
  <c r="Z15" i="27"/>
  <c r="Y15" i="27"/>
  <c r="AA13" i="27"/>
  <c r="Z13" i="27"/>
  <c r="Y13" i="27"/>
  <c r="AA10" i="27"/>
  <c r="Z10" i="27"/>
  <c r="Y10" i="27"/>
  <c r="AA8" i="27"/>
  <c r="Z8" i="27"/>
  <c r="Y8" i="27"/>
  <c r="AA7" i="27"/>
  <c r="Z7" i="27"/>
  <c r="Y7" i="27"/>
  <c r="AA6" i="27"/>
  <c r="Z6" i="27"/>
  <c r="Y6" i="27"/>
  <c r="AA5" i="27"/>
  <c r="Z5" i="27"/>
  <c r="Y5" i="27"/>
  <c r="AA4" i="27"/>
  <c r="Z4" i="27"/>
  <c r="Y4" i="27"/>
  <c r="Q459" i="27"/>
  <c r="R459" i="27"/>
  <c r="H65" i="17"/>
  <c r="O19" i="17"/>
  <c r="O18" i="17"/>
  <c r="E5" i="17"/>
  <c r="G5" i="17" s="1"/>
  <c r="E12" i="17"/>
  <c r="G12" i="17" s="1"/>
  <c r="E61" i="17"/>
  <c r="G61" i="17" s="1"/>
  <c r="I61" i="17" s="1"/>
  <c r="E19" i="17"/>
  <c r="G19" i="17" s="1"/>
  <c r="J19" i="17" s="1"/>
  <c r="E21" i="17"/>
  <c r="G21" i="17" s="1"/>
  <c r="E33" i="17"/>
  <c r="G33" i="17" s="1"/>
  <c r="J33" i="17" s="1"/>
  <c r="E31" i="17"/>
  <c r="E22" i="17"/>
  <c r="G22" i="17" s="1"/>
  <c r="I22" i="17" s="1"/>
  <c r="E37" i="17"/>
  <c r="E29" i="17"/>
  <c r="G29" i="17" s="1"/>
  <c r="E38" i="17"/>
  <c r="G38" i="17" s="1"/>
  <c r="I38" i="17" s="1"/>
  <c r="E9" i="17"/>
  <c r="G9" i="17" s="1"/>
  <c r="J9" i="17" s="1"/>
  <c r="E35" i="17"/>
  <c r="G35" i="17" s="1"/>
  <c r="J35" i="17" s="1"/>
  <c r="E30" i="17"/>
  <c r="G30" i="17" s="1"/>
  <c r="E11" i="17"/>
  <c r="G11" i="17" s="1"/>
  <c r="J11" i="17" s="1"/>
  <c r="E7" i="17"/>
  <c r="E8" i="17"/>
  <c r="G8" i="17" s="1"/>
  <c r="E28" i="17"/>
  <c r="G28" i="17" s="1"/>
  <c r="I28" i="17" s="1"/>
  <c r="E10" i="17"/>
  <c r="G10" i="17" s="1"/>
  <c r="J10" i="17" s="1"/>
  <c r="E16" i="17"/>
  <c r="G16" i="17" s="1"/>
  <c r="I16" i="17" s="1"/>
  <c r="E6" i="17"/>
  <c r="E18" i="17"/>
  <c r="E17" i="17"/>
  <c r="G17" i="17" s="1"/>
  <c r="I17" i="17" s="1"/>
  <c r="E24" i="17"/>
  <c r="E26" i="17"/>
  <c r="G26" i="17" s="1"/>
  <c r="J26" i="17" s="1"/>
  <c r="E23" i="17"/>
  <c r="G23" i="17" s="1"/>
  <c r="E32" i="17"/>
  <c r="E25" i="17"/>
  <c r="G25" i="17" s="1"/>
  <c r="J25" i="17" s="1"/>
  <c r="E15" i="17"/>
  <c r="E13" i="17"/>
  <c r="G13" i="17" s="1"/>
  <c r="E20" i="17"/>
  <c r="G20" i="17" s="1"/>
  <c r="E64" i="17"/>
  <c r="G64" i="17" s="1"/>
  <c r="I64" i="17" s="1"/>
  <c r="E27" i="17"/>
  <c r="E36" i="17"/>
  <c r="G36" i="17" s="1"/>
  <c r="J36" i="17" s="1"/>
  <c r="E14" i="17"/>
  <c r="G14" i="17" s="1"/>
  <c r="I14" i="17" s="1"/>
  <c r="F65" i="17"/>
  <c r="O61" i="17"/>
  <c r="O20" i="17"/>
  <c r="O28" i="17"/>
  <c r="O26" i="17"/>
  <c r="P26" i="17" s="1"/>
  <c r="Q26" i="17" s="1"/>
  <c r="O24" i="17"/>
  <c r="O16" i="17"/>
  <c r="O27" i="17"/>
  <c r="P27" i="17" s="1"/>
  <c r="Q27" i="17" s="1"/>
  <c r="O8" i="17"/>
  <c r="O33" i="17"/>
  <c r="O63" i="17"/>
  <c r="O21" i="17"/>
  <c r="O64" i="17"/>
  <c r="O32" i="17"/>
  <c r="P32" i="17" s="1"/>
  <c r="O14" i="17"/>
  <c r="O25" i="17"/>
  <c r="P25" i="17" s="1"/>
  <c r="Q25" i="17" s="1"/>
  <c r="O15" i="17"/>
  <c r="O11" i="17"/>
  <c r="O5" i="17"/>
  <c r="O30" i="17"/>
  <c r="O35" i="17"/>
  <c r="O6" i="17"/>
  <c r="O10" i="17"/>
  <c r="O9" i="17"/>
  <c r="O23" i="17"/>
  <c r="O31" i="17"/>
  <c r="O7" i="17"/>
  <c r="O22" i="17"/>
  <c r="O36" i="17"/>
  <c r="O37" i="17"/>
  <c r="O38" i="17"/>
  <c r="O17" i="17"/>
  <c r="O29" i="17"/>
  <c r="O13" i="17"/>
  <c r="K30" i="17"/>
  <c r="U30" i="17" s="1"/>
  <c r="K36" i="17"/>
  <c r="K61" i="17"/>
  <c r="U61" i="17" s="1"/>
  <c r="K13" i="17"/>
  <c r="U13" i="17" s="1"/>
  <c r="K15" i="17"/>
  <c r="K22" i="17"/>
  <c r="K23" i="17"/>
  <c r="Z23" i="17" s="1"/>
  <c r="K64" i="17"/>
  <c r="K8" i="17"/>
  <c r="U8" i="17" s="1"/>
  <c r="K16" i="17"/>
  <c r="U16" i="17" s="1"/>
  <c r="K35" i="17"/>
  <c r="Z35" i="17" s="1"/>
  <c r="K26" i="17"/>
  <c r="K37" i="17"/>
  <c r="K7" i="17"/>
  <c r="Z7" i="17" s="1"/>
  <c r="K20" i="17"/>
  <c r="U20" i="17" s="1"/>
  <c r="K19" i="17"/>
  <c r="Z19" i="17" s="1"/>
  <c r="K38" i="17"/>
  <c r="K32" i="17"/>
  <c r="Z32" i="17" s="1"/>
  <c r="K18" i="17"/>
  <c r="K17" i="17"/>
  <c r="K33" i="17"/>
  <c r="Z33" i="17" s="1"/>
  <c r="K21" i="17"/>
  <c r="K29" i="17"/>
  <c r="Z29" i="17" s="1"/>
  <c r="K63" i="17"/>
  <c r="Z63" i="17" s="1"/>
  <c r="K27" i="17"/>
  <c r="Z27" i="17" s="1"/>
  <c r="K12" i="17"/>
  <c r="Z12" i="17" s="1"/>
  <c r="K14" i="17"/>
  <c r="U14" i="17" s="1"/>
  <c r="K25" i="17"/>
  <c r="K24" i="17"/>
  <c r="Z24" i="17" s="1"/>
  <c r="K6" i="17"/>
  <c r="Z6" i="17" s="1"/>
  <c r="K31" i="17"/>
  <c r="Z31" i="17" s="1"/>
  <c r="K11" i="17"/>
  <c r="U11" i="17" s="1"/>
  <c r="E63" i="17"/>
  <c r="G63" i="17" s="1"/>
  <c r="K10" i="17"/>
  <c r="U10" i="17" s="1"/>
  <c r="K28" i="17"/>
  <c r="Z28" i="17" s="1"/>
  <c r="K9" i="17"/>
  <c r="O12" i="17"/>
  <c r="L32" i="17"/>
  <c r="L26" i="17"/>
  <c r="T32" i="17"/>
  <c r="L15" i="17"/>
  <c r="L25" i="17"/>
  <c r="L27" i="17"/>
  <c r="S27" i="17"/>
  <c r="S26" i="17"/>
  <c r="S25" i="17"/>
  <c r="T26" i="17"/>
  <c r="T27" i="17"/>
  <c r="S32" i="17"/>
  <c r="T25" i="17"/>
  <c r="E8" i="20"/>
  <c r="E7" i="20"/>
  <c r="T55" i="17" l="1"/>
  <c r="X54" i="17"/>
  <c r="X55" i="17"/>
  <c r="T56" i="17"/>
  <c r="X56" i="17"/>
  <c r="T54" i="17"/>
  <c r="AK648" i="1"/>
  <c r="AK634" i="1"/>
  <c r="AK614" i="1"/>
  <c r="AK536" i="1"/>
  <c r="AK530" i="1"/>
  <c r="X9" i="17"/>
  <c r="X23" i="17"/>
  <c r="X64" i="17"/>
  <c r="X58" i="17"/>
  <c r="X57" i="17"/>
  <c r="X53" i="17"/>
  <c r="X52" i="17"/>
  <c r="X50" i="17"/>
  <c r="X49" i="17"/>
  <c r="X47" i="17"/>
  <c r="X46" i="17"/>
  <c r="X44" i="17"/>
  <c r="X43" i="17"/>
  <c r="X42" i="17"/>
  <c r="X40" i="17"/>
  <c r="X39" i="17"/>
  <c r="X24" i="17"/>
  <c r="X36" i="17"/>
  <c r="X59" i="17"/>
  <c r="X48" i="17"/>
  <c r="X41" i="17"/>
  <c r="X61" i="17"/>
  <c r="X45" i="17"/>
  <c r="X63" i="17"/>
  <c r="X62" i="17"/>
  <c r="X51" i="17"/>
  <c r="X17" i="17"/>
  <c r="X10" i="17"/>
  <c r="X60" i="17"/>
  <c r="X22" i="17"/>
  <c r="X11" i="17"/>
  <c r="X31" i="17"/>
  <c r="X14" i="17"/>
  <c r="X12" i="17"/>
  <c r="X5" i="17"/>
  <c r="X18" i="17"/>
  <c r="X38" i="17"/>
  <c r="X29" i="17"/>
  <c r="X21" i="17"/>
  <c r="X13" i="17"/>
  <c r="X7" i="17"/>
  <c r="X30" i="17"/>
  <c r="X37" i="17"/>
  <c r="X35" i="17"/>
  <c r="X33" i="17"/>
  <c r="X6" i="17"/>
  <c r="X28" i="17"/>
  <c r="X8" i="17"/>
  <c r="X19" i="17"/>
  <c r="X15" i="17"/>
  <c r="AK609" i="1"/>
  <c r="AK624" i="1"/>
  <c r="AK586" i="1"/>
  <c r="AJ122" i="41"/>
  <c r="AK412" i="1"/>
  <c r="AK453" i="1"/>
  <c r="AK413" i="1"/>
  <c r="AK442" i="1"/>
  <c r="AK451" i="1"/>
  <c r="AK649" i="1"/>
  <c r="AK411" i="1"/>
  <c r="AK450" i="1"/>
  <c r="AK407" i="1"/>
  <c r="AK441" i="1"/>
  <c r="AK410" i="1"/>
  <c r="AK452" i="1"/>
  <c r="AK408" i="1"/>
  <c r="AK466" i="1"/>
  <c r="AK399" i="1"/>
  <c r="U664" i="1"/>
  <c r="AK351" i="1"/>
  <c r="AK402" i="1"/>
  <c r="AK400" i="1"/>
  <c r="AK406" i="1"/>
  <c r="AK401" i="1"/>
  <c r="AK415" i="1"/>
  <c r="AK456" i="1"/>
  <c r="AK619" i="1"/>
  <c r="AK119" i="41"/>
  <c r="AK535" i="1"/>
  <c r="AK320" i="1"/>
  <c r="AK465" i="1"/>
  <c r="AK468" i="1"/>
  <c r="AK358" i="1"/>
  <c r="AK448" i="1"/>
  <c r="AK417" i="1"/>
  <c r="AK464" i="1"/>
  <c r="AK455" i="1"/>
  <c r="AK419" i="1"/>
  <c r="AK359" i="1"/>
  <c r="AK449" i="1"/>
  <c r="AK467" i="1"/>
  <c r="AK443" i="1"/>
  <c r="AK374" i="1"/>
  <c r="AK418" i="1"/>
  <c r="AK416" i="1"/>
  <c r="AK454" i="1"/>
  <c r="AK440" i="1"/>
  <c r="AK356" i="1"/>
  <c r="AK354" i="1"/>
  <c r="AK494" i="1"/>
  <c r="AK205" i="1"/>
  <c r="AK46" i="1"/>
  <c r="AK112" i="1"/>
  <c r="AK196" i="1"/>
  <c r="AK216" i="1"/>
  <c r="AK256" i="1"/>
  <c r="AK84" i="1"/>
  <c r="AK420" i="1"/>
  <c r="AK659" i="1"/>
  <c r="AK472" i="1"/>
  <c r="AK153" i="1"/>
  <c r="AK641" i="1"/>
  <c r="AK392" i="1"/>
  <c r="AK334" i="1"/>
  <c r="AK55" i="1"/>
  <c r="AK381" i="1"/>
  <c r="AK600" i="1"/>
  <c r="AK328" i="1"/>
  <c r="AK288" i="1"/>
  <c r="AK198" i="1"/>
  <c r="AK56" i="1"/>
  <c r="AK23" i="1"/>
  <c r="AK161" i="1"/>
  <c r="AK377" i="1"/>
  <c r="AK361" i="1"/>
  <c r="AK10" i="1"/>
  <c r="AK567" i="1"/>
  <c r="AK266" i="1"/>
  <c r="AK524" i="1"/>
  <c r="AK98" i="1"/>
  <c r="AK506" i="1"/>
  <c r="AK296" i="1"/>
  <c r="AK53" i="1"/>
  <c r="AK180" i="1"/>
  <c r="AK111" i="1"/>
  <c r="AK647" i="1"/>
  <c r="AK643" i="1"/>
  <c r="AK542" i="1"/>
  <c r="AK147" i="1"/>
  <c r="AK30" i="1"/>
  <c r="AK230" i="1"/>
  <c r="AK80" i="1"/>
  <c r="AK479" i="1"/>
  <c r="AK212" i="1"/>
  <c r="AK292" i="1"/>
  <c r="AK366" i="1"/>
  <c r="AK107" i="1"/>
  <c r="AK398" i="1"/>
  <c r="AK275" i="1"/>
  <c r="AK369" i="1"/>
  <c r="AK150" i="1"/>
  <c r="AK185" i="1"/>
  <c r="AK425" i="1"/>
  <c r="AK14" i="1"/>
  <c r="AK226" i="1"/>
  <c r="AK282" i="1"/>
  <c r="AK439" i="1"/>
  <c r="AK49" i="1"/>
  <c r="AK278" i="1"/>
  <c r="AK106" i="1"/>
  <c r="AK58" i="1"/>
  <c r="AK5" i="1"/>
  <c r="AK606" i="1"/>
  <c r="AK326" i="1"/>
  <c r="AK15" i="1"/>
  <c r="AK376" i="1"/>
  <c r="AK229" i="1"/>
  <c r="AK390" i="1"/>
  <c r="AK18" i="1"/>
  <c r="AK54" i="1"/>
  <c r="AK191" i="1"/>
  <c r="AK520" i="1"/>
  <c r="AK471" i="1"/>
  <c r="AK632" i="1"/>
  <c r="AK321" i="1"/>
  <c r="AK82" i="1"/>
  <c r="AK202" i="1"/>
  <c r="AK270" i="1"/>
  <c r="AK110" i="1"/>
  <c r="AK97" i="1"/>
  <c r="AK582" i="1"/>
  <c r="AK135" i="1"/>
  <c r="AK639" i="1"/>
  <c r="AK589" i="1"/>
  <c r="AK518" i="1"/>
  <c r="AK436" i="1"/>
  <c r="AK426" i="1"/>
  <c r="AK371" i="1"/>
  <c r="AK317" i="1"/>
  <c r="AK218" i="1"/>
  <c r="AK287" i="1"/>
  <c r="AK224" i="1"/>
  <c r="AK144" i="1"/>
  <c r="AK642" i="1"/>
  <c r="AK658" i="1"/>
  <c r="AK318" i="1"/>
  <c r="AK285" i="1"/>
  <c r="AK590" i="1"/>
  <c r="AK263" i="1"/>
  <c r="AK646" i="1"/>
  <c r="AK432" i="1"/>
  <c r="AK290" i="1"/>
  <c r="AK140" i="1"/>
  <c r="AK101" i="1"/>
  <c r="AK433" i="1"/>
  <c r="AK362" i="1"/>
  <c r="AK141" i="1"/>
  <c r="AK93" i="1"/>
  <c r="AK330" i="1"/>
  <c r="AK552" i="1"/>
  <c r="AK384" i="1"/>
  <c r="AK152" i="1"/>
  <c r="AK385" i="1"/>
  <c r="AK544" i="1"/>
  <c r="AK551" i="1"/>
  <c r="AK583" i="1"/>
  <c r="AK217" i="1"/>
  <c r="AK607" i="1"/>
  <c r="AK546" i="1"/>
  <c r="AK345" i="1"/>
  <c r="AK335" i="1"/>
  <c r="AK274" i="1"/>
  <c r="AK531" i="1"/>
  <c r="AK532" i="1"/>
  <c r="AK628" i="1"/>
  <c r="AK603" i="1"/>
  <c r="AK564" i="1"/>
  <c r="AK550" i="1"/>
  <c r="AK87" i="1"/>
  <c r="AK458" i="1"/>
  <c r="AK484" i="1"/>
  <c r="AK195" i="1"/>
  <c r="AK260" i="1"/>
  <c r="AK9" i="1"/>
  <c r="AK380" i="1"/>
  <c r="AK162" i="1"/>
  <c r="AK4" i="1"/>
  <c r="AK630" i="1"/>
  <c r="AK291" i="1"/>
  <c r="AK284" i="1"/>
  <c r="AK271" i="1"/>
  <c r="AK585" i="1"/>
  <c r="AK262" i="1"/>
  <c r="AK499" i="1"/>
  <c r="AK473" i="1"/>
  <c r="AK395" i="1"/>
  <c r="AK510" i="1"/>
  <c r="AK405" i="1"/>
  <c r="AK378" i="1"/>
  <c r="AK446" i="1"/>
  <c r="AK47" i="1"/>
  <c r="AK268" i="1"/>
  <c r="AK598" i="1"/>
  <c r="AK404" i="1"/>
  <c r="AK469" i="1"/>
  <c r="AK104" i="1"/>
  <c r="AK193" i="1"/>
  <c r="AK480" i="1"/>
  <c r="AK504" i="1"/>
  <c r="AK587" i="1"/>
  <c r="AK182" i="1"/>
  <c r="AK303" i="1"/>
  <c r="AK565" i="1"/>
  <c r="AK363" i="1"/>
  <c r="AK286" i="1"/>
  <c r="AK151" i="1"/>
  <c r="AK533" i="1"/>
  <c r="AK462" i="1"/>
  <c r="AK365" i="1"/>
  <c r="AK81" i="1"/>
  <c r="AK618" i="1"/>
  <c r="AK64" i="1"/>
  <c r="AK243" i="1"/>
  <c r="AK476" i="1"/>
  <c r="AK117" i="1"/>
  <c r="AK138" i="1"/>
  <c r="AK190" i="1"/>
  <c r="AK57" i="1"/>
  <c r="AK640" i="1"/>
  <c r="AK588" i="1"/>
  <c r="AK545" i="1"/>
  <c r="AK505" i="1"/>
  <c r="AK463" i="1"/>
  <c r="AK625" i="1"/>
  <c r="AK393" i="1"/>
  <c r="AK280" i="1"/>
  <c r="AK228" i="1"/>
  <c r="AK261" i="1"/>
  <c r="AK209" i="1"/>
  <c r="AK312" i="1"/>
  <c r="AK159" i="1"/>
  <c r="AK79" i="1"/>
  <c r="AK368" i="1"/>
  <c r="AK210" i="1"/>
  <c r="AK273" i="1"/>
  <c r="AK31" i="1"/>
  <c r="AK434" i="1"/>
  <c r="AK492" i="1"/>
  <c r="AK459" i="1"/>
  <c r="AK553" i="1"/>
  <c r="AK394" i="1"/>
  <c r="AK364" i="1"/>
  <c r="AK375" i="1"/>
  <c r="AK223" i="1"/>
  <c r="AK220" i="1"/>
  <c r="AK269" i="1"/>
  <c r="AK227" i="1"/>
  <c r="AK298" i="1"/>
  <c r="AK174" i="1"/>
  <c r="AK633" i="1"/>
  <c r="AK397" i="1"/>
  <c r="AK254" i="1"/>
  <c r="AK201" i="1"/>
  <c r="AK629" i="1"/>
  <c r="AK591" i="1"/>
  <c r="AK534" i="1"/>
  <c r="AK367" i="1"/>
  <c r="AK584" i="1"/>
  <c r="AK396" i="1"/>
  <c r="AK373" i="1"/>
  <c r="AK16" i="1"/>
  <c r="AK206" i="1"/>
  <c r="AK136" i="1"/>
  <c r="AK192" i="1"/>
  <c r="AK281" i="1"/>
  <c r="AK200" i="1"/>
  <c r="AK142" i="1"/>
  <c r="AK289" i="1"/>
  <c r="AK103" i="1"/>
  <c r="AK221" i="1"/>
  <c r="AK225" i="1"/>
  <c r="AK255" i="1"/>
  <c r="AK219" i="1"/>
  <c r="AK211" i="1"/>
  <c r="AK461" i="1"/>
  <c r="AK213" i="1"/>
  <c r="AK460" i="1"/>
  <c r="AK12" i="1"/>
  <c r="AK319" i="1"/>
  <c r="AK324" i="1"/>
  <c r="AK337" i="1"/>
  <c r="AK94" i="1"/>
  <c r="AK308" i="1"/>
  <c r="AK621" i="1"/>
  <c r="AK333" i="1"/>
  <c r="AK145" i="1"/>
  <c r="AK350" i="1"/>
  <c r="AK597" i="1"/>
  <c r="AK528" i="1"/>
  <c r="AK477" i="1"/>
  <c r="AK447" i="1"/>
  <c r="AK428" i="1"/>
  <c r="AK336" i="1"/>
  <c r="AK8" i="1"/>
  <c r="AK22" i="1"/>
  <c r="AK208" i="1"/>
  <c r="AK184" i="1"/>
  <c r="AK197" i="1"/>
  <c r="AK168" i="1"/>
  <c r="AK299" i="1"/>
  <c r="AK272" i="1"/>
  <c r="AK495" i="1"/>
  <c r="AK435" i="1"/>
  <c r="AK105" i="1"/>
  <c r="AK470" i="1"/>
  <c r="AK276" i="1"/>
  <c r="AK148" i="1"/>
  <c r="AK561" i="1"/>
  <c r="AK183" i="1"/>
  <c r="AK445" i="1"/>
  <c r="AK137" i="1"/>
  <c r="AK620" i="1"/>
  <c r="AK444" i="1"/>
  <c r="AK24" i="1"/>
  <c r="AK596" i="1"/>
  <c r="AK429" i="1"/>
  <c r="AK115" i="1"/>
  <c r="AK207" i="1"/>
  <c r="AK599" i="1"/>
  <c r="AK431" i="1"/>
  <c r="AK430" i="1"/>
  <c r="AK427" i="1"/>
  <c r="AK387" i="1"/>
  <c r="AK332" i="1"/>
  <c r="AK52" i="1"/>
  <c r="AK13" i="1"/>
  <c r="AK21" i="1"/>
  <c r="AK116" i="1"/>
  <c r="AK89" i="1"/>
  <c r="AK186" i="1"/>
  <c r="AK215" i="1"/>
  <c r="AK149" i="1"/>
  <c r="AK90" i="1"/>
  <c r="AK259" i="1"/>
  <c r="AK83" i="1"/>
  <c r="AK100" i="1"/>
  <c r="AK95" i="1"/>
  <c r="AK493" i="1"/>
  <c r="AK173" i="1"/>
  <c r="AK29" i="1"/>
  <c r="AK349" i="1"/>
  <c r="AK627" i="1"/>
  <c r="AK519" i="1"/>
  <c r="AK437" i="1"/>
  <c r="AK438" i="1"/>
  <c r="AK388" i="1"/>
  <c r="AK331" i="1"/>
  <c r="AK50" i="1"/>
  <c r="AK11" i="1"/>
  <c r="AK20" i="1"/>
  <c r="AK88" i="1"/>
  <c r="AK187" i="1"/>
  <c r="AK204" i="1"/>
  <c r="AK257" i="1"/>
  <c r="AK155" i="1"/>
  <c r="AK279" i="1"/>
  <c r="AK189" i="1"/>
  <c r="AK316" i="1"/>
  <c r="AK626" i="1"/>
  <c r="AK372" i="1"/>
  <c r="AK360" i="1"/>
  <c r="AK96" i="1"/>
  <c r="AK623" i="1"/>
  <c r="AK563" i="1"/>
  <c r="AK267" i="1"/>
  <c r="AK258" i="1"/>
  <c r="AK613" i="1"/>
  <c r="AK541" i="1"/>
  <c r="AK475" i="1"/>
  <c r="AK424" i="1"/>
  <c r="AK383" i="1"/>
  <c r="AK327" i="1"/>
  <c r="AK7" i="1"/>
  <c r="AK19" i="1"/>
  <c r="AK199" i="1"/>
  <c r="AK146" i="1"/>
  <c r="AK231" i="1"/>
  <c r="AK236" i="1"/>
  <c r="AK631" i="1"/>
  <c r="AK342" i="1"/>
  <c r="AK139" i="1"/>
  <c r="AK188" i="1"/>
  <c r="AK222" i="1"/>
  <c r="AK237" i="1"/>
  <c r="AK457" i="1"/>
  <c r="AK657" i="1"/>
  <c r="AK540" i="1"/>
  <c r="AK522" i="1"/>
  <c r="AK391" i="1"/>
  <c r="AK403" i="1"/>
  <c r="AK422" i="1"/>
  <c r="AK51" i="1"/>
  <c r="AK6" i="1"/>
  <c r="AK264" i="1"/>
  <c r="AK86" i="1"/>
  <c r="AK214" i="1"/>
  <c r="AK91" i="1"/>
  <c r="AK329" i="1"/>
  <c r="AK17" i="1"/>
  <c r="AK562" i="1"/>
  <c r="AK194" i="1"/>
  <c r="AK277" i="1"/>
  <c r="AK386" i="1"/>
  <c r="AK323" i="1"/>
  <c r="AK248" i="1"/>
  <c r="AK478" i="1"/>
  <c r="AK143" i="1"/>
  <c r="AK529" i="1"/>
  <c r="AK389" i="1"/>
  <c r="AK160" i="1"/>
  <c r="AK608" i="1"/>
  <c r="AK539" i="1"/>
  <c r="AK521" i="1"/>
  <c r="AK474" i="1"/>
  <c r="AK379" i="1"/>
  <c r="AK421" i="1"/>
  <c r="AK382" i="1"/>
  <c r="AK322" i="1"/>
  <c r="AK48" i="1"/>
  <c r="AK265" i="1"/>
  <c r="AK92" i="1"/>
  <c r="AK85" i="1"/>
  <c r="AK203" i="1"/>
  <c r="AK99" i="1"/>
  <c r="AK63" i="1"/>
  <c r="AK344" i="1"/>
  <c r="AK355" i="1"/>
  <c r="AK357" i="1"/>
  <c r="AK348" i="1"/>
  <c r="AK347" i="1"/>
  <c r="AK343" i="1"/>
  <c r="AK339" i="1"/>
  <c r="AK353" i="1"/>
  <c r="AK341" i="1"/>
  <c r="AK352" i="1"/>
  <c r="AK338" i="1"/>
  <c r="AK346" i="1"/>
  <c r="AK340" i="1"/>
  <c r="L19" i="17"/>
  <c r="AN9" i="48"/>
  <c r="AM65" i="48"/>
  <c r="AK125" i="1"/>
  <c r="AK132" i="1"/>
  <c r="AK33" i="1"/>
  <c r="AK250" i="1"/>
  <c r="AK163" i="1"/>
  <c r="AK28" i="1"/>
  <c r="AK171" i="1"/>
  <c r="AK164" i="1"/>
  <c r="AK247" i="1"/>
  <c r="AK119" i="1"/>
  <c r="AK175" i="1"/>
  <c r="AK124" i="1"/>
  <c r="AK172" i="1"/>
  <c r="AK123" i="1"/>
  <c r="AK158" i="1"/>
  <c r="AK126" i="1"/>
  <c r="AK154" i="1"/>
  <c r="AK133" i="1"/>
  <c r="AK251" i="1"/>
  <c r="AK234" i="1"/>
  <c r="AK242" i="1"/>
  <c r="AK233" i="1"/>
  <c r="AK167" i="1"/>
  <c r="AK121" i="1"/>
  <c r="AK72" i="1"/>
  <c r="AK114" i="1"/>
  <c r="AK245" i="1"/>
  <c r="AK235" i="1"/>
  <c r="AK42" i="1"/>
  <c r="AK246" i="1"/>
  <c r="AK166" i="1"/>
  <c r="AK314" i="1"/>
  <c r="AK305" i="1"/>
  <c r="AK78" i="1"/>
  <c r="AK43" i="1"/>
  <c r="AK302" i="1"/>
  <c r="AK69" i="1"/>
  <c r="AK32" i="1"/>
  <c r="AK73" i="1"/>
  <c r="AK37" i="1"/>
  <c r="AK61" i="1"/>
  <c r="AK238" i="1"/>
  <c r="AK310" i="1"/>
  <c r="AK294" i="1"/>
  <c r="AK249" i="1"/>
  <c r="AK41" i="1"/>
  <c r="AK283" i="1"/>
  <c r="AK177" i="1"/>
  <c r="AK170" i="1"/>
  <c r="AK129" i="1"/>
  <c r="AK128" i="1"/>
  <c r="AK244" i="1"/>
  <c r="AK293" i="1"/>
  <c r="AK169" i="1"/>
  <c r="AK76" i="1"/>
  <c r="AK40" i="1"/>
  <c r="AK295" i="1"/>
  <c r="AK315" i="1"/>
  <c r="AK68" i="1"/>
  <c r="AK313" i="1"/>
  <c r="AK178" i="1"/>
  <c r="AK157" i="1"/>
  <c r="AK130" i="1"/>
  <c r="AK44" i="1"/>
  <c r="AK65" i="1"/>
  <c r="AK25" i="1"/>
  <c r="AK300" i="1"/>
  <c r="AK232" i="1"/>
  <c r="AK165" i="1"/>
  <c r="AK120" i="1"/>
  <c r="AK71" i="1"/>
  <c r="AK35" i="1"/>
  <c r="AK60" i="1"/>
  <c r="AK27" i="1"/>
  <c r="AK66" i="1"/>
  <c r="AK26" i="1"/>
  <c r="AK307" i="1"/>
  <c r="AK59" i="1"/>
  <c r="AK75" i="1"/>
  <c r="AK38" i="1"/>
  <c r="AK253" i="1"/>
  <c r="AK241" i="1"/>
  <c r="AK131" i="1"/>
  <c r="AK309" i="1"/>
  <c r="AK304" i="1"/>
  <c r="AK176" i="1"/>
  <c r="AK134" i="1"/>
  <c r="AK297" i="1"/>
  <c r="AK118" i="1"/>
  <c r="AK77" i="1"/>
  <c r="AK39" i="1"/>
  <c r="AK70" i="1"/>
  <c r="AK36" i="1"/>
  <c r="AK301" i="1"/>
  <c r="AK62" i="1"/>
  <c r="AK74" i="1"/>
  <c r="AK34" i="1"/>
  <c r="AK240" i="1"/>
  <c r="AK252" i="1"/>
  <c r="AK113" i="1"/>
  <c r="AK67" i="1"/>
  <c r="AK45" i="1"/>
  <c r="AK311" i="1"/>
  <c r="AK306" i="1"/>
  <c r="AK239" i="1"/>
  <c r="AK179" i="1"/>
  <c r="AK156" i="1"/>
  <c r="AK127" i="1"/>
  <c r="AJ27" i="41"/>
  <c r="AJ26" i="41"/>
  <c r="X20" i="1"/>
  <c r="L13" i="17" s="1"/>
  <c r="W20" i="41"/>
  <c r="AJ20" i="41"/>
  <c r="L39" i="17"/>
  <c r="Q47" i="17"/>
  <c r="S45" i="17"/>
  <c r="S39" i="17"/>
  <c r="S57" i="17"/>
  <c r="Q57" i="17"/>
  <c r="Q46" i="17"/>
  <c r="S46" i="17"/>
  <c r="L46" i="17"/>
  <c r="S49" i="17"/>
  <c r="Q48" i="17"/>
  <c r="S47" i="17"/>
  <c r="Q39" i="17"/>
  <c r="L57" i="17"/>
  <c r="Q49" i="17"/>
  <c r="L49" i="17"/>
  <c r="L47" i="17"/>
  <c r="L45" i="17"/>
  <c r="L48" i="17"/>
  <c r="S48" i="17"/>
  <c r="Q45" i="17"/>
  <c r="T57" i="17"/>
  <c r="T49" i="17"/>
  <c r="T48" i="17"/>
  <c r="T47" i="17"/>
  <c r="T46" i="17"/>
  <c r="T45" i="17"/>
  <c r="T39" i="17"/>
  <c r="X11" i="1"/>
  <c r="W16" i="41"/>
  <c r="AJ16" i="41"/>
  <c r="X16" i="1"/>
  <c r="L24" i="17" s="1"/>
  <c r="W13" i="41"/>
  <c r="W15" i="41"/>
  <c r="AJ14" i="41"/>
  <c r="AJ15" i="41"/>
  <c r="X46" i="1"/>
  <c r="W14" i="41"/>
  <c r="AJ13" i="41"/>
  <c r="T18" i="17"/>
  <c r="T17" i="17"/>
  <c r="S18" i="17"/>
  <c r="S17" i="17"/>
  <c r="T36" i="17"/>
  <c r="L53" i="17"/>
  <c r="L59" i="17"/>
  <c r="L18" i="17"/>
  <c r="L23" i="17"/>
  <c r="L28" i="17"/>
  <c r="L60" i="17"/>
  <c r="L36" i="17"/>
  <c r="L7" i="17"/>
  <c r="L34" i="17"/>
  <c r="L11" i="17"/>
  <c r="L9" i="17"/>
  <c r="L8" i="17"/>
  <c r="L35" i="17"/>
  <c r="L63" i="17"/>
  <c r="L14" i="17"/>
  <c r="L10" i="17"/>
  <c r="L16" i="17"/>
  <c r="W11" i="41"/>
  <c r="R12" i="41"/>
  <c r="AE12" i="41"/>
  <c r="AJ11" i="41"/>
  <c r="S53" i="17"/>
  <c r="Q59" i="17"/>
  <c r="T59" i="17"/>
  <c r="S59" i="17"/>
  <c r="Q53" i="17"/>
  <c r="T53" i="17"/>
  <c r="T64" i="17"/>
  <c r="P64" i="17"/>
  <c r="Q64" i="17" s="1"/>
  <c r="S64" i="17"/>
  <c r="AJ10" i="41"/>
  <c r="AJ8" i="41"/>
  <c r="AJ9" i="41"/>
  <c r="P20" i="17"/>
  <c r="Q20" i="17" s="1"/>
  <c r="P36" i="17"/>
  <c r="Q36" i="17" s="1"/>
  <c r="Z34" i="17"/>
  <c r="Z52" i="17"/>
  <c r="J58" i="17"/>
  <c r="R58" i="17"/>
  <c r="U53" i="17"/>
  <c r="U24" i="17"/>
  <c r="Q43" i="17"/>
  <c r="U19" i="17"/>
  <c r="R41" i="17"/>
  <c r="U32" i="17"/>
  <c r="J34" i="17"/>
  <c r="I34" i="17"/>
  <c r="R34" i="17"/>
  <c r="P11" i="17"/>
  <c r="Q11" i="17" s="1"/>
  <c r="Z42" i="17"/>
  <c r="U5" i="17"/>
  <c r="Q41" i="17"/>
  <c r="R35" i="17"/>
  <c r="P24" i="17"/>
  <c r="Q24" i="17" s="1"/>
  <c r="P34" i="17"/>
  <c r="Q34" i="17" s="1"/>
  <c r="P9" i="17"/>
  <c r="Q9" i="17" s="1"/>
  <c r="Z10" i="17"/>
  <c r="U29" i="17"/>
  <c r="Z13" i="17"/>
  <c r="U35" i="17"/>
  <c r="P63" i="17"/>
  <c r="Q63" i="17" s="1"/>
  <c r="Z14" i="17"/>
  <c r="Z30" i="17"/>
  <c r="U63" i="17"/>
  <c r="J44" i="17"/>
  <c r="I44" i="17"/>
  <c r="Y27" i="17"/>
  <c r="U31" i="17"/>
  <c r="R12" i="17"/>
  <c r="U7" i="17"/>
  <c r="U51" i="17"/>
  <c r="R44" i="17"/>
  <c r="I35" i="17"/>
  <c r="Z8" i="17"/>
  <c r="U50" i="17"/>
  <c r="I25" i="17"/>
  <c r="P6" i="17"/>
  <c r="Q6" i="17" s="1"/>
  <c r="P23" i="17"/>
  <c r="Q23" i="17" s="1"/>
  <c r="J50" i="17"/>
  <c r="I50" i="17"/>
  <c r="R50" i="17"/>
  <c r="I42" i="17"/>
  <c r="J42" i="17"/>
  <c r="I52" i="17"/>
  <c r="J52" i="17"/>
  <c r="R52" i="17"/>
  <c r="I51" i="17"/>
  <c r="J51" i="17"/>
  <c r="I53" i="17"/>
  <c r="J53" i="17"/>
  <c r="R53" i="17"/>
  <c r="Z44" i="17"/>
  <c r="I10" i="17"/>
  <c r="U44" i="17"/>
  <c r="R10" i="17"/>
  <c r="Z62" i="17"/>
  <c r="Z58" i="17"/>
  <c r="Y32" i="17"/>
  <c r="R9" i="17"/>
  <c r="Q50" i="17"/>
  <c r="J22" i="17"/>
  <c r="I60" i="17"/>
  <c r="R33" i="17"/>
  <c r="Z20" i="17"/>
  <c r="Z16" i="17"/>
  <c r="R25" i="17"/>
  <c r="I9" i="17"/>
  <c r="P30" i="17"/>
  <c r="Q30" i="17" s="1"/>
  <c r="P15" i="17"/>
  <c r="Q15" i="17" s="1"/>
  <c r="T10" i="17"/>
  <c r="V32" i="17"/>
  <c r="T23" i="17"/>
  <c r="L51" i="17"/>
  <c r="T30" i="17"/>
  <c r="Q32" i="17"/>
  <c r="L58" i="17"/>
  <c r="T50" i="17"/>
  <c r="L41" i="17"/>
  <c r="S24" i="17"/>
  <c r="L37" i="17"/>
  <c r="P18" i="17"/>
  <c r="Q18" i="17" s="1"/>
  <c r="T20" i="17"/>
  <c r="S20" i="17"/>
  <c r="T14" i="17"/>
  <c r="Y26" i="17"/>
  <c r="N65" i="17"/>
  <c r="P7" i="17"/>
  <c r="Q7" i="17" s="1"/>
  <c r="P14" i="17"/>
  <c r="Q14" i="17" s="1"/>
  <c r="P28" i="17"/>
  <c r="Q28" i="17" s="1"/>
  <c r="P62" i="17"/>
  <c r="Q62" i="17" s="1"/>
  <c r="P61" i="17"/>
  <c r="Q61" i="17" s="1"/>
  <c r="P60" i="17"/>
  <c r="Q60" i="17" s="1"/>
  <c r="P22" i="17"/>
  <c r="Q22" i="17" s="1"/>
  <c r="P33" i="17"/>
  <c r="Q33" i="17" s="1"/>
  <c r="P13" i="17"/>
  <c r="Q13" i="17" s="1"/>
  <c r="P19" i="17"/>
  <c r="Q19" i="17" s="1"/>
  <c r="Q52" i="17"/>
  <c r="Q44" i="17"/>
  <c r="Q40" i="17"/>
  <c r="R40" i="17"/>
  <c r="Q51" i="17"/>
  <c r="R43" i="17"/>
  <c r="L5" i="17"/>
  <c r="L12" i="17"/>
  <c r="L29" i="17"/>
  <c r="L40" i="17"/>
  <c r="L30" i="17"/>
  <c r="L52" i="17"/>
  <c r="L43" i="17"/>
  <c r="L61" i="17"/>
  <c r="L44" i="17"/>
  <c r="L62" i="17"/>
  <c r="T6" i="17"/>
  <c r="T34" i="17"/>
  <c r="S63" i="17"/>
  <c r="S23" i="17"/>
  <c r="S51" i="17"/>
  <c r="S7" i="17"/>
  <c r="S10" i="17"/>
  <c r="S36" i="17"/>
  <c r="S34" i="17"/>
  <c r="T24" i="17"/>
  <c r="S8" i="17"/>
  <c r="S30" i="17"/>
  <c r="T21" i="17"/>
  <c r="S9" i="17"/>
  <c r="T9" i="17"/>
  <c r="T51" i="17"/>
  <c r="T37" i="17"/>
  <c r="T62" i="17"/>
  <c r="T7" i="17"/>
  <c r="S35" i="17"/>
  <c r="S43" i="17"/>
  <c r="T42" i="17"/>
  <c r="T8" i="17"/>
  <c r="T41" i="17"/>
  <c r="S52" i="17"/>
  <c r="R63" i="17"/>
  <c r="J63" i="17"/>
  <c r="I63" i="17"/>
  <c r="U21" i="17"/>
  <c r="Z21" i="17"/>
  <c r="J21" i="17"/>
  <c r="I21" i="17"/>
  <c r="M65" i="17"/>
  <c r="G6" i="17"/>
  <c r="P35" i="17"/>
  <c r="Q35" i="17" s="1"/>
  <c r="U33" i="17"/>
  <c r="Z61" i="17"/>
  <c r="R19" i="17"/>
  <c r="I19" i="17"/>
  <c r="T11" i="17"/>
  <c r="S29" i="17"/>
  <c r="T33" i="17"/>
  <c r="Z36" i="17"/>
  <c r="U36" i="17"/>
  <c r="P8" i="17"/>
  <c r="Q8" i="17" s="1"/>
  <c r="L50" i="17"/>
  <c r="S58" i="17"/>
  <c r="Q58" i="17"/>
  <c r="S42" i="17"/>
  <c r="S16" i="17"/>
  <c r="T58" i="17"/>
  <c r="P29" i="17"/>
  <c r="Q29" i="17" s="1"/>
  <c r="U18" i="17"/>
  <c r="Z18" i="17"/>
  <c r="R42" i="17"/>
  <c r="R28" i="17"/>
  <c r="S60" i="17"/>
  <c r="P37" i="17"/>
  <c r="Q37" i="17" s="1"/>
  <c r="L33" i="17"/>
  <c r="P17" i="17"/>
  <c r="Q17" i="17" s="1"/>
  <c r="L22" i="17"/>
  <c r="I20" i="17"/>
  <c r="R20" i="17"/>
  <c r="J20" i="17"/>
  <c r="R51" i="17"/>
  <c r="T63" i="17"/>
  <c r="P21" i="17"/>
  <c r="Q21" i="17" s="1"/>
  <c r="L17" i="17"/>
  <c r="Z60" i="17"/>
  <c r="U60" i="17"/>
  <c r="S19" i="17"/>
  <c r="Z37" i="17"/>
  <c r="U37" i="17"/>
  <c r="L21" i="17"/>
  <c r="P38" i="17"/>
  <c r="Q38" i="17" s="1"/>
  <c r="E65" i="17"/>
  <c r="I23" i="17"/>
  <c r="J23" i="17"/>
  <c r="S31" i="17"/>
  <c r="S41" i="17"/>
  <c r="U41" i="17"/>
  <c r="Z41" i="17"/>
  <c r="Z43" i="17"/>
  <c r="U43" i="17"/>
  <c r="L42" i="17"/>
  <c r="U22" i="17"/>
  <c r="Z22" i="17"/>
  <c r="T60" i="17"/>
  <c r="R60" i="17"/>
  <c r="U25" i="17"/>
  <c r="Z25" i="17"/>
  <c r="J41" i="17"/>
  <c r="I41" i="17"/>
  <c r="J43" i="17"/>
  <c r="J62" i="17"/>
  <c r="R62" i="17"/>
  <c r="I62" i="17"/>
  <c r="T16" i="17"/>
  <c r="R22" i="17"/>
  <c r="S11" i="17"/>
  <c r="P12" i="17"/>
  <c r="Q12" i="17" s="1"/>
  <c r="S12" i="17"/>
  <c r="T31" i="17"/>
  <c r="U59" i="17"/>
  <c r="Z59" i="17"/>
  <c r="L31" i="17"/>
  <c r="J64" i="17"/>
  <c r="R21" i="17"/>
  <c r="W25" i="17"/>
  <c r="S6" i="17"/>
  <c r="P5" i="17"/>
  <c r="Q5" i="17" s="1"/>
  <c r="G59" i="17"/>
  <c r="I33" i="17"/>
  <c r="I40" i="17"/>
  <c r="U40" i="17"/>
  <c r="Z40" i="17"/>
  <c r="T35" i="17"/>
  <c r="U6" i="17"/>
  <c r="U27" i="17"/>
  <c r="J61" i="17"/>
  <c r="T13" i="17"/>
  <c r="T15" i="17"/>
  <c r="S62" i="17"/>
  <c r="S40" i="17"/>
  <c r="S50" i="17"/>
  <c r="T43" i="17"/>
  <c r="P31" i="17"/>
  <c r="Q31" i="17" s="1"/>
  <c r="T28" i="17"/>
  <c r="P16" i="17"/>
  <c r="Q16" i="17" s="1"/>
  <c r="P10" i="17"/>
  <c r="Q10" i="17" s="1"/>
  <c r="S38" i="17"/>
  <c r="S21" i="17"/>
  <c r="T19" i="17"/>
  <c r="T12" i="17"/>
  <c r="T44" i="17"/>
  <c r="S22" i="17"/>
  <c r="T38" i="17"/>
  <c r="S15" i="17"/>
  <c r="T29" i="17"/>
  <c r="S61" i="17"/>
  <c r="S37" i="17"/>
  <c r="T61" i="17"/>
  <c r="T22" i="17"/>
  <c r="S5" i="17"/>
  <c r="S13" i="17"/>
  <c r="T40" i="17"/>
  <c r="T5" i="17"/>
  <c r="S44" i="17"/>
  <c r="S33" i="17"/>
  <c r="S14" i="17"/>
  <c r="S28" i="17"/>
  <c r="T52" i="17"/>
  <c r="V25" i="17"/>
  <c r="W26" i="17"/>
  <c r="R26" i="17"/>
  <c r="I8" i="17"/>
  <c r="R8" i="17"/>
  <c r="J8" i="17"/>
  <c r="Z64" i="17"/>
  <c r="U64" i="17"/>
  <c r="R14" i="17"/>
  <c r="J14" i="17"/>
  <c r="Y25" i="17"/>
  <c r="I26" i="17"/>
  <c r="U12" i="17"/>
  <c r="R16" i="17"/>
  <c r="U28" i="17"/>
  <c r="Z38" i="17"/>
  <c r="U38" i="17"/>
  <c r="U23" i="17"/>
  <c r="R23" i="17"/>
  <c r="O65" i="17"/>
  <c r="G7" i="17"/>
  <c r="J30" i="17"/>
  <c r="I30" i="17"/>
  <c r="G31" i="17"/>
  <c r="I12" i="17"/>
  <c r="J12" i="17"/>
  <c r="U15" i="17"/>
  <c r="Z15" i="17"/>
  <c r="G27" i="17"/>
  <c r="V27" i="17"/>
  <c r="W27" i="17"/>
  <c r="R13" i="17"/>
  <c r="I13" i="17"/>
  <c r="G37" i="17"/>
  <c r="V26" i="17"/>
  <c r="Z11" i="17"/>
  <c r="R29" i="17"/>
  <c r="J29" i="17"/>
  <c r="R61" i="17"/>
  <c r="J13" i="17"/>
  <c r="R30" i="17"/>
  <c r="K65" i="17"/>
  <c r="U65" i="17" s="1"/>
  <c r="J28" i="17"/>
  <c r="I29" i="17"/>
  <c r="Z9" i="17"/>
  <c r="U9" i="17"/>
  <c r="U17" i="17"/>
  <c r="Z17" i="17"/>
  <c r="R36" i="17"/>
  <c r="I36" i="17"/>
  <c r="G15" i="17"/>
  <c r="G24" i="17"/>
  <c r="G18" i="17"/>
  <c r="J16" i="17"/>
  <c r="I11" i="17"/>
  <c r="R11" i="17"/>
  <c r="G32" i="17"/>
  <c r="W32" i="17"/>
  <c r="R17" i="17"/>
  <c r="J17" i="17"/>
  <c r="I5" i="17"/>
  <c r="J5" i="17"/>
  <c r="R5" i="17"/>
  <c r="U26" i="17"/>
  <c r="Z26" i="17"/>
  <c r="R64" i="17"/>
  <c r="J38" i="17"/>
  <c r="R38" i="17"/>
  <c r="F8" i="20"/>
  <c r="F7" i="20"/>
  <c r="W54" i="17" l="1"/>
  <c r="Y54" i="17"/>
  <c r="V54" i="17"/>
  <c r="W56" i="17"/>
  <c r="Y56" i="17"/>
  <c r="V56" i="17"/>
  <c r="W55" i="17"/>
  <c r="Y55" i="17"/>
  <c r="V55" i="17"/>
  <c r="L38" i="17"/>
  <c r="W39" i="17"/>
  <c r="V57" i="17"/>
  <c r="Y46" i="17"/>
  <c r="Y47" i="17"/>
  <c r="W49" i="17"/>
  <c r="Y48" i="17"/>
  <c r="V45" i="17"/>
  <c r="W57" i="17"/>
  <c r="Y57" i="17"/>
  <c r="V47" i="17"/>
  <c r="Y49" i="17"/>
  <c r="V49" i="17"/>
  <c r="V48" i="17"/>
  <c r="W48" i="17"/>
  <c r="W47" i="17"/>
  <c r="V46" i="17"/>
  <c r="W46" i="17"/>
  <c r="W45" i="17"/>
  <c r="Y45" i="17"/>
  <c r="V39" i="17"/>
  <c r="Y39" i="17"/>
  <c r="L6" i="17"/>
  <c r="W18" i="17"/>
  <c r="Y17" i="17"/>
  <c r="Y18" i="17"/>
  <c r="W17" i="17"/>
  <c r="W53" i="17"/>
  <c r="W59" i="17"/>
  <c r="V59" i="17"/>
  <c r="Y59" i="17"/>
  <c r="V53" i="17"/>
  <c r="Y53" i="17"/>
  <c r="W64" i="17"/>
  <c r="Y64" i="17"/>
  <c r="V64" i="17"/>
  <c r="V36" i="17"/>
  <c r="V30" i="17"/>
  <c r="Y10" i="17"/>
  <c r="V23" i="17"/>
  <c r="W52" i="17"/>
  <c r="V20" i="17"/>
  <c r="Y30" i="17"/>
  <c r="W8" i="17"/>
  <c r="V34" i="17"/>
  <c r="Y24" i="17"/>
  <c r="Y36" i="17"/>
  <c r="Y20" i="17"/>
  <c r="V9" i="17"/>
  <c r="V50" i="17"/>
  <c r="W16" i="17"/>
  <c r="W42" i="17"/>
  <c r="V18" i="17"/>
  <c r="W20" i="17"/>
  <c r="Y8" i="17"/>
  <c r="V24" i="17"/>
  <c r="W24" i="17"/>
  <c r="Y7" i="17"/>
  <c r="V63" i="17"/>
  <c r="W10" i="17"/>
  <c r="W36" i="17"/>
  <c r="Y43" i="17"/>
  <c r="Y34" i="17"/>
  <c r="W34" i="17"/>
  <c r="Y51" i="17"/>
  <c r="Y23" i="17"/>
  <c r="Y28" i="17"/>
  <c r="W23" i="17"/>
  <c r="W63" i="17"/>
  <c r="V6" i="17"/>
  <c r="Y63" i="17"/>
  <c r="Y40" i="17"/>
  <c r="W31" i="17"/>
  <c r="Y21" i="17"/>
  <c r="V15" i="17"/>
  <c r="V51" i="17"/>
  <c r="W30" i="17"/>
  <c r="W62" i="17"/>
  <c r="W9" i="17"/>
  <c r="Y9" i="17"/>
  <c r="V42" i="17"/>
  <c r="W13" i="17"/>
  <c r="V11" i="17"/>
  <c r="Y41" i="17"/>
  <c r="W7" i="17"/>
  <c r="W35" i="17"/>
  <c r="V60" i="17"/>
  <c r="W58" i="17"/>
  <c r="Y33" i="17"/>
  <c r="W51" i="17"/>
  <c r="V7" i="17"/>
  <c r="V38" i="17"/>
  <c r="Y60" i="17"/>
  <c r="W29" i="17"/>
  <c r="W6" i="17"/>
  <c r="Y19" i="17"/>
  <c r="Y6" i="17"/>
  <c r="V41" i="17"/>
  <c r="W41" i="17"/>
  <c r="V58" i="17"/>
  <c r="W40" i="17"/>
  <c r="W38" i="17"/>
  <c r="W60" i="17"/>
  <c r="Y16" i="17"/>
  <c r="Y31" i="17"/>
  <c r="Y11" i="17"/>
  <c r="V62" i="17"/>
  <c r="Y62" i="17"/>
  <c r="Y42" i="17"/>
  <c r="V21" i="17"/>
  <c r="Y38" i="17"/>
  <c r="R6" i="17"/>
  <c r="J6" i="17"/>
  <c r="I6" i="17"/>
  <c r="V8" i="17"/>
  <c r="W19" i="17"/>
  <c r="V31" i="17"/>
  <c r="V17" i="17"/>
  <c r="W43" i="17"/>
  <c r="Y50" i="17"/>
  <c r="Q65" i="17"/>
  <c r="V37" i="17"/>
  <c r="V40" i="17"/>
  <c r="W50" i="17"/>
  <c r="W33" i="17"/>
  <c r="P65" i="17"/>
  <c r="X65" i="17"/>
  <c r="V33" i="17"/>
  <c r="V43" i="17"/>
  <c r="R59" i="17"/>
  <c r="J59" i="17"/>
  <c r="I59" i="17"/>
  <c r="W11" i="17"/>
  <c r="V16" i="17"/>
  <c r="V35" i="17"/>
  <c r="Y58" i="17"/>
  <c r="V13" i="17"/>
  <c r="V10" i="17"/>
  <c r="V19" i="17"/>
  <c r="V12" i="17"/>
  <c r="Y13" i="17"/>
  <c r="W21" i="17"/>
  <c r="Y35" i="17"/>
  <c r="Y52" i="17"/>
  <c r="V61" i="17"/>
  <c r="W61" i="17"/>
  <c r="Y61" i="17"/>
  <c r="V52" i="17"/>
  <c r="V14" i="17"/>
  <c r="Y14" i="17"/>
  <c r="W14" i="17"/>
  <c r="Y12" i="17"/>
  <c r="W12" i="17"/>
  <c r="Y37" i="17"/>
  <c r="W37" i="17"/>
  <c r="Y44" i="17"/>
  <c r="W44" i="17"/>
  <c r="Y15" i="17"/>
  <c r="W15" i="17"/>
  <c r="T65" i="17"/>
  <c r="V29" i="17"/>
  <c r="V28" i="17"/>
  <c r="W28" i="17"/>
  <c r="V44" i="17"/>
  <c r="V22" i="17"/>
  <c r="W22" i="17"/>
  <c r="Y22" i="17"/>
  <c r="Y29" i="17"/>
  <c r="W5" i="17"/>
  <c r="Y5" i="17"/>
  <c r="V5" i="17"/>
  <c r="S65" i="17"/>
  <c r="R37" i="17"/>
  <c r="I37" i="17"/>
  <c r="J37" i="17"/>
  <c r="I18" i="17"/>
  <c r="J18" i="17"/>
  <c r="R18" i="17"/>
  <c r="J15" i="17"/>
  <c r="I15" i="17"/>
  <c r="R15" i="17"/>
  <c r="Z65" i="17"/>
  <c r="I31" i="17"/>
  <c r="R31" i="17"/>
  <c r="J31" i="17"/>
  <c r="J32" i="17"/>
  <c r="I32" i="17"/>
  <c r="R32" i="17"/>
  <c r="J24" i="17"/>
  <c r="R24" i="17"/>
  <c r="I24" i="17"/>
  <c r="R27" i="17"/>
  <c r="I27" i="17"/>
  <c r="J27" i="17"/>
  <c r="I7" i="17"/>
  <c r="J7" i="17"/>
  <c r="R7" i="17"/>
  <c r="G65" i="17"/>
  <c r="J65" i="17" s="1"/>
  <c r="W65" i="17" s="1"/>
  <c r="L65" i="17" l="1"/>
  <c r="R65" i="17"/>
  <c r="I65" i="17"/>
  <c r="Y65" i="17"/>
  <c r="V65" i="17" l="1"/>
  <c r="AL475" i="1" l="1"/>
  <c r="K2" i="48" l="1"/>
  <c r="K57" i="48"/>
  <c r="K26" i="48"/>
  <c r="K58" i="48"/>
  <c r="K41" i="48"/>
  <c r="K27" i="48"/>
  <c r="K38" i="48"/>
  <c r="K56" i="48"/>
  <c r="K16" i="48"/>
  <c r="K42" i="48"/>
  <c r="K5" i="48"/>
  <c r="K28" i="48"/>
  <c r="K44" i="48"/>
  <c r="K31" i="48"/>
  <c r="K6" i="48"/>
  <c r="K29" i="48"/>
  <c r="K45" i="48"/>
  <c r="K59" i="48"/>
  <c r="K60" i="48"/>
  <c r="K62" i="48"/>
  <c r="K39" i="48"/>
  <c r="K18" i="48"/>
  <c r="K43" i="48"/>
  <c r="K7" i="48"/>
  <c r="K46" i="48"/>
  <c r="K47" i="48"/>
  <c r="K13" i="48"/>
  <c r="K36" i="48"/>
  <c r="K15" i="48"/>
  <c r="K17" i="48"/>
  <c r="K20" i="48"/>
  <c r="K49" i="48"/>
  <c r="K50" i="48"/>
  <c r="K51" i="48"/>
  <c r="K52" i="48"/>
  <c r="K8" i="48"/>
  <c r="K61" i="48"/>
  <c r="K21" i="48"/>
  <c r="K9" i="48"/>
  <c r="K32" i="48"/>
  <c r="K48" i="48"/>
  <c r="K11" i="48"/>
  <c r="K33" i="48"/>
  <c r="K12" i="48"/>
  <c r="K35" i="48"/>
  <c r="K14" i="48"/>
  <c r="K37" i="48"/>
  <c r="K63" i="48"/>
  <c r="K40" i="48"/>
  <c r="K19" i="48"/>
  <c r="K22" i="48"/>
  <c r="X664" i="1" l="1"/>
</calcChain>
</file>

<file path=xl/sharedStrings.xml><?xml version="1.0" encoding="utf-8"?>
<sst xmlns="http://schemas.openxmlformats.org/spreadsheetml/2006/main" count="8152" uniqueCount="845">
  <si>
    <t>Sum of Quotas</t>
  </si>
  <si>
    <t>Sum of Graduates</t>
  </si>
  <si>
    <t>Sum of Fail</t>
  </si>
  <si>
    <t>Sum of No Shows</t>
  </si>
  <si>
    <t>1. Click ^^^</t>
  </si>
  <si>
    <t>Grads+Fails</t>
  </si>
  <si>
    <t>Grads+Fails+NoShows</t>
  </si>
  <si>
    <t>Date Canceled</t>
  </si>
  <si>
    <t>Course Title</t>
  </si>
  <si>
    <t>CIN</t>
  </si>
  <si>
    <t xml:space="preserve">CDP </t>
  </si>
  <si>
    <t>Location</t>
  </si>
  <si>
    <t>Start Date</t>
  </si>
  <si>
    <t>End Date</t>
  </si>
  <si>
    <t>Resident Local Start Time of location</t>
  </si>
  <si>
    <t xml:space="preserve">EST/EDT Local Live Session Start Time </t>
  </si>
  <si>
    <t xml:space="preserve">PST/PDT Local Live Session Start Time </t>
  </si>
  <si>
    <t xml:space="preserve">AST Local Live Session Start Time </t>
  </si>
  <si>
    <t xml:space="preserve">CET/CEST Local Live Session Start Time </t>
  </si>
  <si>
    <t xml:space="preserve">HST Local Live Session Start Time </t>
  </si>
  <si>
    <t xml:space="preserve">JST Local Live Session Start Time </t>
  </si>
  <si>
    <t>Primary Instructor</t>
  </si>
  <si>
    <t>Instructor 2</t>
  </si>
  <si>
    <t>Quotas</t>
  </si>
  <si>
    <t>Course Length (Hours)</t>
  </si>
  <si>
    <t>Course Length (Days)</t>
  </si>
  <si>
    <t>FY25 Need</t>
  </si>
  <si>
    <t>Registered</t>
  </si>
  <si>
    <t>Waitlisted</t>
  </si>
  <si>
    <t>Graduates</t>
  </si>
  <si>
    <t>Fail</t>
  </si>
  <si>
    <t>No Shows</t>
  </si>
  <si>
    <t>Walk-ins</t>
  </si>
  <si>
    <t>Foreign Grads</t>
  </si>
  <si>
    <t>Roster Received By</t>
  </si>
  <si>
    <t>Roster Due</t>
  </si>
  <si>
    <t>Roster Status</t>
  </si>
  <si>
    <t>Remaining Courses</t>
  </si>
  <si>
    <t>Safety Programs Afloat (Resident)</t>
  </si>
  <si>
    <t>A-493-2099</t>
  </si>
  <si>
    <t>438G</t>
  </si>
  <si>
    <t>Mayport, FL</t>
  </si>
  <si>
    <t>Funded</t>
  </si>
  <si>
    <t>EMC Stroughn</t>
  </si>
  <si>
    <t>N1</t>
  </si>
  <si>
    <t>Facility Response Team (FRT) Three Day</t>
  </si>
  <si>
    <t>Great Lakes, IL</t>
  </si>
  <si>
    <t>Unfunded</t>
  </si>
  <si>
    <t>ENV Contractor</t>
  </si>
  <si>
    <t>Facility Response Team (FRT) Five Day</t>
  </si>
  <si>
    <t>Key West, FL</t>
  </si>
  <si>
    <t>Yokosuka, Japan</t>
  </si>
  <si>
    <t>Guam</t>
  </si>
  <si>
    <t xml:space="preserve">Mishap Investigation (Global Online) </t>
  </si>
  <si>
    <t>Global Online</t>
  </si>
  <si>
    <t>T. White</t>
  </si>
  <si>
    <t xml:space="preserve">Introduction to Naval Safety and Occupational Health (Global Online) </t>
  </si>
  <si>
    <t>A-493-0550</t>
  </si>
  <si>
    <t>09K5</t>
  </si>
  <si>
    <t>Asbestos Supervisor Refresher</t>
  </si>
  <si>
    <t>450V</t>
  </si>
  <si>
    <t>Norfolk, VA Classroom 2</t>
  </si>
  <si>
    <t>W. Mitchell</t>
  </si>
  <si>
    <t>Asbestos Inspector Refresher</t>
  </si>
  <si>
    <t>Asbestos Management Planner Refresher</t>
  </si>
  <si>
    <t>Emergency Asbestos Response Team</t>
  </si>
  <si>
    <t>438J</t>
  </si>
  <si>
    <t>B. Jung</t>
  </si>
  <si>
    <t>A-493-0013</t>
  </si>
  <si>
    <t>Bahrain</t>
  </si>
  <si>
    <t>Hazardous Substance Incident Response Management (HSIRM)</t>
  </si>
  <si>
    <t>Washington, DC</t>
  </si>
  <si>
    <t>Industrial Noise</t>
  </si>
  <si>
    <t>0381</t>
  </si>
  <si>
    <t>Colts Neck, NJ</t>
  </si>
  <si>
    <t>Bangor, WA</t>
  </si>
  <si>
    <t>Annapolis, MD</t>
  </si>
  <si>
    <t>Respiratory Protection Program Management</t>
  </si>
  <si>
    <t>Okinawa, Japan</t>
  </si>
  <si>
    <t>LSC Kitivi</t>
  </si>
  <si>
    <t>USMC-Do not spread quotas</t>
  </si>
  <si>
    <t>Pearl Harbor, HI</t>
  </si>
  <si>
    <t>A. Harris</t>
  </si>
  <si>
    <t>Coronado, CA</t>
  </si>
  <si>
    <t>Hazardous Substance Incident Response Management (HSIRM) Refresher</t>
  </si>
  <si>
    <t xml:space="preserve">Tank Managers </t>
  </si>
  <si>
    <t>339E</t>
  </si>
  <si>
    <t>12X3</t>
  </si>
  <si>
    <t>Camp Lejeune, NC</t>
  </si>
  <si>
    <t>Camp Pendleton, CA</t>
  </si>
  <si>
    <t>Camp Butler, Japan</t>
  </si>
  <si>
    <t>Beaufort, SC</t>
  </si>
  <si>
    <t>Cherry Point, NC</t>
  </si>
  <si>
    <t>Iwakuni, Japan</t>
  </si>
  <si>
    <t>Marine Corps Base Hawaii</t>
  </si>
  <si>
    <t>12x3</t>
  </si>
  <si>
    <t>Lemoore, CA</t>
  </si>
  <si>
    <t>Rota, Spain</t>
  </si>
  <si>
    <t>Redzikowo, Poland</t>
  </si>
  <si>
    <t>Oil Hazardous Substance Spill Response Tabletop Exercise (OHS TTX)</t>
  </si>
  <si>
    <t>05ZE</t>
  </si>
  <si>
    <t>San Diego, CA</t>
  </si>
  <si>
    <t>Pensacola, FL</t>
  </si>
  <si>
    <t>Indian Head, MD</t>
  </si>
  <si>
    <t>W. Bailey</t>
  </si>
  <si>
    <t>A-493-3009</t>
  </si>
  <si>
    <t>Deveselu, Romania</t>
  </si>
  <si>
    <t>A-493-3012</t>
  </si>
  <si>
    <t>Mishap Investigation Resident</t>
  </si>
  <si>
    <t>A-493-0078</t>
  </si>
  <si>
    <t>32JF</t>
  </si>
  <si>
    <t>D. Hamilton</t>
  </si>
  <si>
    <t>Bremerton, WA</t>
  </si>
  <si>
    <t>Lauren</t>
  </si>
  <si>
    <t>Newport, RI</t>
  </si>
  <si>
    <t>Chinhae, Korea</t>
  </si>
  <si>
    <t>Souda Bay, Greece</t>
  </si>
  <si>
    <t>Whidbey Island, WA</t>
  </si>
  <si>
    <t>Everett, WA</t>
  </si>
  <si>
    <t>Fallon, NV</t>
  </si>
  <si>
    <t>Point Loma, CA</t>
  </si>
  <si>
    <t>Port Hueneme, CA</t>
  </si>
  <si>
    <t xml:space="preserve">Virginia Beach, VA </t>
  </si>
  <si>
    <t>Yorktown, VA</t>
  </si>
  <si>
    <t>Little Creek, VA</t>
  </si>
  <si>
    <t>Pax River, MD</t>
  </si>
  <si>
    <t>Singapore</t>
  </si>
  <si>
    <t>Crane, IN</t>
  </si>
  <si>
    <t>New London, CT</t>
  </si>
  <si>
    <t>Portsmouth, NH</t>
  </si>
  <si>
    <t>Norfolk, VA Classroom 1</t>
  </si>
  <si>
    <t>Manchester, WA</t>
  </si>
  <si>
    <t>Guantanamo Bay, Cuba</t>
  </si>
  <si>
    <t>Naples, Italy</t>
  </si>
  <si>
    <t>Indian Island, WA</t>
  </si>
  <si>
    <t>PMRF Barking Sands</t>
  </si>
  <si>
    <t>A-493-0092</t>
  </si>
  <si>
    <t>Do not spread quotas. CCA approval required</t>
  </si>
  <si>
    <t xml:space="preserve">Mishap Investigation (Resident) </t>
  </si>
  <si>
    <t>MISHAP Investigation ONLINE</t>
  </si>
  <si>
    <t>ONLINE</t>
  </si>
  <si>
    <t>Fall Protection Program Manager</t>
  </si>
  <si>
    <t>A-493-0099</t>
  </si>
  <si>
    <t>12JW</t>
  </si>
  <si>
    <t>Omline</t>
  </si>
  <si>
    <t>32FJ</t>
  </si>
  <si>
    <t xml:space="preserve">Workplace Inspection </t>
  </si>
  <si>
    <t>TBD</t>
  </si>
  <si>
    <t>S. Griffin</t>
  </si>
  <si>
    <t>Details for Sum of Construction Safety Standards - Location/Course Title: Annapolis, MD</t>
  </si>
  <si>
    <t>Command</t>
  </si>
  <si>
    <t>Location/Course Title</t>
  </si>
  <si>
    <t>Asbestos Inspector</t>
  </si>
  <si>
    <t>Asbestos Management Planner</t>
  </si>
  <si>
    <t>Asbestos Supervisor Initial</t>
  </si>
  <si>
    <t>Competent Person for Fall Protection Course</t>
  </si>
  <si>
    <t xml:space="preserve">Confined Space Safety </t>
  </si>
  <si>
    <t>Construction Safety Standards</t>
  </si>
  <si>
    <t>Facility Response Team Five Day</t>
  </si>
  <si>
    <t>Facility Response Team Three Day</t>
  </si>
  <si>
    <t>Fire Protection &amp; Life Safety</t>
  </si>
  <si>
    <t>Hazardous Substance Incident Response Management</t>
  </si>
  <si>
    <t>Hazardous Substance Incident Response Management  Refresher</t>
  </si>
  <si>
    <t xml:space="preserve">Incident Command System 300 </t>
  </si>
  <si>
    <t>Incident Command System 300 Refresher</t>
  </si>
  <si>
    <t xml:space="preserve">Incident Command System 400 </t>
  </si>
  <si>
    <t>Industrial Noise and Hearing Conservation Program</t>
  </si>
  <si>
    <t xml:space="preserve">Oil Hazardous Substance Spill Response Tabletop Exercise </t>
  </si>
  <si>
    <t>Tank Managers Course</t>
  </si>
  <si>
    <t>Totals</t>
  </si>
  <si>
    <t>USFF</t>
  </si>
  <si>
    <t>NAVFACSYSCOM</t>
  </si>
  <si>
    <t>CNIC HQ Environmental</t>
  </si>
  <si>
    <t>USMC</t>
  </si>
  <si>
    <t>NHHC</t>
  </si>
  <si>
    <t>NETC</t>
  </si>
  <si>
    <t>NAVSUP</t>
  </si>
  <si>
    <t>NAVSEA</t>
  </si>
  <si>
    <t>COMFRC</t>
  </si>
  <si>
    <t>COMPACFLT</t>
  </si>
  <si>
    <t>NAVSPECWARCOM</t>
  </si>
  <si>
    <t>BUMED</t>
  </si>
  <si>
    <t>Details for Sum of Competent Person for Fall Protection Course - Location/Course Title: Atsugi, Japan</t>
  </si>
  <si>
    <t>Atsugi, Japan</t>
  </si>
  <si>
    <t>Details for Sum of AST (Arabian Standard Time) - Course Title/Preferred Time Zone: Occupational Health Program Manager (In Development)</t>
  </si>
  <si>
    <t>Course Title/Preferred Time Zone</t>
  </si>
  <si>
    <t>AST (Arabian Standard Time)</t>
  </si>
  <si>
    <t>CET/CEST (Central European Standard Time)</t>
  </si>
  <si>
    <t>EST/EDT (Eastern Standard Time)</t>
  </si>
  <si>
    <t>HST (Hawaii Standard Time)</t>
  </si>
  <si>
    <t>JST (Japan Standard Time)</t>
  </si>
  <si>
    <t>PST/PDT (Pacific Standard Time)</t>
  </si>
  <si>
    <t>CNIC HQ Safety</t>
  </si>
  <si>
    <t>Occupational Health Program Manager (In Development)</t>
  </si>
  <si>
    <t>Last Update</t>
  </si>
  <si>
    <t>Comments</t>
  </si>
  <si>
    <t xml:space="preserve">Afloat Environmental Protection Coordinator (Global Online) </t>
  </si>
  <si>
    <t>A-4J-0022</t>
  </si>
  <si>
    <t>09ER</t>
  </si>
  <si>
    <t>BMC Sosaya</t>
  </si>
  <si>
    <t xml:space="preserve">Aviation Safety Specialist (Global Online) </t>
  </si>
  <si>
    <t>A-493-0665</t>
  </si>
  <si>
    <t>10KW</t>
  </si>
  <si>
    <t>PG-LS1</t>
  </si>
  <si>
    <t>QTR 1 All Hands @0900</t>
  </si>
  <si>
    <t>Command Function</t>
  </si>
  <si>
    <t>Function</t>
  </si>
  <si>
    <t>Thanksgiving Potluck</t>
  </si>
  <si>
    <t>Christmas Function</t>
  </si>
  <si>
    <t>QTR 2All Hands @0900</t>
  </si>
  <si>
    <t>QTR 3 All Hands @0900/Potluck</t>
  </si>
  <si>
    <t>July 4th Function</t>
  </si>
  <si>
    <t>QTR 4 All Hands @0900</t>
  </si>
  <si>
    <t>Hazardous Material Control and Management [HMC&amp;M] Technician (Global Online)</t>
  </si>
  <si>
    <t>A-322-2604</t>
  </si>
  <si>
    <t>10ZZ</t>
  </si>
  <si>
    <t>PG-LCS</t>
  </si>
  <si>
    <t>Columbus Day</t>
  </si>
  <si>
    <t>Holiday</t>
  </si>
  <si>
    <t>Veterans Day</t>
  </si>
  <si>
    <t>Thanksgiving</t>
  </si>
  <si>
    <t>Christmas Day</t>
  </si>
  <si>
    <t>New Year's Day</t>
  </si>
  <si>
    <t>MLK Day</t>
  </si>
  <si>
    <t>Washington's Birthday</t>
  </si>
  <si>
    <t>Memorial Day</t>
  </si>
  <si>
    <t>Juneteenth</t>
  </si>
  <si>
    <t>Independence Day</t>
  </si>
  <si>
    <t>Labor Day</t>
  </si>
  <si>
    <t>Operational Risk Management Application &amp; Integration (Global Online)</t>
  </si>
  <si>
    <t>A-570-0100</t>
  </si>
  <si>
    <t>18B7</t>
  </si>
  <si>
    <t>PDS Prep Week</t>
  </si>
  <si>
    <t>Professional Development Symposium</t>
  </si>
  <si>
    <t>PDS</t>
  </si>
  <si>
    <t>PDS Week</t>
  </si>
  <si>
    <t xml:space="preserve">Safety Programs Afloat (Global Online) </t>
  </si>
  <si>
    <t>A-493-2098</t>
  </si>
  <si>
    <t>09WW</t>
  </si>
  <si>
    <t xml:space="preserve">Submarine Safety Officer (Global Online) </t>
  </si>
  <si>
    <t>F-4J-0023</t>
  </si>
  <si>
    <t>11A2</t>
  </si>
  <si>
    <t>LTJG Andrew</t>
  </si>
  <si>
    <t>Total</t>
  </si>
  <si>
    <t>A-493-0072</t>
  </si>
  <si>
    <t>713U</t>
  </si>
  <si>
    <t>A-493-0015</t>
  </si>
  <si>
    <t>A-493-0020</t>
  </si>
  <si>
    <t>A-493-0070</t>
  </si>
  <si>
    <t xml:space="preserve">Introduction to Hazardous Materials [Ashore] (Global Online) </t>
  </si>
  <si>
    <t>A-493-0331</t>
  </si>
  <si>
    <t>10UG</t>
  </si>
  <si>
    <t xml:space="preserve">Introduction to Industrial Hygiene for Safety Professionals (Global Online) </t>
  </si>
  <si>
    <t>A-493-0335</t>
  </si>
  <si>
    <t>09ND</t>
  </si>
  <si>
    <t>Navy Ergonomics Program (Global Online)</t>
  </si>
  <si>
    <t>A-493-0085</t>
  </si>
  <si>
    <t>Gulfport, MS</t>
  </si>
  <si>
    <t>Jacksonville, FL</t>
  </si>
  <si>
    <t>New Orleans, LA</t>
  </si>
  <si>
    <t>A-493-0014</t>
  </si>
  <si>
    <t xml:space="preserve">Asbestos Management Planner </t>
  </si>
  <si>
    <t>A-493-0019</t>
  </si>
  <si>
    <t>A-493-0069</t>
  </si>
  <si>
    <t>450U</t>
  </si>
  <si>
    <t>9/10/20245</t>
  </si>
  <si>
    <t>Need Location</t>
  </si>
  <si>
    <t>D. Rodriguez</t>
  </si>
  <si>
    <t>Seabees Gulfport special conveing</t>
  </si>
  <si>
    <t>Date Change</t>
  </si>
  <si>
    <t>Seabees Port Hueneme special conveing</t>
  </si>
  <si>
    <t xml:space="preserve">General Industry Safety Standards (Global Online) </t>
  </si>
  <si>
    <t>A-493-0061</t>
  </si>
  <si>
    <t>288E</t>
  </si>
  <si>
    <t>V. Kentish</t>
  </si>
  <si>
    <t>Fall Protection Program Manager Course (Global Online)</t>
  </si>
  <si>
    <t>Competent Person for Fall Protection Course (Resident)</t>
  </si>
  <si>
    <t>A-493-0103</t>
  </si>
  <si>
    <t>12JY</t>
  </si>
  <si>
    <t>Norfolk, VA</t>
  </si>
  <si>
    <t>SOH Contractor</t>
  </si>
  <si>
    <t>Baltimore, MD</t>
  </si>
  <si>
    <t>Fire Protection and Life Safety</t>
  </si>
  <si>
    <t xml:space="preserve">A-493-0075 </t>
  </si>
  <si>
    <t>714U</t>
  </si>
  <si>
    <t>A-493-0021</t>
  </si>
  <si>
    <t>18BN</t>
  </si>
  <si>
    <t xml:space="preserve">Seabees Gulfport special convening </t>
  </si>
  <si>
    <t xml:space="preserve">Machinery and Machine Guarding Standards (Global Online) </t>
  </si>
  <si>
    <t>A-493-0073</t>
  </si>
  <si>
    <t>714S</t>
  </si>
  <si>
    <t>Last Update: 5/22/2024</t>
  </si>
  <si>
    <t>5/5/2025</t>
  </si>
  <si>
    <t>5/9/2025</t>
  </si>
  <si>
    <t>M. Lacayo</t>
  </si>
  <si>
    <t>K. Seo</t>
  </si>
  <si>
    <t>A-493-0012</t>
  </si>
  <si>
    <t>Diego Garcia</t>
  </si>
  <si>
    <t>Panama City, FL</t>
  </si>
  <si>
    <t>Key West, FL (CNRSE)</t>
  </si>
  <si>
    <t>Sasebo, Japan</t>
  </si>
  <si>
    <t>Kings Bay, GA</t>
  </si>
  <si>
    <t>CFA YOKOSUKA</t>
  </si>
  <si>
    <t>Groton, CT</t>
  </si>
  <si>
    <t>Manchester, WA (CNRMA)</t>
  </si>
  <si>
    <t>6/23/205</t>
  </si>
  <si>
    <t>Naval Base Point Loma</t>
  </si>
  <si>
    <t>Naval Station Rota</t>
  </si>
  <si>
    <t>NSA Souda Bay</t>
  </si>
  <si>
    <t>MCB Hawaii</t>
  </si>
  <si>
    <t>MCAS Beaufort</t>
  </si>
  <si>
    <t>Andros, Bahamas (CNRSE)</t>
  </si>
  <si>
    <t>Andros, Bahamas</t>
  </si>
  <si>
    <t>NAVSUP FLCS</t>
  </si>
  <si>
    <t>NAVSUP FLCY</t>
  </si>
  <si>
    <t>Hakozaki, Japan</t>
  </si>
  <si>
    <t>NAVSUP FLCY (1-2 &amp; 5 May)</t>
  </si>
  <si>
    <t>Tsurumi, Japan</t>
  </si>
  <si>
    <t>NAF Atsugi</t>
  </si>
  <si>
    <t>Norfolk Naval Shipyard (NCRMA)</t>
  </si>
  <si>
    <t>Norfolk Naval Shipyard</t>
  </si>
  <si>
    <t>Hachinohe, Japan</t>
  </si>
  <si>
    <t>Virginia Beach, VA</t>
  </si>
  <si>
    <t>NSA Annapolis</t>
  </si>
  <si>
    <t>Kekaha, HI (Barking Sand)</t>
  </si>
  <si>
    <t xml:space="preserve">NBVC Port Hueneme </t>
  </si>
  <si>
    <t>NALF San Clemente Island</t>
  </si>
  <si>
    <t>San Clemente Island, CA</t>
  </si>
  <si>
    <t>NSA Gaeta</t>
  </si>
  <si>
    <t>MCAS Cherry Point</t>
  </si>
  <si>
    <t>A-493-0077</t>
  </si>
  <si>
    <t>Naval Support Facility Diego Garcia (UIC: N68539)</t>
  </si>
  <si>
    <t>Eastern Time Zone</t>
  </si>
  <si>
    <t>A-493-0083</t>
  </si>
  <si>
    <t>Central Europe Focused</t>
  </si>
  <si>
    <t>Pacific Time Zone Focused</t>
  </si>
  <si>
    <r>
      <t>Japan Time Zone Focused   (</t>
    </r>
    <r>
      <rPr>
        <sz val="11"/>
        <color rgb="FFFF0000"/>
        <rFont val="Calibri"/>
        <family val="2"/>
        <scheme val="minor"/>
      </rPr>
      <t>EDT 1900hr on 6/9/2025</t>
    </r>
    <r>
      <rPr>
        <sz val="11"/>
        <color rgb="FF000000"/>
        <rFont val="Calibri"/>
        <family val="2"/>
        <scheme val="minor"/>
      </rPr>
      <t>)</t>
    </r>
  </si>
  <si>
    <t>Incident Command System 300 (ICS 300)</t>
  </si>
  <si>
    <t>A-493-2300</t>
  </si>
  <si>
    <t>993F</t>
  </si>
  <si>
    <t>`</t>
  </si>
  <si>
    <t>Incident Command System 300 (ICS 300) Refresher</t>
  </si>
  <si>
    <t>A-493-2301</t>
  </si>
  <si>
    <t>05ZD</t>
  </si>
  <si>
    <t>Incident Command System 400 (ICS 400)</t>
  </si>
  <si>
    <t>A-493-0216</t>
  </si>
  <si>
    <t>12X8</t>
  </si>
  <si>
    <t>Singapore Area Coordinator</t>
  </si>
  <si>
    <t>A-493-2501</t>
  </si>
  <si>
    <t>Yorktown NWS (NCRSE)</t>
  </si>
  <si>
    <t>A-493-2017</t>
  </si>
  <si>
    <t>Details for Sum of Incident Command System 300  - Location/Course Title: Corpus Christi, TX, Command: BUMED (+)</t>
  </si>
  <si>
    <t>Corpus Christi, TX</t>
  </si>
  <si>
    <t>Planning</t>
  </si>
  <si>
    <t>Need</t>
  </si>
  <si>
    <t>Row Labels</t>
  </si>
  <si>
    <t>Total Planned Quotas in location</t>
  </si>
  <si>
    <t>FY26 Quota Need</t>
  </si>
  <si>
    <t>Norfolk, VA Other</t>
  </si>
  <si>
    <t>Seal Beach, CA</t>
  </si>
  <si>
    <t>Grand Total</t>
  </si>
  <si>
    <t>Start of the FY 26</t>
  </si>
  <si>
    <t>Progress during FY 26</t>
  </si>
  <si>
    <t>Info</t>
  </si>
  <si>
    <t>Courses - Planned vs Need (Active Courses)</t>
  </si>
  <si>
    <t>CTR</t>
  </si>
  <si>
    <t>Dept</t>
  </si>
  <si>
    <t>Course Offerings</t>
  </si>
  <si>
    <t>Quota per Offering</t>
  </si>
  <si>
    <t>Planned Quotas</t>
  </si>
  <si>
    <t>Fleet Quota Need</t>
  </si>
  <si>
    <t>Difference</t>
  </si>
  <si>
    <t>%</t>
  </si>
  <si>
    <t>Total Grads</t>
  </si>
  <si>
    <t>Total Registered</t>
  </si>
  <si>
    <t>Total Waitlisted</t>
  </si>
  <si>
    <t>Total Walk-in</t>
  </si>
  <si>
    <t>To date quotas unused (Open quotas+ no shows)</t>
  </si>
  <si>
    <t>Sunk Courses due to unused quotas todate</t>
  </si>
  <si>
    <t>Grads needed this FY towards planned quotas</t>
  </si>
  <si>
    <t># of course completion reports to be processed</t>
  </si>
  <si>
    <t># of courses remaining</t>
  </si>
  <si>
    <t>To date % of graduates towards Fleet Need</t>
  </si>
  <si>
    <t>% of available quotas used</t>
  </si>
  <si>
    <t>% of available quotas used counting in no shows</t>
  </si>
  <si>
    <t>Remaining FY26  4 Open Quotas</t>
  </si>
  <si>
    <t># of additional grads if all quotas are filled of course results remaining to be processed</t>
  </si>
  <si>
    <t>Difference between completed and fleet need of completed, potentially remaining quotas, and processed courses</t>
  </si>
  <si>
    <t>N4</t>
  </si>
  <si>
    <t>Asbestos Inspector Initial</t>
  </si>
  <si>
    <t>N3</t>
  </si>
  <si>
    <t>Asbestos Management Planner Initial</t>
  </si>
  <si>
    <t>N8</t>
  </si>
  <si>
    <t>y</t>
  </si>
  <si>
    <t>N5</t>
  </si>
  <si>
    <t>Confined Space Safety</t>
  </si>
  <si>
    <t>Risk Management Information: Confined Space (non-maritime)</t>
  </si>
  <si>
    <t>Risk Management Information: Data Analytics</t>
  </si>
  <si>
    <t>Risk Management Information: Hazard Management Module in RMI</t>
  </si>
  <si>
    <t>Risk Management Information: Inspections- Program Assessment</t>
  </si>
  <si>
    <t>Risk Management Information: Inspections- Workplace Inspection</t>
  </si>
  <si>
    <t>Risk Management Information: Investigations Module in RMI</t>
  </si>
  <si>
    <t>Risk Management Information: Job Hazard Analysis</t>
  </si>
  <si>
    <t>Risk Management Information: Manage Personnel (Core Plus Creator)</t>
  </si>
  <si>
    <t>Risk Management Information: Manage Personnel (License Issuing Official)</t>
  </si>
  <si>
    <t>Risk Management Information: Manage Personnel (Supervisor)</t>
  </si>
  <si>
    <t>Risk Management Information: Medical Surveillance Coordinator</t>
  </si>
  <si>
    <t>Risk Management Information: Memorandum of Final Evaluation (MOFE) in RMI</t>
  </si>
  <si>
    <t>Risk Management Information: Motorcycle Unit Safety Tracking Tool (MUSTT)</t>
  </si>
  <si>
    <t>Risk Management Information: OSHA Events Module in RMI</t>
  </si>
  <si>
    <t>Risk Management Information: Quality Assurance</t>
  </si>
  <si>
    <t>Risk Management Information: Supervisors Reporting</t>
  </si>
  <si>
    <t>Risk Management Information: Training</t>
  </si>
  <si>
    <t>Risk Management Information: User Administrator</t>
  </si>
  <si>
    <t>Safety Managers Course</t>
  </si>
  <si>
    <t xml:space="preserve">Do not change the red cells. If you accidently change, please let Amanda know as soon as the change happens. </t>
  </si>
  <si>
    <t>CDP</t>
  </si>
  <si>
    <t>Funding Status</t>
  </si>
  <si>
    <t xml:space="preserve"> Support</t>
  </si>
  <si>
    <t>FY26 Need</t>
  </si>
  <si>
    <t>Roster Received by</t>
  </si>
  <si>
    <t>1 Instructor</t>
  </si>
  <si>
    <t>2 Instructors</t>
  </si>
  <si>
    <t>Open Quotas</t>
  </si>
  <si>
    <t>QTR</t>
  </si>
  <si>
    <t>Department</t>
  </si>
  <si>
    <t>Unused quotas</t>
  </si>
  <si>
    <t>N. DeCastro</t>
  </si>
  <si>
    <t>NW</t>
  </si>
  <si>
    <t>AK</t>
  </si>
  <si>
    <t>USMC Special Convening</t>
  </si>
  <si>
    <t>SB</t>
  </si>
  <si>
    <t>LS1 Scoggins</t>
  </si>
  <si>
    <t>LT Bozenski</t>
  </si>
  <si>
    <t>N/A</t>
  </si>
  <si>
    <t>All Hands</t>
  </si>
  <si>
    <t>AC</t>
  </si>
  <si>
    <t>A. Hardy</t>
  </si>
  <si>
    <t>OH Contractor</t>
  </si>
  <si>
    <t>R. Hartel</t>
  </si>
  <si>
    <t>ABEAN</t>
  </si>
  <si>
    <t>C. Gum</t>
  </si>
  <si>
    <t>AC1</t>
  </si>
  <si>
    <t>Norfolk, VA Safety Command</t>
  </si>
  <si>
    <t>J. Wilson</t>
  </si>
  <si>
    <t>M. Bailey</t>
  </si>
  <si>
    <t>Naval Base San Diego</t>
  </si>
  <si>
    <t>Holiday Breakfast @ 0800</t>
  </si>
  <si>
    <t xml:space="preserve">Pilot Course </t>
  </si>
  <si>
    <t>Training at 0900</t>
  </si>
  <si>
    <t>G. Jester</t>
  </si>
  <si>
    <t>Nicole</t>
  </si>
  <si>
    <t>POC: william.l.jesse3.mil@us.navy.mil</t>
  </si>
  <si>
    <t>Classroom Reserved</t>
  </si>
  <si>
    <t>NUWC Autec</t>
  </si>
  <si>
    <t xml:space="preserve">36 Walk-in students no DOD/FINs were provided. Course removed from eNTRS due to not having a DOD ID to process. </t>
  </si>
  <si>
    <t>Diego Garcia (Virtual)</t>
  </si>
  <si>
    <t>NBVC Port Hueneme</t>
  </si>
  <si>
    <t>Naval Station Mayport</t>
  </si>
  <si>
    <t>CFA Sasebo</t>
  </si>
  <si>
    <t>DFSP Sasebo</t>
  </si>
  <si>
    <t>Naval Station Guantanamo Bay</t>
  </si>
  <si>
    <t>LT Kasun</t>
  </si>
  <si>
    <t>NSB Kings Bay</t>
  </si>
  <si>
    <t>NSA Panama City</t>
  </si>
  <si>
    <t>USS PATRICK HENRY (DDG-127) SRF-B</t>
  </si>
  <si>
    <t>AC1 Engleking</t>
  </si>
  <si>
    <t>Sigonella, Italy</t>
  </si>
  <si>
    <t>QTR 3 All Hands @0900</t>
  </si>
  <si>
    <t>CFA Yokosuka</t>
  </si>
  <si>
    <t>AIRFORCE SPECIAL CONVENING Tank Managers – U.S. Funded Course, Quota will not be open</t>
  </si>
  <si>
    <t>Spangdahlem Air Base (SAB), Germany</t>
  </si>
  <si>
    <t xml:space="preserve">Funded </t>
  </si>
  <si>
    <t>NSN-PWD-ENV Training POC: kathryn.f.sklat.civ@us.navy.mil</t>
  </si>
  <si>
    <t>Naval Station Rota Spain</t>
  </si>
  <si>
    <t>Special convening Gulfport SeaBees</t>
  </si>
  <si>
    <t>DFSP Hakozaki</t>
  </si>
  <si>
    <t>MCAS Miramar</t>
  </si>
  <si>
    <t>DFSP Tsurumi</t>
  </si>
  <si>
    <t>Special convening SeaBees</t>
  </si>
  <si>
    <t>MCAS Yuma, AZ</t>
  </si>
  <si>
    <t>DFSP Hachinohe</t>
  </si>
  <si>
    <t>Course Length is 5 Days</t>
  </si>
  <si>
    <t>M. Logan</t>
  </si>
  <si>
    <t>BMC Kindrick</t>
  </si>
  <si>
    <t xml:space="preserve">Evening Class </t>
  </si>
  <si>
    <t>Naval Safety Command ED</t>
  </si>
  <si>
    <t>Seabees convening plus 11 students</t>
  </si>
  <si>
    <t xml:space="preserve">Risk Management Information: SAFEREP (Entry) </t>
  </si>
  <si>
    <t xml:space="preserve">Risk Management Information: SAFEREP (Triage) </t>
  </si>
  <si>
    <t>CECOS HAZWOPER POC: alicia.p.thompson.civ@us.navy.mil</t>
  </si>
  <si>
    <t xml:space="preserve">Risk Management Information: Respiratory Protection </t>
  </si>
  <si>
    <t>Amy</t>
  </si>
  <si>
    <t>Pilot Course 2</t>
  </si>
  <si>
    <t xml:space="preserve"> </t>
  </si>
  <si>
    <t>Days</t>
  </si>
  <si>
    <t>Hours</t>
  </si>
  <si>
    <t>Instructor #1</t>
  </si>
  <si>
    <t>Instructor #2</t>
  </si>
  <si>
    <t>Instructor #3</t>
  </si>
  <si>
    <t>Format</t>
  </si>
  <si>
    <t>Live Session Start Time ET</t>
  </si>
  <si>
    <t>Military Support</t>
  </si>
  <si>
    <t>Afloat Environmental Protection Coordinator (Resident)</t>
  </si>
  <si>
    <t xml:space="preserve"> A-4J-0021</t>
  </si>
  <si>
    <t xml:space="preserve"> 430U</t>
  </si>
  <si>
    <t xml:space="preserve">ABF3 </t>
  </si>
  <si>
    <t>LTJG Bozenski</t>
  </si>
  <si>
    <t>Resident</t>
  </si>
  <si>
    <t xml:space="preserve">ABH3 </t>
  </si>
  <si>
    <t>SK</t>
  </si>
  <si>
    <t>Bath, ME</t>
  </si>
  <si>
    <t>CDR Barrus</t>
  </si>
  <si>
    <t>Aviation Safety Specialist</t>
  </si>
  <si>
    <t>A-493-0065</t>
  </si>
  <si>
    <t>399A</t>
  </si>
  <si>
    <t>CDR Schaal</t>
  </si>
  <si>
    <t>Marie</t>
  </si>
  <si>
    <t>CDR Schaal + CDR Barrus</t>
  </si>
  <si>
    <t>Amanda</t>
  </si>
  <si>
    <t xml:space="preserve">Basic Laser Safety Officer </t>
  </si>
  <si>
    <t>A-493-0030</t>
  </si>
  <si>
    <t>286X</t>
  </si>
  <si>
    <t>Electrical Standards</t>
  </si>
  <si>
    <t>A-493-0033</t>
  </si>
  <si>
    <t>287A</t>
  </si>
  <si>
    <t>ETVCS Zellman</t>
  </si>
  <si>
    <t>A-760-2166</t>
  </si>
  <si>
    <t>FTC Sosa</t>
  </si>
  <si>
    <t xml:space="preserve">Competent Person for Fall Protection Course (Global Online) </t>
  </si>
  <si>
    <t>LT Andrew</t>
  </si>
  <si>
    <t>Hazardous Material Control and Management [HMC&amp;M] Technician (Resident)</t>
  </si>
  <si>
    <t>A-322-2600</t>
  </si>
  <si>
    <t>438D</t>
  </si>
  <si>
    <t>Introduction to Industrial Hygiene for Safety Professionals (Resident)</t>
  </si>
  <si>
    <t>A-493-0035</t>
  </si>
  <si>
    <t>287C</t>
  </si>
  <si>
    <t>TMC Newman</t>
  </si>
  <si>
    <t>Introduction to Naval Safety and Occupational Health (Resident)</t>
  </si>
  <si>
    <t>A-493-0050</t>
  </si>
  <si>
    <t>287T</t>
  </si>
  <si>
    <t>Kekaha, HI (Barking Sands)</t>
  </si>
  <si>
    <t>Kingsville, TX</t>
  </si>
  <si>
    <t>A-493-0778</t>
  </si>
  <si>
    <t>MARFORRES</t>
  </si>
  <si>
    <t>Marianas</t>
  </si>
  <si>
    <t>A-4J-0019</t>
  </si>
  <si>
    <t>28SL/285M</t>
  </si>
  <si>
    <t>MCAB Fuji, JP</t>
  </si>
  <si>
    <t xml:space="preserve">Staff Training </t>
  </si>
  <si>
    <t>Staff</t>
  </si>
  <si>
    <t>TSD</t>
  </si>
  <si>
    <t>MCAS New River, NC</t>
  </si>
  <si>
    <t>Submarine Safety Officer</t>
  </si>
  <si>
    <t>F-4J-0020</t>
  </si>
  <si>
    <t>961Z</t>
  </si>
  <si>
    <t>MCB Mujuk, Korea</t>
  </si>
  <si>
    <t>Misawa, Japan</t>
  </si>
  <si>
    <t>NAVFAC MIDLANT</t>
  </si>
  <si>
    <t>Reserved</t>
  </si>
  <si>
    <t xml:space="preserve">Reserved </t>
  </si>
  <si>
    <t>A-493-3018</t>
  </si>
  <si>
    <t>31YM</t>
  </si>
  <si>
    <t>A-493-3005</t>
  </si>
  <si>
    <t>31V7</t>
  </si>
  <si>
    <t>A-493-3004</t>
  </si>
  <si>
    <t>31V6</t>
  </si>
  <si>
    <t>A-493-3011</t>
  </si>
  <si>
    <t>31VD</t>
  </si>
  <si>
    <t>A-493-3010</t>
  </si>
  <si>
    <t>31VC</t>
  </si>
  <si>
    <t>A-493-3002</t>
  </si>
  <si>
    <t>31V4</t>
  </si>
  <si>
    <t>A-493-3017</t>
  </si>
  <si>
    <t>31YL</t>
  </si>
  <si>
    <t>Oceana,VA</t>
  </si>
  <si>
    <t>A-493-3013</t>
  </si>
  <si>
    <t>31YG</t>
  </si>
  <si>
    <t>A-493-3014</t>
  </si>
  <si>
    <t>31Yh</t>
  </si>
  <si>
    <t>Ownings Mills, MD</t>
  </si>
  <si>
    <t>A-493-3015</t>
  </si>
  <si>
    <t>31YJ</t>
  </si>
  <si>
    <t>A-493-3016</t>
  </si>
  <si>
    <t>31Yk</t>
  </si>
  <si>
    <t>A-493-3003</t>
  </si>
  <si>
    <t>31V5</t>
  </si>
  <si>
    <t>A-493-3008</t>
  </si>
  <si>
    <t>31VA</t>
  </si>
  <si>
    <t>A-493-3001</t>
  </si>
  <si>
    <t>31V3</t>
  </si>
  <si>
    <t>Philadelphia, PA</t>
  </si>
  <si>
    <t>A-493-3006</t>
  </si>
  <si>
    <t>31V8</t>
  </si>
  <si>
    <t>31YF</t>
  </si>
  <si>
    <t>31VB</t>
  </si>
  <si>
    <t>Point Mugu, CA</t>
  </si>
  <si>
    <t>A-493-3007</t>
  </si>
  <si>
    <t>31V9</t>
  </si>
  <si>
    <t xml:space="preserve">A-493-3019 </t>
  </si>
  <si>
    <t>33D9</t>
  </si>
  <si>
    <t xml:space="preserve">A-493-3020 </t>
  </si>
  <si>
    <t>33DA</t>
  </si>
  <si>
    <t xml:space="preserve">A-493-2021 </t>
  </si>
  <si>
    <t>33DB</t>
  </si>
  <si>
    <t>Workplace Inspectors Course (In Development)</t>
  </si>
  <si>
    <t>Portsmouth, MA</t>
  </si>
  <si>
    <t>Portsmouth, VA</t>
  </si>
  <si>
    <t>Puget Sound Manchester, WA</t>
  </si>
  <si>
    <t>Puget Sound, WA</t>
  </si>
  <si>
    <t>Quantico, VA</t>
  </si>
  <si>
    <t>Sam Houston, TX</t>
  </si>
  <si>
    <t>San Nicolas Island, CA</t>
  </si>
  <si>
    <t>Saratoga Springs, NY</t>
  </si>
  <si>
    <t>Tinker AFB, OK</t>
  </si>
  <si>
    <t>Twenty-nine Palms, CA</t>
  </si>
  <si>
    <t>Ventura County, CA</t>
  </si>
  <si>
    <t>White Sands, NM</t>
  </si>
  <si>
    <t>Whiting Field, FL</t>
  </si>
  <si>
    <t>USS NIMITZ (CVN 68)</t>
  </si>
  <si>
    <t>Details for Sum of CET/CEST - Course Title/Preferred Time Zone: Aviation Safety Specialist  (Global Online), Command: BUMED (+)</t>
  </si>
  <si>
    <t>AST</t>
  </si>
  <si>
    <t>CET/CEST</t>
  </si>
  <si>
    <t>EST/EDT</t>
  </si>
  <si>
    <t>HST</t>
  </si>
  <si>
    <t>JST</t>
  </si>
  <si>
    <t xml:space="preserve">PST/PDT </t>
  </si>
  <si>
    <t>Aviation Safety Specialist  (Global Online)</t>
  </si>
  <si>
    <t>NAWCWD</t>
  </si>
  <si>
    <t>Naval Supply Systems Command</t>
  </si>
  <si>
    <t>C3F</t>
  </si>
  <si>
    <t>CNAP</t>
  </si>
  <si>
    <t>CNIC</t>
  </si>
  <si>
    <t>Commander, Naval Legal Service Command</t>
  </si>
  <si>
    <t>Commander, Navy Reserve Command</t>
  </si>
  <si>
    <t>COMNAVSURFPAC N54</t>
  </si>
  <si>
    <t>COMNAVSURFPAC</t>
  </si>
  <si>
    <t>COMSUBPAC</t>
  </si>
  <si>
    <t>Commander, Naval District Washington</t>
  </si>
  <si>
    <t>Navy and Marine Corps Force Health Protection Command</t>
  </si>
  <si>
    <t>U.S. SEVENTH Fleet</t>
  </si>
  <si>
    <t>Navy Munitions Command Pacific CONUS West Division</t>
  </si>
  <si>
    <t>USNMRTC Sigonella, Italy</t>
  </si>
  <si>
    <t>US Fleet Forces</t>
  </si>
  <si>
    <t>SSP</t>
  </si>
  <si>
    <t>PACFLT</t>
  </si>
  <si>
    <t xml:space="preserve">OPTEVFOR </t>
  </si>
  <si>
    <t>Officer In Charge of Construction, PNSY</t>
  </si>
  <si>
    <t>NMRTC Naples</t>
  </si>
  <si>
    <t>MNRTC QUANTCO</t>
  </si>
  <si>
    <t>NMRTC Jacksonville (including NMRTU Kings Bay, Mayport and Albany)</t>
  </si>
  <si>
    <t xml:space="preserve">NAWCAD </t>
  </si>
  <si>
    <t>NMRTC CL/NMC Camp Lejeune</t>
  </si>
  <si>
    <t>Commander Fleet Readiness Centers</t>
  </si>
  <si>
    <t>NAVY MEDICINE OPERATIONAL TRAINING COMMAND</t>
  </si>
  <si>
    <t>Naval Information Warfare Center (NIWC) Pacific</t>
  </si>
  <si>
    <t>Naval Hospital Rota, Spain</t>
  </si>
  <si>
    <t>NAVFAC FE</t>
  </si>
  <si>
    <t>Naval Information Warfare Systems (NAVWAR)</t>
  </si>
  <si>
    <t>Naval Sea Systems Command</t>
  </si>
  <si>
    <t>Naval Facilities Engineering Systems Command</t>
  </si>
  <si>
    <t>NAVFAC Marianas</t>
  </si>
  <si>
    <t>NAVFAC Washington</t>
  </si>
  <si>
    <t>NAVFAC HI</t>
  </si>
  <si>
    <t>NAVFAC PWD CLDJ</t>
  </si>
  <si>
    <t>Naval Air Systems Command</t>
  </si>
  <si>
    <t>USNMRTC GUANTANAMO BAY</t>
  </si>
  <si>
    <t>Marine Corps</t>
  </si>
  <si>
    <t>Navy Medicine Readiness and Training Command Charleston</t>
  </si>
  <si>
    <t>Southeast</t>
  </si>
  <si>
    <t>NAVMEDREADTRNCMD NEW ENGLAND NEWPORT RI</t>
  </si>
  <si>
    <t>NMRTC Portsmouth</t>
  </si>
  <si>
    <t>NMRTC Patuxent River</t>
  </si>
  <si>
    <t>NMRTC Corpus Christi</t>
  </si>
  <si>
    <t>Naval Medical Readiness Logistics Command</t>
  </si>
  <si>
    <t>NMFP</t>
  </si>
  <si>
    <t>NIWC LANT</t>
  </si>
  <si>
    <t>Naval Education and Training Command (NETC)</t>
  </si>
  <si>
    <t>NAVMEDFORLANT</t>
  </si>
  <si>
    <t>NMRTC Beaufort, Beaufort SC</t>
  </si>
  <si>
    <t xml:space="preserve">NAVFAC MIDLANT </t>
  </si>
  <si>
    <t>U.S. Fleet Cyber Command (N00055)</t>
  </si>
  <si>
    <t>Course</t>
  </si>
  <si>
    <t>FY26 Total Courses</t>
  </si>
  <si>
    <t>FY26 Quota Per course</t>
  </si>
  <si>
    <t>FY26 Grads</t>
  </si>
  <si>
    <t>FY26 Fails</t>
  </si>
  <si>
    <t>FY26 No Shows</t>
  </si>
  <si>
    <t>FY26 Average Class Size</t>
  </si>
  <si>
    <t>FY26 FLT Quota Need</t>
  </si>
  <si>
    <t>FY26 NSETC % towards fleet need</t>
  </si>
  <si>
    <t>Column3</t>
  </si>
  <si>
    <t>FY25 Total Courses</t>
  </si>
  <si>
    <t>FY25 Quota Per Course</t>
  </si>
  <si>
    <t>FY25 Grads</t>
  </si>
  <si>
    <t>FY25 Fails</t>
  </si>
  <si>
    <t>FY25 No Shows</t>
  </si>
  <si>
    <t>FY25 Average class size</t>
  </si>
  <si>
    <t>FY25 FLT Quota Need</t>
  </si>
  <si>
    <t>FY25 NSETC % towards fleet need</t>
  </si>
  <si>
    <t>Quotas: All Data</t>
  </si>
  <si>
    <t>Courses Needed: All Data</t>
  </si>
  <si>
    <t>Column1</t>
  </si>
  <si>
    <t>FY24 Total Courses</t>
  </si>
  <si>
    <t>FY24 Quotas Per Course</t>
  </si>
  <si>
    <t>FY24 Grads</t>
  </si>
  <si>
    <t>FY24 Fails</t>
  </si>
  <si>
    <t>FY24 Average class size</t>
  </si>
  <si>
    <t>FY24 FLT Quota Need</t>
  </si>
  <si>
    <t>FY24 NSETC % towards fleet need</t>
  </si>
  <si>
    <t>Column2</t>
  </si>
  <si>
    <t>FY23 Total Courses</t>
  </si>
  <si>
    <t>FY23 Quotas Per Course</t>
  </si>
  <si>
    <t>FY23 Grads</t>
  </si>
  <si>
    <t>FY23 Fails</t>
  </si>
  <si>
    <t>FY23 Average class size</t>
  </si>
  <si>
    <t>FY23 FLT Quota Need</t>
  </si>
  <si>
    <t>FY23 NSETC % towards fleet need</t>
  </si>
  <si>
    <t>Column122</t>
  </si>
  <si>
    <t>FY22 Total Courses</t>
  </si>
  <si>
    <t>FY22 Quotas Per Course</t>
  </si>
  <si>
    <t>FY22 Grads</t>
  </si>
  <si>
    <t>FY22 Fails</t>
  </si>
  <si>
    <t>FY22 Average class size</t>
  </si>
  <si>
    <t>FY22 FLT Quota Need</t>
  </si>
  <si>
    <t>FY22 NSETC % towards fleet need</t>
  </si>
  <si>
    <t>Course2</t>
  </si>
  <si>
    <t>(All)</t>
  </si>
  <si>
    <t>Sum of AST</t>
  </si>
  <si>
    <t>Sum of CET/CEST</t>
  </si>
  <si>
    <t>Sum of EST/EDT</t>
  </si>
  <si>
    <t>Sum of HST</t>
  </si>
  <si>
    <t>Sum of JST</t>
  </si>
  <si>
    <t xml:space="preserve">Sum of PST/PDT </t>
  </si>
  <si>
    <t>Sum</t>
  </si>
  <si>
    <t>Fall Protection Program Manager (Global Online)</t>
  </si>
  <si>
    <t>General Industry Safety Standards  (Global Online)</t>
  </si>
  <si>
    <t>Hazardous Material Control and Management (HMC&amp;M) Technician  (Global Online)</t>
  </si>
  <si>
    <t>Introduction to Hazardous Materials Ashore  (Global Online)</t>
  </si>
  <si>
    <t>Introduction to Industrial Hygiene for Safety Professionals  (Global Online)</t>
  </si>
  <si>
    <t>Introduction to Naval Safety and Occupational Health (Global Online)</t>
  </si>
  <si>
    <t>Machinery &amp; Machine Guarding Standards  (Global Online)</t>
  </si>
  <si>
    <t>Mishap Investigation  (Global Online)</t>
  </si>
  <si>
    <t>Operational Risk Management Application &amp; Integration Course  (Global Online)</t>
  </si>
  <si>
    <t>Safety Programs Afloat  (Global Online)</t>
  </si>
  <si>
    <t>Submarine Safety Officer  (Global Online)</t>
  </si>
  <si>
    <t>Column Labels</t>
  </si>
  <si>
    <t>Values</t>
  </si>
  <si>
    <t>Albany, GA</t>
  </si>
  <si>
    <t xml:space="preserve">Bahrain </t>
  </si>
  <si>
    <t>Camp Lemonnier, Dijbouti</t>
  </si>
  <si>
    <t>Camp Mujuk</t>
  </si>
  <si>
    <t>China Lake, CA</t>
  </si>
  <si>
    <t>Dalhgren, VA</t>
  </si>
  <si>
    <t>El Centro, CA</t>
  </si>
  <si>
    <t xml:space="preserve">Fallon, NV </t>
  </si>
  <si>
    <t>Ft. Worth, TX</t>
  </si>
  <si>
    <t>Kekaha, HI</t>
  </si>
  <si>
    <t xml:space="preserve">Keyport, WA </t>
  </si>
  <si>
    <t>Kingsbay, GA</t>
  </si>
  <si>
    <t>Kingsvile, TX</t>
  </si>
  <si>
    <t>MCAS Iwakuni</t>
  </si>
  <si>
    <t>MCAS New River</t>
  </si>
  <si>
    <t>MCAS Yuma</t>
  </si>
  <si>
    <t>MCSF Blount Island</t>
  </si>
  <si>
    <t>Mechanicburg, PA</t>
  </si>
  <si>
    <t>Mechanicsburg, PA</t>
  </si>
  <si>
    <t>Meridian, MS</t>
  </si>
  <si>
    <t>Mid South, TN</t>
  </si>
  <si>
    <t>Monterey, CA</t>
  </si>
  <si>
    <t>New London, CT/Groton</t>
  </si>
  <si>
    <t>Patuxent River, MD</t>
  </si>
  <si>
    <t>Quantico</t>
  </si>
  <si>
    <t>ROICC Sally, Pensacola, FL</t>
  </si>
  <si>
    <t>Singapore, SG</t>
  </si>
  <si>
    <t>Support Facility Diego Garcia</t>
  </si>
  <si>
    <t>WNY0 Chlinic-Washington, DC</t>
  </si>
  <si>
    <t>Sum of Asbestos Inspector</t>
  </si>
  <si>
    <t>Sum of Asbestos Inspector Refresher</t>
  </si>
  <si>
    <t>Sum of Asbestos Management Planner</t>
  </si>
  <si>
    <t>Sum of Asbestos Management Planner Refresher</t>
  </si>
  <si>
    <t>Sum of Asbestos Supervisor Initial</t>
  </si>
  <si>
    <t>Sum of Asbestos Supervisor Refresher</t>
  </si>
  <si>
    <t>Sum of Competent Person for Fall Protection Course</t>
  </si>
  <si>
    <t xml:space="preserve">Sum of Confined Space Safety </t>
  </si>
  <si>
    <t>Sum of Construction Safety Standards</t>
  </si>
  <si>
    <t>Sum of Emergency Asbestos Response Team</t>
  </si>
  <si>
    <t>Sum of Fire Protection &amp; Life Safety</t>
  </si>
  <si>
    <t>Sum of Industrial Noise and Hearing Conservation Program</t>
  </si>
  <si>
    <t>Sum of Occupational Health Program Manager (In development)</t>
  </si>
  <si>
    <t>Sum of Respiratory Protection Program Management</t>
  </si>
  <si>
    <t xml:space="preserve">Sum of Safety Managers Course </t>
  </si>
  <si>
    <t>Sum of Workplace Inspection Course (In Development)</t>
  </si>
  <si>
    <t xml:space="preserve">Course </t>
  </si>
  <si>
    <t>Last Updated: 7 Aug 2026</t>
  </si>
  <si>
    <t>Sum of Quotas Needed</t>
  </si>
  <si>
    <t>Sum of Grads</t>
  </si>
  <si>
    <t>Sum of Fails</t>
  </si>
  <si>
    <t>Sum of No-Shows</t>
  </si>
  <si>
    <t>Sum of Walk-ins</t>
  </si>
  <si>
    <t>Sum of Unused Quotas</t>
  </si>
  <si>
    <t>Sum of Planned Quotas</t>
  </si>
  <si>
    <t>Command Name</t>
  </si>
  <si>
    <t>(Multiple Items)</t>
  </si>
  <si>
    <t>Camp Lemonnier, Djibouti</t>
  </si>
  <si>
    <t>China Lake (Ridgecrest), CA</t>
  </si>
  <si>
    <t>CLDJ, Djibouti</t>
  </si>
  <si>
    <t>Fort Worth, TX</t>
  </si>
  <si>
    <t>Hachinohe, Japan (NAVSUP FLCY)</t>
  </si>
  <si>
    <t>Hakozaki, Japan (NAVSUP FLCY)</t>
  </si>
  <si>
    <t>MCAB Fuji</t>
  </si>
  <si>
    <t>MCAGCC Twentynine Palms</t>
  </si>
  <si>
    <t>MCB Butler</t>
  </si>
  <si>
    <t>MCB Camp Lejeune</t>
  </si>
  <si>
    <t>MCB Camp Pendleton</t>
  </si>
  <si>
    <t>MCB Mujuk</t>
  </si>
  <si>
    <t>MCB Okinawa</t>
  </si>
  <si>
    <t>MCB Quantico</t>
  </si>
  <si>
    <t>MCLB 29 Palms</t>
  </si>
  <si>
    <t>MCLB Albany</t>
  </si>
  <si>
    <t>MCRD Parris Island</t>
  </si>
  <si>
    <t>MCRD San Diego</t>
  </si>
  <si>
    <t>Sasebo, Japan (NAVSUP FLCS)</t>
  </si>
  <si>
    <t>Support Facilit Diego Garcia</t>
  </si>
  <si>
    <t>Tsurumi, Japan (NAVSUP FLCY)</t>
  </si>
  <si>
    <t>Yorktown, Va</t>
  </si>
  <si>
    <t>Sum of Facility Response Team Five Day</t>
  </si>
  <si>
    <t>Sum of Facility Response Team Three Day</t>
  </si>
  <si>
    <t>Sum of Hazardous Substance Incident Response Management</t>
  </si>
  <si>
    <t>Sum of Hazardous Substance Incident Response Management  Refresher</t>
  </si>
  <si>
    <t xml:space="preserve">Sum of Incident Command System 300 </t>
  </si>
  <si>
    <t>Sum of Incident Command System 300 Refresher</t>
  </si>
  <si>
    <t xml:space="preserve">Sum of Incident Command System 400 </t>
  </si>
  <si>
    <t xml:space="preserve">Sum of Oil Hazardous Substance Spill Response Tabletop Exercise </t>
  </si>
  <si>
    <t>Sum of Tank Managers Course</t>
  </si>
  <si>
    <t>Afloat Environmental Protection Coordinator (Global Online)</t>
  </si>
  <si>
    <t>Sum of Foreign Grads</t>
  </si>
  <si>
    <t xml:space="preserve">Singapore </t>
  </si>
  <si>
    <t>**Planned/Provided</t>
  </si>
  <si>
    <t>Details for Sum of Facility Response Team Three Day - Location/Course Title: Andros, Bahamas (CNRSE ADDED), Command: BUMED (+)</t>
  </si>
  <si>
    <t>Andros, Bahamas (CNRSE ADDED)</t>
  </si>
  <si>
    <t> </t>
  </si>
  <si>
    <t>Details for Sum of Competent Person for Fall Protection Course - Location/Course Title: Pearl Harbor, HI, Command: BUMED (+)</t>
  </si>
  <si>
    <t>Details for Sum of Hazardous Substance Incident Response Management  Refresher - Location/Course Title: Norfolk, VA, Command: BUMED (+)</t>
  </si>
  <si>
    <t>N8-RMI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</si>
</sst>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.0%"/>
    <numFmt numFmtId="165" formatCode="hhmm"/>
    <numFmt numFmtId="166" formatCode="0.0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FFFFFF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FFFFFF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11"/>
      <color rgb="FF242424"/>
      <name val="Calibri"/>
      <family val="2"/>
    </font>
    <font>
      <b/>
      <sz val="11"/>
      <color theme="9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</font>
    <font>
      <b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sz val="12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2"/>
      <color theme="0"/>
      <name val="Arial"/>
      <family val="2"/>
    </font>
    <font>
      <sz val="11"/>
      <color rgb="FFFFFF00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000000"/>
      <name val="Aptos Narrow"/>
      <family val="2"/>
      <charset val="1"/>
    </font>
    <font>
      <sz val="12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theme="6"/>
      </patternFill>
    </fill>
    <fill>
      <patternFill patternType="solid">
        <fgColor rgb="FFDDEBF7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DF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55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600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pivotButton="1"/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 vertical="center" wrapText="1"/>
    </xf>
    <xf numFmtId="0" fontId="12" fillId="0" borderId="2" xfId="0" applyFont="1" applyBorder="1" applyProtection="1">
      <protection locked="0"/>
    </xf>
    <xf numFmtId="0" fontId="7" fillId="4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left" vertical="center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2" xfId="0" applyFont="1" applyBorder="1" applyAlignment="1" applyProtection="1">
      <alignment horizontal="center" vertical="center" wrapText="1"/>
      <protection hidden="1"/>
    </xf>
    <xf numFmtId="0" fontId="8" fillId="0" borderId="3" xfId="0" applyFont="1" applyBorder="1" applyAlignment="1" applyProtection="1">
      <alignment horizontal="center" vertical="center" wrapText="1"/>
      <protection hidden="1"/>
    </xf>
    <xf numFmtId="1" fontId="8" fillId="0" borderId="3" xfId="0" applyNumberFormat="1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10" fontId="8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7" fillId="7" borderId="3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10" fontId="7" fillId="6" borderId="3" xfId="0" applyNumberFormat="1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left" vertical="center"/>
    </xf>
    <xf numFmtId="10" fontId="7" fillId="6" borderId="7" xfId="0" applyNumberFormat="1" applyFont="1" applyFill="1" applyBorder="1" applyAlignment="1">
      <alignment horizontal="center" vertical="center" wrapText="1"/>
    </xf>
    <xf numFmtId="10" fontId="8" fillId="0" borderId="7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6" fillId="2" borderId="0" xfId="0" applyFont="1" applyFill="1"/>
    <xf numFmtId="9" fontId="0" fillId="2" borderId="0" xfId="1" applyFont="1" applyFill="1"/>
    <xf numFmtId="0" fontId="10" fillId="0" borderId="0" xfId="0" applyFont="1"/>
    <xf numFmtId="0" fontId="13" fillId="0" borderId="0" xfId="0" applyFont="1"/>
    <xf numFmtId="0" fontId="13" fillId="0" borderId="17" xfId="0" applyFont="1" applyBorder="1"/>
    <xf numFmtId="14" fontId="13" fillId="0" borderId="0" xfId="0" applyNumberFormat="1" applyFont="1" applyAlignment="1">
      <alignment horizontal="center"/>
    </xf>
    <xf numFmtId="0" fontId="13" fillId="0" borderId="19" xfId="0" applyFont="1" applyBorder="1"/>
    <xf numFmtId="1" fontId="10" fillId="0" borderId="0" xfId="0" applyNumberFormat="1" applyFont="1" applyAlignment="1">
      <alignment horizontal="right"/>
    </xf>
    <xf numFmtId="0" fontId="8" fillId="0" borderId="18" xfId="0" applyFont="1" applyBorder="1" applyAlignment="1" applyProtection="1">
      <alignment horizontal="center" vertical="center" wrapText="1"/>
      <protection hidden="1"/>
    </xf>
    <xf numFmtId="14" fontId="14" fillId="0" borderId="20" xfId="0" applyNumberFormat="1" applyFont="1" applyBorder="1" applyAlignment="1">
      <alignment horizontal="center" vertical="center" wrapText="1"/>
    </xf>
    <xf numFmtId="0" fontId="0" fillId="0" borderId="3" xfId="0" applyBorder="1"/>
    <xf numFmtId="0" fontId="11" fillId="5" borderId="28" xfId="0" applyFont="1" applyFill="1" applyBorder="1" applyAlignment="1">
      <alignment horizontal="center" vertical="center" wrapText="1"/>
    </xf>
    <xf numFmtId="3" fontId="11" fillId="6" borderId="29" xfId="0" applyNumberFormat="1" applyFont="1" applyFill="1" applyBorder="1" applyAlignment="1">
      <alignment horizontal="center" vertical="center"/>
    </xf>
    <xf numFmtId="14" fontId="13" fillId="0" borderId="17" xfId="0" applyNumberFormat="1" applyFont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 vertical="center"/>
    </xf>
    <xf numFmtId="165" fontId="13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10" fillId="0" borderId="0" xfId="0" applyFont="1" applyProtection="1">
      <protection locked="0"/>
    </xf>
    <xf numFmtId="0" fontId="10" fillId="0" borderId="0" xfId="0" applyFont="1" applyAlignment="1">
      <alignment horizontal="center" vertical="center" wrapText="1"/>
    </xf>
    <xf numFmtId="165" fontId="10" fillId="0" borderId="0" xfId="0" quotePrefix="1" applyNumberFormat="1" applyFont="1" applyAlignment="1">
      <alignment horizontal="center" vertical="center"/>
    </xf>
    <xf numFmtId="1" fontId="10" fillId="0" borderId="0" xfId="0" applyNumberFormat="1" applyFont="1" applyAlignment="1">
      <alignment horizontal="right" vertical="center"/>
    </xf>
    <xf numFmtId="14" fontId="10" fillId="0" borderId="17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14" fontId="10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14" fontId="13" fillId="0" borderId="0" xfId="0" applyNumberFormat="1" applyFont="1" applyAlignment="1">
      <alignment horizontal="center" wrapText="1"/>
    </xf>
    <xf numFmtId="0" fontId="10" fillId="0" borderId="17" xfId="0" applyFont="1" applyBorder="1" applyAlignment="1">
      <alignment horizontal="left"/>
    </xf>
    <xf numFmtId="0" fontId="10" fillId="0" borderId="21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14" fontId="10" fillId="0" borderId="22" xfId="0" applyNumberFormat="1" applyFont="1" applyBorder="1" applyAlignment="1">
      <alignment horizontal="center" vertical="center"/>
    </xf>
    <xf numFmtId="14" fontId="10" fillId="0" borderId="23" xfId="0" applyNumberFormat="1" applyFont="1" applyBorder="1" applyAlignment="1">
      <alignment horizontal="center" vertical="center"/>
    </xf>
    <xf numFmtId="0" fontId="10" fillId="0" borderId="19" xfId="0" applyFont="1" applyBorder="1" applyAlignment="1">
      <alignment horizontal="left"/>
    </xf>
    <xf numFmtId="49" fontId="12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14" fontId="10" fillId="0" borderId="0" xfId="0" applyNumberFormat="1" applyFont="1" applyAlignment="1">
      <alignment vertical="center"/>
    </xf>
    <xf numFmtId="0" fontId="10" fillId="0" borderId="17" xfId="0" applyFont="1" applyBorder="1" applyAlignment="1">
      <alignment horizontal="left" vertical="center" wrapText="1"/>
    </xf>
    <xf numFmtId="0" fontId="10" fillId="0" borderId="3" xfId="0" applyFont="1" applyBorder="1"/>
    <xf numFmtId="0" fontId="10" fillId="0" borderId="17" xfId="0" applyFont="1" applyBorder="1" applyAlignment="1">
      <alignment horizontal="left" vertical="center"/>
    </xf>
    <xf numFmtId="0" fontId="13" fillId="0" borderId="3" xfId="0" applyFont="1" applyBorder="1"/>
    <xf numFmtId="0" fontId="10" fillId="0" borderId="17" xfId="0" applyFont="1" applyBorder="1"/>
    <xf numFmtId="14" fontId="13" fillId="0" borderId="17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14" fontId="13" fillId="0" borderId="3" xfId="0" applyNumberFormat="1" applyFont="1" applyBorder="1" applyAlignment="1">
      <alignment horizontal="center"/>
    </xf>
    <xf numFmtId="14" fontId="10" fillId="0" borderId="19" xfId="0" applyNumberFormat="1" applyFont="1" applyBorder="1" applyAlignment="1">
      <alignment horizontal="center" vertical="center"/>
    </xf>
    <xf numFmtId="0" fontId="15" fillId="0" borderId="0" xfId="0" applyFo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>
      <alignment horizontal="left" vertical="center" wrapText="1"/>
    </xf>
    <xf numFmtId="14" fontId="10" fillId="0" borderId="0" xfId="0" applyNumberFormat="1" applyFont="1" applyAlignment="1" applyProtection="1">
      <alignment horizontal="right" vertical="center"/>
      <protection locked="0"/>
    </xf>
    <xf numFmtId="14" fontId="10" fillId="0" borderId="0" xfId="0" applyNumberFormat="1" applyFont="1" applyAlignment="1" applyProtection="1">
      <alignment horizontal="center" vertical="center"/>
      <protection locked="0"/>
    </xf>
    <xf numFmtId="14" fontId="10" fillId="0" borderId="0" xfId="0" applyNumberFormat="1" applyFont="1" applyAlignment="1">
      <alignment horizontal="left"/>
    </xf>
    <xf numFmtId="0" fontId="10" fillId="0" borderId="0" xfId="0" applyFont="1" applyAlignment="1">
      <alignment horizontal="left" wrapText="1"/>
    </xf>
    <xf numFmtId="0" fontId="16" fillId="0" borderId="0" xfId="0" applyFont="1"/>
    <xf numFmtId="0" fontId="10" fillId="0" borderId="24" xfId="0" applyFont="1" applyBorder="1" applyAlignment="1">
      <alignment horizontal="left"/>
    </xf>
    <xf numFmtId="0" fontId="10" fillId="0" borderId="24" xfId="0" applyFont="1" applyBorder="1" applyAlignment="1">
      <alignment horizontal="center" vertical="center"/>
    </xf>
    <xf numFmtId="14" fontId="10" fillId="0" borderId="24" xfId="0" applyNumberFormat="1" applyFont="1" applyBorder="1" applyAlignment="1">
      <alignment horizontal="center" vertical="center"/>
    </xf>
    <xf numFmtId="1" fontId="10" fillId="0" borderId="24" xfId="0" applyNumberFormat="1" applyFont="1" applyBorder="1" applyAlignment="1">
      <alignment horizontal="center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10" fillId="2" borderId="0" xfId="0" applyFont="1" applyFill="1"/>
    <xf numFmtId="0" fontId="10" fillId="2" borderId="0" xfId="0" applyFont="1" applyFill="1" applyAlignment="1">
      <alignment horizontal="left"/>
    </xf>
    <xf numFmtId="3" fontId="0" fillId="0" borderId="3" xfId="0" applyNumberForma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165" fontId="13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5" fontId="10" fillId="2" borderId="0" xfId="0" applyNumberFormat="1" applyFont="1" applyFill="1" applyAlignment="1">
      <alignment horizontal="center" vertical="center"/>
    </xf>
    <xf numFmtId="0" fontId="10" fillId="10" borderId="0" xfId="0" applyFont="1" applyFill="1"/>
    <xf numFmtId="0" fontId="10" fillId="10" borderId="0" xfId="0" applyFont="1" applyFill="1" applyAlignment="1">
      <alignment horizontal="left"/>
    </xf>
    <xf numFmtId="0" fontId="10" fillId="10" borderId="0" xfId="0" applyFont="1" applyFill="1" applyAlignment="1">
      <alignment horizontal="center" vertical="center"/>
    </xf>
    <xf numFmtId="14" fontId="13" fillId="10" borderId="0" xfId="0" applyNumberFormat="1" applyFont="1" applyFill="1" applyAlignment="1">
      <alignment horizontal="center"/>
    </xf>
    <xf numFmtId="14" fontId="10" fillId="10" borderId="0" xfId="0" applyNumberFormat="1" applyFont="1" applyFill="1" applyAlignment="1">
      <alignment horizontal="center" vertical="center"/>
    </xf>
    <xf numFmtId="165" fontId="13" fillId="10" borderId="0" xfId="0" applyNumberFormat="1" applyFont="1" applyFill="1" applyAlignment="1">
      <alignment horizontal="center"/>
    </xf>
    <xf numFmtId="0" fontId="10" fillId="10" borderId="0" xfId="0" applyFont="1" applyFill="1" applyAlignment="1">
      <alignment horizontal="center"/>
    </xf>
    <xf numFmtId="20" fontId="10" fillId="0" borderId="0" xfId="0" applyNumberFormat="1" applyFont="1" applyAlignment="1">
      <alignment horizontal="center" vertical="center"/>
    </xf>
    <xf numFmtId="14" fontId="13" fillId="2" borderId="0" xfId="0" applyNumberFormat="1" applyFont="1" applyFill="1" applyAlignment="1">
      <alignment horizontal="center"/>
    </xf>
    <xf numFmtId="14" fontId="1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1" fillId="0" borderId="0" xfId="0" applyFont="1"/>
    <xf numFmtId="14" fontId="0" fillId="0" borderId="0" xfId="0" applyNumberFormat="1" applyAlignment="1">
      <alignment horizontal="center" vertical="center"/>
    </xf>
    <xf numFmtId="165" fontId="21" fillId="0" borderId="0" xfId="0" applyNumberFormat="1" applyFont="1" applyAlignment="1">
      <alignment horizontal="center"/>
    </xf>
    <xf numFmtId="165" fontId="10" fillId="0" borderId="0" xfId="0" applyNumberFormat="1" applyFont="1" applyAlignment="1" applyProtection="1">
      <alignment horizontal="center" vertical="center"/>
      <protection locked="0"/>
    </xf>
    <xf numFmtId="165" fontId="22" fillId="0" borderId="0" xfId="0" applyNumberFormat="1" applyFont="1" applyAlignment="1">
      <alignment horizontal="center" vertical="center"/>
    </xf>
    <xf numFmtId="0" fontId="10" fillId="0" borderId="24" xfId="0" applyFont="1" applyBorder="1"/>
    <xf numFmtId="0" fontId="10" fillId="0" borderId="24" xfId="0" applyFont="1" applyBorder="1" applyAlignment="1">
      <alignment horizontal="center"/>
    </xf>
    <xf numFmtId="14" fontId="21" fillId="0" borderId="0" xfId="0" applyNumberFormat="1" applyFont="1" applyAlignment="1">
      <alignment horizontal="center"/>
    </xf>
    <xf numFmtId="0" fontId="13" fillId="2" borderId="0" xfId="0" applyFont="1" applyFill="1"/>
    <xf numFmtId="1" fontId="10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right"/>
    </xf>
    <xf numFmtId="165" fontId="10" fillId="2" borderId="0" xfId="0" quotePrefix="1" applyNumberFormat="1" applyFont="1" applyFill="1" applyAlignment="1">
      <alignment horizontal="center" vertical="center"/>
    </xf>
    <xf numFmtId="0" fontId="10" fillId="2" borderId="17" xfId="0" applyFont="1" applyFill="1" applyBorder="1" applyAlignment="1">
      <alignment horizontal="left"/>
    </xf>
    <xf numFmtId="0" fontId="10" fillId="3" borderId="0" xfId="0" applyFont="1" applyFill="1" applyAlignment="1">
      <alignment horizontal="center"/>
    </xf>
    <xf numFmtId="1" fontId="10" fillId="0" borderId="0" xfId="0" applyNumberFormat="1" applyFont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10" fillId="3" borderId="0" xfId="0" applyFont="1" applyFill="1" applyAlignment="1">
      <alignment horizontal="left"/>
    </xf>
    <xf numFmtId="1" fontId="10" fillId="3" borderId="0" xfId="0" applyNumberFormat="1" applyFont="1" applyFill="1" applyAlignment="1">
      <alignment horizontal="center" vertical="center"/>
    </xf>
    <xf numFmtId="1" fontId="10" fillId="0" borderId="0" xfId="0" applyNumberFormat="1" applyFont="1" applyAlignment="1">
      <alignment horizontal="right" vertical="center" wrapText="1"/>
    </xf>
    <xf numFmtId="0" fontId="10" fillId="3" borderId="0" xfId="0" applyFont="1" applyFill="1" applyAlignment="1">
      <alignment horizontal="center" vertical="center"/>
    </xf>
    <xf numFmtId="0" fontId="10" fillId="3" borderId="0" xfId="0" applyFont="1" applyFill="1"/>
    <xf numFmtId="0" fontId="7" fillId="7" borderId="18" xfId="0" applyFont="1" applyFill="1" applyBorder="1" applyAlignment="1">
      <alignment horizontal="center" vertical="center" wrapText="1"/>
    </xf>
    <xf numFmtId="15" fontId="3" fillId="0" borderId="0" xfId="0" applyNumberFormat="1" applyFont="1" applyAlignment="1" applyProtection="1">
      <alignment horizontal="left" vertical="center" wrapText="1"/>
      <protection hidden="1"/>
    </xf>
    <xf numFmtId="0" fontId="7" fillId="0" borderId="0" xfId="0" applyFont="1" applyAlignment="1">
      <alignment vertical="center"/>
    </xf>
    <xf numFmtId="0" fontId="0" fillId="0" borderId="3" xfId="0" applyBorder="1" applyAlignment="1">
      <alignment textRotation="90"/>
    </xf>
    <xf numFmtId="0" fontId="7" fillId="2" borderId="3" xfId="0" applyFont="1" applyFill="1" applyBorder="1" applyAlignment="1">
      <alignment textRotation="90"/>
    </xf>
    <xf numFmtId="0" fontId="0" fillId="0" borderId="3" xfId="0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6" fillId="2" borderId="3" xfId="0" applyFont="1" applyFill="1" applyBorder="1"/>
    <xf numFmtId="0" fontId="0" fillId="2" borderId="33" xfId="0" applyFill="1" applyBorder="1" applyAlignment="1">
      <alignment horizontal="left"/>
    </xf>
    <xf numFmtId="0" fontId="0" fillId="2" borderId="30" xfId="0" applyFill="1" applyBorder="1"/>
    <xf numFmtId="0" fontId="0" fillId="2" borderId="33" xfId="0" applyFill="1" applyBorder="1"/>
    <xf numFmtId="0" fontId="0" fillId="0" borderId="3" xfId="0" pivotButton="1" applyBorder="1"/>
    <xf numFmtId="0" fontId="8" fillId="0" borderId="26" xfId="0" applyFont="1" applyBorder="1" applyAlignment="1" applyProtection="1">
      <alignment horizontal="center" vertical="center" wrapText="1"/>
      <protection hidden="1"/>
    </xf>
    <xf numFmtId="1" fontId="8" fillId="0" borderId="8" xfId="0" applyNumberFormat="1" applyFont="1" applyBorder="1" applyAlignment="1" applyProtection="1">
      <alignment horizontal="center" vertical="center" wrapText="1"/>
      <protection hidden="1"/>
    </xf>
    <xf numFmtId="3" fontId="11" fillId="4" borderId="40" xfId="0" applyNumberFormat="1" applyFont="1" applyFill="1" applyBorder="1" applyAlignment="1">
      <alignment horizontal="center" vertical="center"/>
    </xf>
    <xf numFmtId="1" fontId="11" fillId="4" borderId="40" xfId="2" applyNumberFormat="1" applyFont="1" applyFill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 wrapText="1"/>
    </xf>
    <xf numFmtId="0" fontId="11" fillId="5" borderId="28" xfId="0" applyFont="1" applyFill="1" applyBorder="1" applyAlignment="1">
      <alignment horizontal="left" vertical="center" wrapText="1"/>
    </xf>
    <xf numFmtId="9" fontId="11" fillId="5" borderId="28" xfId="1" applyFont="1" applyFill="1" applyBorder="1" applyAlignment="1">
      <alignment horizontal="center" vertical="center" wrapText="1"/>
    </xf>
    <xf numFmtId="3" fontId="8" fillId="0" borderId="8" xfId="0" applyNumberFormat="1" applyFont="1" applyBorder="1" applyAlignment="1" applyProtection="1">
      <alignment horizontal="center" vertical="center" wrapText="1"/>
      <protection hidden="1"/>
    </xf>
    <xf numFmtId="1" fontId="11" fillId="6" borderId="29" xfId="2" applyNumberFormat="1" applyFont="1" applyFill="1" applyBorder="1" applyAlignment="1">
      <alignment horizontal="center"/>
    </xf>
    <xf numFmtId="9" fontId="11" fillId="6" borderId="29" xfId="1" applyFont="1" applyFill="1" applyBorder="1" applyAlignment="1">
      <alignment horizontal="center" vertical="center"/>
    </xf>
    <xf numFmtId="9" fontId="8" fillId="0" borderId="3" xfId="1" applyFont="1" applyFill="1" applyBorder="1" applyAlignment="1" applyProtection="1">
      <alignment horizontal="center" vertical="center" wrapText="1"/>
      <protection hidden="1"/>
    </xf>
    <xf numFmtId="10" fontId="8" fillId="0" borderId="8" xfId="1" applyNumberFormat="1" applyFont="1" applyFill="1" applyBorder="1" applyAlignment="1" applyProtection="1">
      <alignment horizontal="center" vertical="center" wrapText="1"/>
      <protection hidden="1"/>
    </xf>
    <xf numFmtId="10" fontId="8" fillId="0" borderId="11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>
      <alignment horizontal="center" vertical="center" wrapText="1"/>
    </xf>
    <xf numFmtId="3" fontId="8" fillId="0" borderId="9" xfId="0" applyNumberFormat="1" applyFont="1" applyBorder="1" applyAlignment="1" applyProtection="1">
      <alignment horizontal="center" vertical="center" wrapText="1"/>
      <protection hidden="1"/>
    </xf>
    <xf numFmtId="0" fontId="8" fillId="0" borderId="18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26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>
      <alignment horizontal="center" vertical="center" wrapText="1"/>
    </xf>
    <xf numFmtId="165" fontId="10" fillId="0" borderId="1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19" xfId="0" applyFont="1" applyBorder="1" applyAlignment="1">
      <alignment horizontal="left"/>
    </xf>
    <xf numFmtId="14" fontId="12" fillId="0" borderId="41" xfId="0" applyNumberFormat="1" applyFont="1" applyBorder="1" applyAlignment="1">
      <alignment horizontal="center" vertical="center" wrapText="1"/>
    </xf>
    <xf numFmtId="0" fontId="8" fillId="11" borderId="9" xfId="0" applyFont="1" applyFill="1" applyBorder="1" applyAlignment="1" applyProtection="1">
      <alignment horizontal="center" vertical="center" wrapText="1"/>
      <protection hidden="1"/>
    </xf>
    <xf numFmtId="0" fontId="0" fillId="2" borderId="26" xfId="0" applyFill="1" applyBorder="1"/>
    <xf numFmtId="0" fontId="3" fillId="0" borderId="3" xfId="0" applyFont="1" applyBorder="1" applyAlignment="1">
      <alignment horizontal="left"/>
    </xf>
    <xf numFmtId="16" fontId="12" fillId="0" borderId="1" xfId="0" applyNumberFormat="1" applyFont="1" applyBorder="1" applyAlignment="1">
      <alignment horizontal="center" vertical="center"/>
    </xf>
    <xf numFmtId="3" fontId="1" fillId="0" borderId="3" xfId="0" applyNumberFormat="1" applyFont="1" applyBorder="1" applyAlignment="1" applyProtection="1">
      <alignment horizontal="center" vertical="center" wrapText="1"/>
      <protection hidden="1"/>
    </xf>
    <xf numFmtId="3" fontId="1" fillId="0" borderId="8" xfId="0" applyNumberFormat="1" applyFont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19" xfId="0" applyFont="1" applyBorder="1" applyAlignment="1">
      <alignment horizontal="left" vertical="center"/>
    </xf>
    <xf numFmtId="0" fontId="0" fillId="11" borderId="0" xfId="0" applyFill="1"/>
    <xf numFmtId="0" fontId="27" fillId="0" borderId="0" xfId="0" applyFont="1" applyAlignment="1">
      <alignment horizontal="center" vertical="center"/>
    </xf>
    <xf numFmtId="1" fontId="27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23" fillId="0" borderId="3" xfId="0" applyFont="1" applyBorder="1" applyAlignment="1">
      <alignment horizontal="center" vertical="center" wrapText="1"/>
    </xf>
    <xf numFmtId="3" fontId="28" fillId="2" borderId="3" xfId="0" applyNumberFormat="1" applyFont="1" applyFill="1" applyBorder="1" applyAlignment="1">
      <alignment horizontal="center" vertical="center" wrapText="1"/>
    </xf>
    <xf numFmtId="0" fontId="28" fillId="2" borderId="3" xfId="0" applyFont="1" applyFill="1" applyBorder="1" applyAlignment="1">
      <alignment horizontal="center" vertical="center" wrapText="1"/>
    </xf>
    <xf numFmtId="0" fontId="29" fillId="0" borderId="12" xfId="0" applyFont="1" applyBorder="1" applyAlignment="1" applyProtection="1">
      <alignment horizontal="center" vertical="center" wrapText="1"/>
      <protection hidden="1"/>
    </xf>
    <xf numFmtId="0" fontId="28" fillId="0" borderId="0" xfId="0" applyFont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166" fontId="28" fillId="12" borderId="3" xfId="0" applyNumberFormat="1" applyFont="1" applyFill="1" applyBorder="1" applyAlignment="1">
      <alignment horizontal="center" vertical="center" wrapText="1"/>
    </xf>
    <xf numFmtId="3" fontId="28" fillId="0" borderId="3" xfId="0" applyNumberFormat="1" applyFont="1" applyBorder="1" applyAlignment="1">
      <alignment horizontal="center" vertical="center" wrapText="1"/>
    </xf>
    <xf numFmtId="9" fontId="28" fillId="0" borderId="3" xfId="3" applyFont="1" applyBorder="1" applyAlignment="1">
      <alignment horizontal="center" vertical="center" wrapText="1"/>
    </xf>
    <xf numFmtId="1" fontId="31" fillId="2" borderId="3" xfId="0" applyNumberFormat="1" applyFont="1" applyFill="1" applyBorder="1" applyAlignment="1">
      <alignment horizontal="center" vertical="center" wrapText="1"/>
    </xf>
    <xf numFmtId="1" fontId="29" fillId="2" borderId="9" xfId="0" applyNumberFormat="1" applyFont="1" applyFill="1" applyBorder="1" applyAlignment="1" applyProtection="1">
      <alignment horizontal="center" vertical="center" wrapText="1"/>
      <protection hidden="1"/>
    </xf>
    <xf numFmtId="1" fontId="31" fillId="11" borderId="17" xfId="0" applyNumberFormat="1" applyFont="1" applyFill="1" applyBorder="1" applyAlignment="1">
      <alignment horizontal="center" vertical="center" wrapText="1"/>
    </xf>
    <xf numFmtId="1" fontId="31" fillId="11" borderId="18" xfId="0" applyNumberFormat="1" applyFont="1" applyFill="1" applyBorder="1" applyAlignment="1">
      <alignment horizontal="center" vertical="center" wrapText="1"/>
    </xf>
    <xf numFmtId="2" fontId="28" fillId="17" borderId="3" xfId="0" applyNumberFormat="1" applyFont="1" applyFill="1" applyBorder="1" applyAlignment="1">
      <alignment horizontal="center" vertical="center" wrapText="1"/>
    </xf>
    <xf numFmtId="0" fontId="29" fillId="0" borderId="9" xfId="0" applyFont="1" applyBorder="1" applyAlignment="1" applyProtection="1">
      <alignment horizontal="center" vertical="center" wrapText="1"/>
      <protection hidden="1"/>
    </xf>
    <xf numFmtId="10" fontId="28" fillId="0" borderId="3" xfId="0" applyNumberFormat="1" applyFont="1" applyBorder="1" applyAlignment="1">
      <alignment horizontal="center" vertical="center" wrapText="1"/>
    </xf>
    <xf numFmtId="0" fontId="29" fillId="2" borderId="9" xfId="0" applyFont="1" applyFill="1" applyBorder="1" applyAlignment="1" applyProtection="1">
      <alignment horizontal="center" vertical="center" wrapText="1"/>
      <protection hidden="1"/>
    </xf>
    <xf numFmtId="2" fontId="28" fillId="13" borderId="3" xfId="0" applyNumberFormat="1" applyFont="1" applyFill="1" applyBorder="1" applyAlignment="1">
      <alignment horizontal="center" vertical="center" wrapText="1"/>
    </xf>
    <xf numFmtId="1" fontId="28" fillId="0" borderId="9" xfId="0" applyNumberFormat="1" applyFont="1" applyBorder="1" applyAlignment="1">
      <alignment horizontal="center" vertical="center" wrapText="1"/>
    </xf>
    <xf numFmtId="166" fontId="31" fillId="9" borderId="0" xfId="0" applyNumberFormat="1" applyFont="1" applyFill="1" applyAlignment="1">
      <alignment horizontal="center" vertical="center" wrapText="1"/>
    </xf>
    <xf numFmtId="1" fontId="28" fillId="2" borderId="3" xfId="0" applyNumberFormat="1" applyFont="1" applyFill="1" applyBorder="1" applyAlignment="1">
      <alignment horizontal="center" vertical="center" wrapText="1"/>
    </xf>
    <xf numFmtId="1" fontId="28" fillId="11" borderId="3" xfId="0" applyNumberFormat="1" applyFont="1" applyFill="1" applyBorder="1" applyAlignment="1">
      <alignment horizontal="center" vertical="center" wrapText="1"/>
    </xf>
    <xf numFmtId="166" fontId="28" fillId="14" borderId="3" xfId="0" applyNumberFormat="1" applyFont="1" applyFill="1" applyBorder="1" applyAlignment="1">
      <alignment horizontal="center" vertical="center" wrapText="1"/>
    </xf>
    <xf numFmtId="1" fontId="28" fillId="11" borderId="31" xfId="0" applyNumberFormat="1" applyFont="1" applyFill="1" applyBorder="1" applyAlignment="1">
      <alignment horizontal="center" vertical="center" wrapText="1"/>
    </xf>
    <xf numFmtId="164" fontId="28" fillId="0" borderId="3" xfId="3" applyNumberFormat="1" applyFont="1" applyBorder="1" applyAlignment="1">
      <alignment horizontal="center" vertical="center" wrapText="1"/>
    </xf>
    <xf numFmtId="1" fontId="29" fillId="0" borderId="17" xfId="0" applyNumberFormat="1" applyFont="1" applyBorder="1" applyAlignment="1">
      <alignment horizontal="center" vertical="center" wrapText="1"/>
    </xf>
    <xf numFmtId="1" fontId="28" fillId="0" borderId="18" xfId="0" applyNumberFormat="1" applyFont="1" applyBorder="1" applyAlignment="1">
      <alignment horizontal="center" vertical="center" wrapText="1"/>
    </xf>
    <xf numFmtId="1" fontId="29" fillId="0" borderId="9" xfId="0" applyNumberFormat="1" applyFont="1" applyBorder="1" applyAlignment="1" applyProtection="1">
      <alignment horizontal="center" vertical="center" wrapText="1"/>
      <protection hidden="1"/>
    </xf>
    <xf numFmtId="2" fontId="28" fillId="14" borderId="3" xfId="0" applyNumberFormat="1" applyFont="1" applyFill="1" applyBorder="1" applyAlignment="1">
      <alignment horizontal="center" vertical="center" wrapText="1"/>
    </xf>
    <xf numFmtId="0" fontId="29" fillId="8" borderId="3" xfId="0" applyFont="1" applyFill="1" applyBorder="1" applyAlignment="1" applyProtection="1">
      <alignment horizontal="left" vertical="center" wrapText="1"/>
      <protection hidden="1"/>
    </xf>
    <xf numFmtId="1" fontId="29" fillId="11" borderId="17" xfId="0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1" fontId="28" fillId="0" borderId="3" xfId="0" applyNumberFormat="1" applyFont="1" applyBorder="1" applyAlignment="1">
      <alignment horizontal="center" vertical="center" wrapText="1"/>
    </xf>
    <xf numFmtId="0" fontId="28" fillId="11" borderId="12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3" fontId="28" fillId="2" borderId="9" xfId="0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 applyProtection="1">
      <alignment horizontal="left" vertical="center" wrapText="1"/>
      <protection hidden="1"/>
    </xf>
    <xf numFmtId="164" fontId="28" fillId="0" borderId="3" xfId="0" applyNumberFormat="1" applyFont="1" applyBorder="1" applyAlignment="1">
      <alignment horizontal="center" vertical="center" wrapText="1"/>
    </xf>
    <xf numFmtId="164" fontId="28" fillId="0" borderId="3" xfId="0" applyNumberFormat="1" applyFont="1" applyBorder="1" applyAlignment="1">
      <alignment horizontal="center" vertical="center"/>
    </xf>
    <xf numFmtId="0" fontId="29" fillId="0" borderId="3" xfId="0" applyFont="1" applyBorder="1" applyAlignment="1" applyProtection="1">
      <alignment horizontal="center" vertical="center" wrapText="1"/>
      <protection hidden="1"/>
    </xf>
    <xf numFmtId="1" fontId="29" fillId="0" borderId="3" xfId="0" applyNumberFormat="1" applyFont="1" applyBorder="1" applyAlignment="1" applyProtection="1">
      <alignment horizontal="center" vertical="center" wrapText="1"/>
      <protection hidden="1"/>
    </xf>
    <xf numFmtId="1" fontId="29" fillId="0" borderId="30" xfId="0" applyNumberFormat="1" applyFont="1" applyBorder="1" applyAlignment="1">
      <alignment horizontal="center" vertical="center" wrapText="1"/>
    </xf>
    <xf numFmtId="0" fontId="29" fillId="2" borderId="3" xfId="0" applyFont="1" applyFill="1" applyBorder="1" applyAlignment="1" applyProtection="1">
      <alignment horizontal="center" vertical="center" wrapText="1"/>
      <protection hidden="1"/>
    </xf>
    <xf numFmtId="1" fontId="29" fillId="0" borderId="3" xfId="0" applyNumberFormat="1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166" fontId="28" fillId="12" borderId="8" xfId="0" applyNumberFormat="1" applyFont="1" applyFill="1" applyBorder="1" applyAlignment="1">
      <alignment horizontal="center" vertical="center" wrapText="1"/>
    </xf>
    <xf numFmtId="3" fontId="28" fillId="0" borderId="34" xfId="0" applyNumberFormat="1" applyFont="1" applyBorder="1" applyAlignment="1">
      <alignment horizontal="center" vertical="center" wrapText="1"/>
    </xf>
    <xf numFmtId="1" fontId="29" fillId="2" borderId="3" xfId="0" applyNumberFormat="1" applyFont="1" applyFill="1" applyBorder="1" applyAlignment="1" applyProtection="1">
      <alignment horizontal="center" vertical="center" wrapText="1"/>
      <protection hidden="1"/>
    </xf>
    <xf numFmtId="1" fontId="28" fillId="2" borderId="8" xfId="0" applyNumberFormat="1" applyFont="1" applyFill="1" applyBorder="1" applyAlignment="1">
      <alignment horizontal="center" vertical="center" wrapText="1"/>
    </xf>
    <xf numFmtId="1" fontId="28" fillId="11" borderId="8" xfId="0" applyNumberFormat="1" applyFont="1" applyFill="1" applyBorder="1" applyAlignment="1">
      <alignment horizontal="center" vertical="center" wrapText="1"/>
    </xf>
    <xf numFmtId="2" fontId="28" fillId="14" borderId="8" xfId="0" applyNumberFormat="1" applyFont="1" applyFill="1" applyBorder="1" applyAlignment="1">
      <alignment horizontal="center" vertical="center" wrapText="1"/>
    </xf>
    <xf numFmtId="1" fontId="28" fillId="11" borderId="9" xfId="0" applyNumberFormat="1" applyFont="1" applyFill="1" applyBorder="1" applyAlignment="1">
      <alignment horizontal="center" vertical="center" wrapText="1"/>
    </xf>
    <xf numFmtId="3" fontId="28" fillId="4" borderId="3" xfId="0" applyNumberFormat="1" applyFont="1" applyFill="1" applyBorder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9" fillId="4" borderId="3" xfId="0" applyFont="1" applyFill="1" applyBorder="1" applyAlignment="1" applyProtection="1">
      <alignment horizontal="center" vertical="center" wrapText="1"/>
      <protection hidden="1"/>
    </xf>
    <xf numFmtId="0" fontId="28" fillId="4" borderId="3" xfId="0" applyFont="1" applyFill="1" applyBorder="1" applyAlignment="1">
      <alignment horizontal="center" vertical="center"/>
    </xf>
    <xf numFmtId="166" fontId="28" fillId="4" borderId="3" xfId="0" applyNumberFormat="1" applyFont="1" applyFill="1" applyBorder="1" applyAlignment="1">
      <alignment horizontal="center" vertical="center" wrapText="1"/>
    </xf>
    <xf numFmtId="9" fontId="28" fillId="4" borderId="3" xfId="3" applyFont="1" applyFill="1" applyBorder="1" applyAlignment="1">
      <alignment horizontal="center" vertical="center" wrapText="1"/>
    </xf>
    <xf numFmtId="1" fontId="30" fillId="23" borderId="18" xfId="0" applyNumberFormat="1" applyFont="1" applyFill="1" applyBorder="1" applyAlignment="1">
      <alignment horizontal="center" vertical="center" wrapText="1"/>
    </xf>
    <xf numFmtId="1" fontId="29" fillId="23" borderId="9" xfId="0" applyNumberFormat="1" applyFont="1" applyFill="1" applyBorder="1" applyAlignment="1" applyProtection="1">
      <alignment horizontal="center" vertical="center" wrapText="1"/>
      <protection hidden="1"/>
    </xf>
    <xf numFmtId="1" fontId="33" fillId="23" borderId="3" xfId="0" applyNumberFormat="1" applyFont="1" applyFill="1" applyBorder="1" applyAlignment="1">
      <alignment horizontal="center" vertical="center" wrapText="1"/>
    </xf>
    <xf numFmtId="1" fontId="30" fillId="23" borderId="3" xfId="0" applyNumberFormat="1" applyFont="1" applyFill="1" applyBorder="1" applyAlignment="1">
      <alignment horizontal="center" vertical="center" wrapText="1"/>
    </xf>
    <xf numFmtId="2" fontId="30" fillId="23" borderId="3" xfId="0" applyNumberFormat="1" applyFont="1" applyFill="1" applyBorder="1" applyAlignment="1">
      <alignment horizontal="center" vertical="center" wrapText="1"/>
    </xf>
    <xf numFmtId="166" fontId="33" fillId="23" borderId="3" xfId="0" applyNumberFormat="1" applyFont="1" applyFill="1" applyBorder="1" applyAlignment="1" applyProtection="1">
      <alignment horizontal="center" vertical="center" wrapText="1"/>
      <protection hidden="1"/>
    </xf>
    <xf numFmtId="10" fontId="30" fillId="23" borderId="3" xfId="0" applyNumberFormat="1" applyFont="1" applyFill="1" applyBorder="1" applyAlignment="1">
      <alignment horizontal="center" vertical="center" wrapText="1"/>
    </xf>
    <xf numFmtId="0" fontId="28" fillId="23" borderId="18" xfId="0" applyFont="1" applyFill="1" applyBorder="1" applyAlignment="1">
      <alignment horizontal="center" vertical="center" wrapText="1"/>
    </xf>
    <xf numFmtId="0" fontId="29" fillId="23" borderId="3" xfId="0" applyFont="1" applyFill="1" applyBorder="1" applyAlignment="1" applyProtection="1">
      <alignment horizontal="center" vertical="center" wrapText="1"/>
      <protection hidden="1"/>
    </xf>
    <xf numFmtId="0" fontId="28" fillId="23" borderId="3" xfId="0" applyFont="1" applyFill="1" applyBorder="1" applyAlignment="1">
      <alignment horizontal="center" vertical="center" wrapText="1"/>
    </xf>
    <xf numFmtId="2" fontId="28" fillId="23" borderId="3" xfId="0" applyNumberFormat="1" applyFont="1" applyFill="1" applyBorder="1" applyAlignment="1">
      <alignment horizontal="center" vertical="center" wrapText="1"/>
    </xf>
    <xf numFmtId="1" fontId="29" fillId="23" borderId="3" xfId="0" applyNumberFormat="1" applyFont="1" applyFill="1" applyBorder="1" applyAlignment="1" applyProtection="1">
      <alignment horizontal="center" vertical="center" wrapText="1"/>
      <protection hidden="1"/>
    </xf>
    <xf numFmtId="10" fontId="28" fillId="23" borderId="3" xfId="0" applyNumberFormat="1" applyFont="1" applyFill="1" applyBorder="1" applyAlignment="1">
      <alignment horizontal="center" vertical="center" wrapText="1"/>
    </xf>
    <xf numFmtId="1" fontId="28" fillId="23" borderId="18" xfId="0" applyNumberFormat="1" applyFont="1" applyFill="1" applyBorder="1" applyAlignment="1">
      <alignment horizontal="center" vertical="center" wrapText="1"/>
    </xf>
    <xf numFmtId="1" fontId="28" fillId="23" borderId="3" xfId="0" applyNumberFormat="1" applyFont="1" applyFill="1" applyBorder="1" applyAlignment="1">
      <alignment horizontal="center" vertical="center" wrapText="1"/>
    </xf>
    <xf numFmtId="166" fontId="28" fillId="23" borderId="3" xfId="0" applyNumberFormat="1" applyFont="1" applyFill="1" applyBorder="1" applyAlignment="1">
      <alignment horizontal="center" vertical="center" wrapText="1"/>
    </xf>
    <xf numFmtId="1" fontId="28" fillId="23" borderId="31" xfId="0" applyNumberFormat="1" applyFont="1" applyFill="1" applyBorder="1" applyAlignment="1">
      <alignment horizontal="center" vertical="center" wrapText="1"/>
    </xf>
    <xf numFmtId="1" fontId="28" fillId="2" borderId="18" xfId="0" applyNumberFormat="1" applyFont="1" applyFill="1" applyBorder="1" applyAlignment="1">
      <alignment horizontal="center" vertical="center" wrapText="1"/>
    </xf>
    <xf numFmtId="0" fontId="28" fillId="2" borderId="18" xfId="0" applyFont="1" applyFill="1" applyBorder="1" applyAlignment="1">
      <alignment horizontal="center" vertical="center" wrapText="1"/>
    </xf>
    <xf numFmtId="166" fontId="31" fillId="9" borderId="3" xfId="0" applyNumberFormat="1" applyFont="1" applyFill="1" applyBorder="1" applyAlignment="1">
      <alignment horizontal="center" vertical="center" wrapText="1"/>
    </xf>
    <xf numFmtId="1" fontId="29" fillId="21" borderId="9" xfId="0" applyNumberFormat="1" applyFont="1" applyFill="1" applyBorder="1" applyAlignment="1" applyProtection="1">
      <alignment horizontal="center" vertical="center" wrapText="1"/>
      <protection hidden="1"/>
    </xf>
    <xf numFmtId="1" fontId="31" fillId="2" borderId="18" xfId="0" applyNumberFormat="1" applyFont="1" applyFill="1" applyBorder="1" applyAlignment="1">
      <alignment horizontal="center" vertical="center" wrapText="1"/>
    </xf>
    <xf numFmtId="1" fontId="29" fillId="2" borderId="10" xfId="0" applyNumberFormat="1" applyFont="1" applyFill="1" applyBorder="1" applyAlignment="1" applyProtection="1">
      <alignment horizontal="center" vertical="center" wrapText="1"/>
      <protection hidden="1"/>
    </xf>
    <xf numFmtId="1" fontId="31" fillId="11" borderId="3" xfId="0" applyNumberFormat="1" applyFont="1" applyFill="1" applyBorder="1" applyAlignment="1">
      <alignment horizontal="center" vertical="center" wrapText="1"/>
    </xf>
    <xf numFmtId="3" fontId="28" fillId="2" borderId="18" xfId="0" applyNumberFormat="1" applyFont="1" applyFill="1" applyBorder="1" applyAlignment="1">
      <alignment horizontal="center" vertical="center" wrapText="1"/>
    </xf>
    <xf numFmtId="1" fontId="29" fillId="11" borderId="3" xfId="0" applyNumberFormat="1" applyFont="1" applyFill="1" applyBorder="1" applyAlignment="1">
      <alignment horizontal="center" vertical="center" wrapText="1"/>
    </xf>
    <xf numFmtId="9" fontId="28" fillId="0" borderId="3" xfId="0" applyNumberFormat="1" applyFont="1" applyBorder="1" applyAlignment="1">
      <alignment horizontal="center" vertical="center" wrapText="1"/>
    </xf>
    <xf numFmtId="1" fontId="31" fillId="21" borderId="18" xfId="0" applyNumberFormat="1" applyFont="1" applyFill="1" applyBorder="1" applyAlignment="1">
      <alignment horizontal="center" vertical="center" wrapText="1"/>
    </xf>
    <xf numFmtId="1" fontId="29" fillId="21" borderId="3" xfId="0" applyNumberFormat="1" applyFont="1" applyFill="1" applyBorder="1" applyAlignment="1">
      <alignment horizontal="center" vertical="center" wrapText="1"/>
    </xf>
    <xf numFmtId="1" fontId="31" fillId="21" borderId="3" xfId="0" applyNumberFormat="1" applyFont="1" applyFill="1" applyBorder="1" applyAlignment="1">
      <alignment horizontal="center" vertical="center" wrapText="1"/>
    </xf>
    <xf numFmtId="2" fontId="31" fillId="21" borderId="3" xfId="0" applyNumberFormat="1" applyFont="1" applyFill="1" applyBorder="1" applyAlignment="1">
      <alignment horizontal="center" vertical="center" wrapText="1"/>
    </xf>
    <xf numFmtId="166" fontId="29" fillId="21" borderId="3" xfId="0" applyNumberFormat="1" applyFont="1" applyFill="1" applyBorder="1" applyAlignment="1" applyProtection="1">
      <alignment horizontal="center" vertical="center" wrapText="1"/>
      <protection hidden="1"/>
    </xf>
    <xf numFmtId="10" fontId="31" fillId="21" borderId="3" xfId="0" applyNumberFormat="1" applyFont="1" applyFill="1" applyBorder="1" applyAlignment="1">
      <alignment horizontal="center" vertical="center" wrapText="1"/>
    </xf>
    <xf numFmtId="0" fontId="31" fillId="21" borderId="18" xfId="0" applyFont="1" applyFill="1" applyBorder="1" applyAlignment="1">
      <alignment horizontal="center" vertical="center" wrapText="1"/>
    </xf>
    <xf numFmtId="0" fontId="29" fillId="21" borderId="3" xfId="0" applyFont="1" applyFill="1" applyBorder="1" applyAlignment="1" applyProtection="1">
      <alignment horizontal="center" vertical="center" wrapText="1"/>
      <protection hidden="1"/>
    </xf>
    <xf numFmtId="0" fontId="31" fillId="21" borderId="3" xfId="0" applyFont="1" applyFill="1" applyBorder="1" applyAlignment="1">
      <alignment horizontal="center" vertical="center" wrapText="1"/>
    </xf>
    <xf numFmtId="1" fontId="29" fillId="21" borderId="3" xfId="0" applyNumberFormat="1" applyFont="1" applyFill="1" applyBorder="1" applyAlignment="1" applyProtection="1">
      <alignment horizontal="center" vertical="center" wrapText="1"/>
      <protection hidden="1"/>
    </xf>
    <xf numFmtId="166" fontId="31" fillId="21" borderId="3" xfId="0" applyNumberFormat="1" applyFont="1" applyFill="1" applyBorder="1" applyAlignment="1">
      <alignment horizontal="center" vertical="center" wrapText="1"/>
    </xf>
    <xf numFmtId="1" fontId="31" fillId="21" borderId="31" xfId="0" applyNumberFormat="1" applyFont="1" applyFill="1" applyBorder="1" applyAlignment="1">
      <alignment horizontal="center" vertical="center" wrapText="1"/>
    </xf>
    <xf numFmtId="3" fontId="28" fillId="23" borderId="3" xfId="0" applyNumberFormat="1" applyFont="1" applyFill="1" applyBorder="1" applyAlignment="1">
      <alignment horizontal="center" vertical="center" wrapText="1"/>
    </xf>
    <xf numFmtId="0" fontId="28" fillId="23" borderId="3" xfId="0" applyFont="1" applyFill="1" applyBorder="1" applyAlignment="1">
      <alignment horizontal="center" vertical="center"/>
    </xf>
    <xf numFmtId="9" fontId="28" fillId="23" borderId="3" xfId="3" applyFont="1" applyFill="1" applyBorder="1" applyAlignment="1">
      <alignment horizontal="center" vertical="center" wrapText="1"/>
    </xf>
    <xf numFmtId="1" fontId="30" fillId="2" borderId="18" xfId="0" applyNumberFormat="1" applyFont="1" applyFill="1" applyBorder="1" applyAlignment="1">
      <alignment horizontal="center" vertical="center" wrapText="1"/>
    </xf>
    <xf numFmtId="1" fontId="33" fillId="11" borderId="3" xfId="0" applyNumberFormat="1" applyFont="1" applyFill="1" applyBorder="1" applyAlignment="1">
      <alignment horizontal="center" vertical="center" wrapText="1"/>
    </xf>
    <xf numFmtId="1" fontId="30" fillId="11" borderId="3" xfId="0" applyNumberFormat="1" applyFont="1" applyFill="1" applyBorder="1" applyAlignment="1">
      <alignment horizontal="center" vertical="center" wrapText="1"/>
    </xf>
    <xf numFmtId="2" fontId="30" fillId="17" borderId="3" xfId="0" applyNumberFormat="1" applyFont="1" applyFill="1" applyBorder="1" applyAlignment="1">
      <alignment horizontal="center" vertical="center" wrapText="1"/>
    </xf>
    <xf numFmtId="166" fontId="33" fillId="11" borderId="3" xfId="0" applyNumberFormat="1" applyFont="1" applyFill="1" applyBorder="1" applyAlignment="1" applyProtection="1">
      <alignment horizontal="center" vertical="center" wrapText="1"/>
      <protection hidden="1"/>
    </xf>
    <xf numFmtId="10" fontId="30" fillId="11" borderId="3" xfId="0" applyNumberFormat="1" applyFont="1" applyFill="1" applyBorder="1" applyAlignment="1">
      <alignment horizontal="center" vertical="center" wrapText="1"/>
    </xf>
    <xf numFmtId="0" fontId="28" fillId="0" borderId="18" xfId="0" applyFont="1" applyBorder="1" applyAlignment="1">
      <alignment horizontal="center" vertical="center" wrapText="1"/>
    </xf>
    <xf numFmtId="10" fontId="28" fillId="11" borderId="3" xfId="3" applyNumberFormat="1" applyFont="1" applyFill="1" applyBorder="1" applyAlignment="1">
      <alignment horizontal="center" vertical="center" wrapText="1"/>
    </xf>
    <xf numFmtId="3" fontId="28" fillId="24" borderId="3" xfId="0" applyNumberFormat="1" applyFont="1" applyFill="1" applyBorder="1" applyAlignment="1">
      <alignment horizontal="center" vertical="center" wrapText="1"/>
    </xf>
    <xf numFmtId="0" fontId="28" fillId="24" borderId="3" xfId="0" applyFont="1" applyFill="1" applyBorder="1" applyAlignment="1">
      <alignment horizontal="center" vertical="center" wrapText="1"/>
    </xf>
    <xf numFmtId="0" fontId="29" fillId="24" borderId="3" xfId="0" applyFont="1" applyFill="1" applyBorder="1" applyAlignment="1" applyProtection="1">
      <alignment horizontal="center" vertical="center" wrapText="1"/>
      <protection hidden="1"/>
    </xf>
    <xf numFmtId="0" fontId="28" fillId="24" borderId="3" xfId="0" applyFont="1" applyFill="1" applyBorder="1" applyAlignment="1">
      <alignment horizontal="center" vertical="center"/>
    </xf>
    <xf numFmtId="166" fontId="28" fillId="24" borderId="3" xfId="0" applyNumberFormat="1" applyFont="1" applyFill="1" applyBorder="1" applyAlignment="1">
      <alignment horizontal="center" vertical="center" wrapText="1"/>
    </xf>
    <xf numFmtId="9" fontId="28" fillId="24" borderId="3" xfId="3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34" fillId="18" borderId="2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0" fontId="7" fillId="0" borderId="0" xfId="0" applyFont="1"/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3" xfId="0" applyFont="1" applyBorder="1"/>
    <xf numFmtId="14" fontId="0" fillId="0" borderId="3" xfId="0" applyNumberFormat="1" applyBorder="1" applyAlignment="1">
      <alignment horizontal="left"/>
    </xf>
    <xf numFmtId="14" fontId="10" fillId="0" borderId="3" xfId="0" applyNumberFormat="1" applyFont="1" applyBorder="1" applyAlignment="1">
      <alignment horizontal="left"/>
    </xf>
    <xf numFmtId="14" fontId="10" fillId="22" borderId="3" xfId="0" applyNumberFormat="1" applyFont="1" applyFill="1" applyBorder="1" applyAlignment="1">
      <alignment horizontal="left"/>
    </xf>
    <xf numFmtId="0" fontId="10" fillId="22" borderId="3" xfId="0" applyFont="1" applyFill="1" applyBorder="1" applyAlignment="1">
      <alignment horizontal="left"/>
    </xf>
    <xf numFmtId="0" fontId="13" fillId="22" borderId="3" xfId="0" applyFont="1" applyFill="1" applyBorder="1" applyAlignment="1">
      <alignment horizontal="left"/>
    </xf>
    <xf numFmtId="0" fontId="3" fillId="22" borderId="3" xfId="0" applyFont="1" applyFill="1" applyBorder="1" applyAlignment="1">
      <alignment horizontal="left"/>
    </xf>
    <xf numFmtId="0" fontId="25" fillId="9" borderId="0" xfId="0" applyFont="1" applyFill="1" applyAlignment="1">
      <alignment horizontal="left"/>
    </xf>
    <xf numFmtId="165" fontId="10" fillId="0" borderId="3" xfId="0" applyNumberFormat="1" applyFont="1" applyBorder="1" applyAlignment="1">
      <alignment horizontal="left"/>
    </xf>
    <xf numFmtId="1" fontId="10" fillId="0" borderId="3" xfId="0" applyNumberFormat="1" applyFont="1" applyBorder="1" applyAlignment="1">
      <alignment horizontal="left"/>
    </xf>
    <xf numFmtId="14" fontId="3" fillId="0" borderId="3" xfId="0" applyNumberFormat="1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165" fontId="13" fillId="0" borderId="3" xfId="0" applyNumberFormat="1" applyFont="1" applyBorder="1" applyAlignment="1">
      <alignment horizontal="left"/>
    </xf>
    <xf numFmtId="165" fontId="13" fillId="22" borderId="3" xfId="0" applyNumberFormat="1" applyFont="1" applyFill="1" applyBorder="1" applyAlignment="1">
      <alignment horizontal="left"/>
    </xf>
    <xf numFmtId="1" fontId="10" fillId="22" borderId="3" xfId="0" applyNumberFormat="1" applyFont="1" applyFill="1" applyBorder="1" applyAlignment="1">
      <alignment horizontal="left"/>
    </xf>
    <xf numFmtId="14" fontId="26" fillId="22" borderId="3" xfId="0" applyNumberFormat="1" applyFont="1" applyFill="1" applyBorder="1" applyAlignment="1">
      <alignment horizontal="left"/>
    </xf>
    <xf numFmtId="165" fontId="10" fillId="22" borderId="3" xfId="0" applyNumberFormat="1" applyFont="1" applyFill="1" applyBorder="1" applyAlignment="1">
      <alignment horizontal="left"/>
    </xf>
    <xf numFmtId="0" fontId="27" fillId="22" borderId="3" xfId="0" applyFont="1" applyFill="1" applyBorder="1" applyAlignment="1">
      <alignment horizontal="left"/>
    </xf>
    <xf numFmtId="49" fontId="10" fillId="22" borderId="3" xfId="0" applyNumberFormat="1" applyFont="1" applyFill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10" fillId="2" borderId="3" xfId="0" applyFont="1" applyFill="1" applyBorder="1" applyAlignment="1">
      <alignment horizontal="left"/>
    </xf>
    <xf numFmtId="14" fontId="3" fillId="22" borderId="3" xfId="0" applyNumberFormat="1" applyFont="1" applyFill="1" applyBorder="1" applyAlignment="1">
      <alignment horizontal="left"/>
    </xf>
    <xf numFmtId="15" fontId="0" fillId="0" borderId="3" xfId="0" applyNumberFormat="1" applyBorder="1" applyAlignment="1">
      <alignment horizontal="left"/>
    </xf>
    <xf numFmtId="0" fontId="10" fillId="0" borderId="3" xfId="0" applyFont="1" applyBorder="1" applyAlignment="1" applyProtection="1">
      <alignment horizontal="left"/>
      <protection locked="0"/>
    </xf>
    <xf numFmtId="0" fontId="0" fillId="0" borderId="22" xfId="0" applyBorder="1" applyAlignment="1">
      <alignment horizontal="left"/>
    </xf>
    <xf numFmtId="0" fontId="10" fillId="22" borderId="19" xfId="0" applyFont="1" applyFill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left"/>
    </xf>
    <xf numFmtId="14" fontId="0" fillId="0" borderId="8" xfId="0" applyNumberFormat="1" applyBorder="1" applyAlignment="1">
      <alignment horizontal="left"/>
    </xf>
    <xf numFmtId="0" fontId="10" fillId="0" borderId="44" xfId="0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10" fillId="22" borderId="3" xfId="0" quotePrefix="1" applyFont="1" applyFill="1" applyBorder="1" applyAlignment="1">
      <alignment horizontal="left"/>
    </xf>
    <xf numFmtId="0" fontId="3" fillId="0" borderId="19" xfId="0" applyFont="1" applyBorder="1" applyAlignment="1">
      <alignment horizontal="left" vertical="center"/>
    </xf>
    <xf numFmtId="0" fontId="3" fillId="22" borderId="19" xfId="0" applyFont="1" applyFill="1" applyBorder="1" applyAlignment="1">
      <alignment horizontal="left" vertical="center"/>
    </xf>
    <xf numFmtId="14" fontId="0" fillId="0" borderId="17" xfId="0" applyNumberFormat="1" applyBorder="1" applyAlignment="1">
      <alignment horizontal="left"/>
    </xf>
    <xf numFmtId="14" fontId="0" fillId="0" borderId="17" xfId="0" applyNumberFormat="1" applyBorder="1" applyAlignment="1">
      <alignment horizontal="left" vertical="center"/>
    </xf>
    <xf numFmtId="0" fontId="0" fillId="0" borderId="26" xfId="0" applyBorder="1" applyAlignment="1">
      <alignment horizontal="left"/>
    </xf>
    <xf numFmtId="0" fontId="0" fillId="0" borderId="45" xfId="0" applyBorder="1" applyAlignment="1">
      <alignment horizontal="left"/>
    </xf>
    <xf numFmtId="0" fontId="10" fillId="0" borderId="44" xfId="0" quotePrefix="1" applyFont="1" applyBorder="1" applyAlignment="1">
      <alignment horizontal="left" vertical="center"/>
    </xf>
    <xf numFmtId="14" fontId="0" fillId="0" borderId="21" xfId="0" applyNumberFormat="1" applyBorder="1" applyAlignment="1">
      <alignment horizontal="left"/>
    </xf>
    <xf numFmtId="14" fontId="0" fillId="0" borderId="22" xfId="0" applyNumberFormat="1" applyBorder="1" applyAlignment="1">
      <alignment horizontal="left"/>
    </xf>
    <xf numFmtId="0" fontId="10" fillId="0" borderId="46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10" fillId="0" borderId="17" xfId="0" quotePrefix="1" applyFont="1" applyBorder="1" applyAlignment="1">
      <alignment horizontal="left" vertical="center"/>
    </xf>
    <xf numFmtId="0" fontId="10" fillId="22" borderId="19" xfId="0" quotePrefix="1" applyFont="1" applyFill="1" applyBorder="1" applyAlignment="1">
      <alignment horizontal="left" vertical="center"/>
    </xf>
    <xf numFmtId="0" fontId="10" fillId="0" borderId="19" xfId="0" applyFont="1" applyBorder="1" applyAlignment="1">
      <alignment vertical="center"/>
    </xf>
    <xf numFmtId="0" fontId="10" fillId="0" borderId="44" xfId="0" quotePrefix="1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46" xfId="0" applyFont="1" applyBorder="1" applyAlignment="1">
      <alignment vertical="center"/>
    </xf>
    <xf numFmtId="14" fontId="10" fillId="22" borderId="19" xfId="0" applyNumberFormat="1" applyFont="1" applyFill="1" applyBorder="1" applyAlignment="1">
      <alignment horizontal="left" vertical="center"/>
    </xf>
    <xf numFmtId="14" fontId="10" fillId="0" borderId="19" xfId="0" applyNumberFormat="1" applyFont="1" applyBorder="1" applyAlignment="1">
      <alignment horizontal="left" vertical="center"/>
    </xf>
    <xf numFmtId="14" fontId="10" fillId="0" borderId="44" xfId="0" applyNumberFormat="1" applyFont="1" applyBorder="1" applyAlignment="1">
      <alignment horizontal="left" vertical="center"/>
    </xf>
    <xf numFmtId="14" fontId="10" fillId="0" borderId="17" xfId="0" applyNumberFormat="1" applyFont="1" applyBorder="1" applyAlignment="1">
      <alignment horizontal="left" vertical="center"/>
    </xf>
    <xf numFmtId="14" fontId="10" fillId="0" borderId="46" xfId="0" applyNumberFormat="1" applyFont="1" applyBorder="1" applyAlignment="1">
      <alignment horizontal="left" vertical="center"/>
    </xf>
    <xf numFmtId="14" fontId="3" fillId="22" borderId="19" xfId="0" applyNumberFormat="1" applyFont="1" applyFill="1" applyBorder="1" applyAlignment="1">
      <alignment horizontal="left" vertical="center"/>
    </xf>
    <xf numFmtId="0" fontId="23" fillId="0" borderId="3" xfId="0" applyFont="1" applyBorder="1" applyAlignment="1">
      <alignment horizontal="left" vertical="center" wrapText="1"/>
    </xf>
    <xf numFmtId="0" fontId="23" fillId="13" borderId="3" xfId="0" applyFont="1" applyFill="1" applyBorder="1" applyAlignment="1">
      <alignment horizontal="center" vertical="center" wrapText="1"/>
    </xf>
    <xf numFmtId="0" fontId="23" fillId="9" borderId="3" xfId="0" applyFont="1" applyFill="1" applyBorder="1" applyAlignment="1">
      <alignment horizontal="center" vertical="center" wrapText="1"/>
    </xf>
    <xf numFmtId="166" fontId="30" fillId="9" borderId="0" xfId="0" applyNumberFormat="1" applyFont="1" applyFill="1" applyAlignment="1">
      <alignment horizontal="center" vertical="center" wrapText="1"/>
    </xf>
    <xf numFmtId="0" fontId="23" fillId="0" borderId="3" xfId="0" applyFont="1" applyBorder="1" applyAlignment="1" applyProtection="1">
      <alignment horizontal="left" vertical="center" wrapText="1"/>
      <protection hidden="1"/>
    </xf>
    <xf numFmtId="166" fontId="30" fillId="9" borderId="35" xfId="0" applyNumberFormat="1" applyFont="1" applyFill="1" applyBorder="1" applyAlignment="1">
      <alignment horizontal="center" vertical="center" wrapText="1"/>
    </xf>
    <xf numFmtId="166" fontId="30" fillId="9" borderId="3" xfId="0" applyNumberFormat="1" applyFont="1" applyFill="1" applyBorder="1" applyAlignment="1">
      <alignment horizontal="center" vertical="center" wrapText="1"/>
    </xf>
    <xf numFmtId="0" fontId="23" fillId="2" borderId="42" xfId="0" applyFont="1" applyFill="1" applyBorder="1" applyAlignment="1">
      <alignment horizontal="center" vertical="center" wrapText="1"/>
    </xf>
    <xf numFmtId="0" fontId="23" fillId="2" borderId="43" xfId="0" applyFont="1" applyFill="1" applyBorder="1" applyAlignment="1">
      <alignment horizontal="center" vertical="center" wrapText="1"/>
    </xf>
    <xf numFmtId="0" fontId="23" fillId="9" borderId="36" xfId="0" applyFont="1" applyFill="1" applyBorder="1" applyAlignment="1">
      <alignment horizontal="center" vertical="center" wrapText="1"/>
    </xf>
    <xf numFmtId="3" fontId="28" fillId="2" borderId="36" xfId="0" applyNumberFormat="1" applyFont="1" applyFill="1" applyBorder="1" applyAlignment="1">
      <alignment horizontal="center" vertical="center" wrapText="1"/>
    </xf>
    <xf numFmtId="3" fontId="30" fillId="9" borderId="37" xfId="0" applyNumberFormat="1" applyFont="1" applyFill="1" applyBorder="1" applyAlignment="1">
      <alignment horizontal="center" vertical="center" wrapText="1"/>
    </xf>
    <xf numFmtId="3" fontId="31" fillId="9" borderId="37" xfId="0" applyNumberFormat="1" applyFont="1" applyFill="1" applyBorder="1" applyAlignment="1">
      <alignment horizontal="center" vertical="center" wrapText="1"/>
    </xf>
    <xf numFmtId="166" fontId="28" fillId="2" borderId="3" xfId="0" applyNumberFormat="1" applyFont="1" applyFill="1" applyBorder="1" applyAlignment="1">
      <alignment horizontal="center" vertical="center" wrapText="1"/>
    </xf>
    <xf numFmtId="0" fontId="28" fillId="2" borderId="38" xfId="0" applyFont="1" applyFill="1" applyBorder="1" applyAlignment="1">
      <alignment horizontal="center" vertical="center" wrapText="1"/>
    </xf>
    <xf numFmtId="0" fontId="23" fillId="9" borderId="3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 wrapText="1"/>
    </xf>
    <xf numFmtId="0" fontId="7" fillId="19" borderId="5" xfId="0" applyFont="1" applyFill="1" applyBorder="1" applyAlignment="1">
      <alignment horizontal="center" vertical="center" wrapText="1"/>
    </xf>
    <xf numFmtId="0" fontId="7" fillId="20" borderId="5" xfId="0" applyFont="1" applyFill="1" applyBorder="1" applyAlignment="1">
      <alignment horizontal="center" vertical="center" wrapText="1"/>
    </xf>
    <xf numFmtId="0" fontId="7" fillId="9" borderId="0" xfId="0" applyFont="1" applyFill="1" applyAlignment="1">
      <alignment horizontal="center" vertical="center" wrapText="1"/>
    </xf>
    <xf numFmtId="0" fontId="7" fillId="16" borderId="30" xfId="0" applyFont="1" applyFill="1" applyBorder="1" applyAlignment="1">
      <alignment horizontal="center" vertical="center" wrapText="1"/>
    </xf>
    <xf numFmtId="0" fontId="7" fillId="16" borderId="5" xfId="0" applyFont="1" applyFill="1" applyBorder="1" applyAlignment="1">
      <alignment horizontal="center" vertical="center" wrapText="1"/>
    </xf>
    <xf numFmtId="0" fontId="7" fillId="16" borderId="34" xfId="0" applyFont="1" applyFill="1" applyBorder="1" applyAlignment="1">
      <alignment horizontal="center" vertical="center" wrapText="1"/>
    </xf>
    <xf numFmtId="0" fontId="7" fillId="13" borderId="30" xfId="0" applyFont="1" applyFill="1" applyBorder="1" applyAlignment="1">
      <alignment horizontal="center" vertical="center" wrapText="1"/>
    </xf>
    <xf numFmtId="0" fontId="7" fillId="13" borderId="5" xfId="0" applyFont="1" applyFill="1" applyBorder="1" applyAlignment="1">
      <alignment horizontal="center" vertical="center" wrapText="1"/>
    </xf>
    <xf numFmtId="1" fontId="7" fillId="14" borderId="30" xfId="0" applyNumberFormat="1" applyFont="1" applyFill="1" applyBorder="1" applyAlignment="1">
      <alignment horizontal="center" vertical="center" wrapText="1"/>
    </xf>
    <xf numFmtId="1" fontId="7" fillId="14" borderId="5" xfId="0" applyNumberFormat="1" applyFont="1" applyFill="1" applyBorder="1" applyAlignment="1">
      <alignment horizontal="center" vertical="center" wrapText="1"/>
    </xf>
    <xf numFmtId="0" fontId="7" fillId="14" borderId="30" xfId="0" applyFont="1" applyFill="1" applyBorder="1" applyAlignment="1">
      <alignment horizontal="center" vertical="center" wrapText="1"/>
    </xf>
    <xf numFmtId="0" fontId="7" fillId="14" borderId="5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9" borderId="0" xfId="0" applyFill="1" applyAlignment="1">
      <alignment vertical="center" wrapText="1"/>
    </xf>
    <xf numFmtId="1" fontId="0" fillId="0" borderId="0" xfId="0" applyNumberFormat="1" applyAlignment="1">
      <alignment vertical="center" wrapText="1"/>
    </xf>
    <xf numFmtId="0" fontId="39" fillId="8" borderId="3" xfId="0" applyFont="1" applyFill="1" applyBorder="1" applyAlignment="1" applyProtection="1">
      <alignment horizontal="left" vertical="center" wrapText="1"/>
      <protection hidden="1"/>
    </xf>
    <xf numFmtId="0" fontId="39" fillId="0" borderId="3" xfId="0" applyFont="1" applyBorder="1" applyAlignment="1" applyProtection="1">
      <alignment horizontal="left" vertical="center" wrapText="1"/>
      <protection hidden="1"/>
    </xf>
    <xf numFmtId="0" fontId="7" fillId="15" borderId="32" xfId="0" applyFont="1" applyFill="1" applyBorder="1" applyAlignment="1">
      <alignment horizontal="center" vertical="center" wrapText="1"/>
    </xf>
    <xf numFmtId="0" fontId="7" fillId="15" borderId="33" xfId="0" applyFont="1" applyFill="1" applyBorder="1" applyAlignment="1">
      <alignment horizontal="center" vertical="center" wrapText="1"/>
    </xf>
    <xf numFmtId="3" fontId="28" fillId="3" borderId="18" xfId="0" applyNumberFormat="1" applyFont="1" applyFill="1" applyBorder="1" applyAlignment="1">
      <alignment horizontal="center" vertical="center" wrapText="1"/>
    </xf>
    <xf numFmtId="166" fontId="28" fillId="3" borderId="31" xfId="0" applyNumberFormat="1" applyFont="1" applyFill="1" applyBorder="1" applyAlignment="1">
      <alignment horizontal="center" vertical="center" wrapText="1"/>
    </xf>
    <xf numFmtId="0" fontId="38" fillId="0" borderId="3" xfId="0" applyFont="1" applyBorder="1" applyAlignment="1">
      <alignment vertical="center"/>
    </xf>
    <xf numFmtId="0" fontId="28" fillId="3" borderId="18" xfId="0" applyFont="1" applyFill="1" applyBorder="1" applyAlignment="1">
      <alignment horizontal="center" vertical="center" wrapText="1"/>
    </xf>
    <xf numFmtId="0" fontId="28" fillId="3" borderId="31" xfId="0" applyFont="1" applyFill="1" applyBorder="1" applyAlignment="1">
      <alignment horizontal="center" vertical="center" wrapText="1"/>
    </xf>
    <xf numFmtId="3" fontId="28" fillId="3" borderId="31" xfId="0" applyNumberFormat="1" applyFont="1" applyFill="1" applyBorder="1" applyAlignment="1">
      <alignment horizontal="center" vertical="center" wrapText="1"/>
    </xf>
    <xf numFmtId="3" fontId="28" fillId="3" borderId="35" xfId="0" applyNumberFormat="1" applyFont="1" applyFill="1" applyBorder="1" applyAlignment="1">
      <alignment horizontal="center" vertical="center" wrapText="1"/>
    </xf>
    <xf numFmtId="166" fontId="28" fillId="3" borderId="10" xfId="0" applyNumberFormat="1" applyFont="1" applyFill="1" applyBorder="1" applyAlignment="1">
      <alignment horizontal="center" vertical="center" wrapText="1"/>
    </xf>
    <xf numFmtId="3" fontId="28" fillId="3" borderId="10" xfId="0" applyNumberFormat="1" applyFont="1" applyFill="1" applyBorder="1" applyAlignment="1">
      <alignment horizontal="center" vertical="center" wrapText="1"/>
    </xf>
    <xf numFmtId="166" fontId="28" fillId="3" borderId="0" xfId="0" applyNumberFormat="1" applyFont="1" applyFill="1" applyAlignment="1">
      <alignment horizontal="center" vertical="center" wrapText="1"/>
    </xf>
    <xf numFmtId="3" fontId="28" fillId="6" borderId="36" xfId="0" applyNumberFormat="1" applyFont="1" applyFill="1" applyBorder="1" applyAlignment="1">
      <alignment horizontal="center" vertical="center" wrapText="1"/>
    </xf>
    <xf numFmtId="166" fontId="28" fillId="0" borderId="3" xfId="0" applyNumberFormat="1" applyFont="1" applyBorder="1" applyAlignment="1">
      <alignment horizontal="center" vertical="center" wrapText="1"/>
    </xf>
    <xf numFmtId="9" fontId="28" fillId="0" borderId="3" xfId="1" applyFont="1" applyFill="1" applyBorder="1" applyAlignment="1">
      <alignment horizontal="center" vertical="center" wrapText="1"/>
    </xf>
    <xf numFmtId="0" fontId="28" fillId="11" borderId="3" xfId="0" applyFont="1" applyFill="1" applyBorder="1" applyAlignment="1">
      <alignment horizontal="center" vertical="center" wrapText="1"/>
    </xf>
    <xf numFmtId="0" fontId="28" fillId="2" borderId="43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29" fillId="0" borderId="31" xfId="0" applyFont="1" applyBorder="1" applyAlignment="1" applyProtection="1">
      <alignment horizontal="center" vertical="center" wrapText="1"/>
      <protection hidden="1"/>
    </xf>
    <xf numFmtId="0" fontId="28" fillId="0" borderId="3" xfId="0" applyFont="1" applyBorder="1" applyAlignment="1">
      <alignment vertical="center" wrapText="1"/>
    </xf>
    <xf numFmtId="0" fontId="32" fillId="0" borderId="3" xfId="0" applyFont="1" applyBorder="1" applyAlignment="1">
      <alignment vertical="center" wrapText="1"/>
    </xf>
    <xf numFmtId="0" fontId="10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14" fontId="3" fillId="0" borderId="17" xfId="0" applyNumberFormat="1" applyFont="1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7" xfId="0" quotePrefix="1" applyBorder="1" applyAlignment="1">
      <alignment horizontal="left"/>
    </xf>
    <xf numFmtId="0" fontId="28" fillId="9" borderId="3" xfId="0" applyFont="1" applyFill="1" applyBorder="1" applyAlignment="1">
      <alignment horizontal="center" vertical="center" wrapText="1"/>
    </xf>
    <xf numFmtId="3" fontId="28" fillId="3" borderId="3" xfId="0" applyNumberFormat="1" applyFont="1" applyFill="1" applyBorder="1" applyAlignment="1">
      <alignment horizontal="center" vertical="center" wrapText="1"/>
    </xf>
    <xf numFmtId="166" fontId="28" fillId="9" borderId="3" xfId="0" applyNumberFormat="1" applyFont="1" applyFill="1" applyBorder="1" applyAlignment="1">
      <alignment horizontal="center" vertical="center" wrapText="1"/>
    </xf>
    <xf numFmtId="9" fontId="28" fillId="9" borderId="3" xfId="1" applyFont="1" applyFill="1" applyBorder="1" applyAlignment="1">
      <alignment horizontal="center" vertical="center" wrapText="1"/>
    </xf>
    <xf numFmtId="3" fontId="28" fillId="9" borderId="3" xfId="0" applyNumberFormat="1" applyFont="1" applyFill="1" applyBorder="1" applyAlignment="1">
      <alignment horizontal="center" vertical="center" wrapText="1"/>
    </xf>
    <xf numFmtId="0" fontId="29" fillId="9" borderId="31" xfId="0" applyFont="1" applyFill="1" applyBorder="1" applyAlignment="1" applyProtection="1">
      <alignment horizontal="center" vertical="center" wrapText="1"/>
      <protection hidden="1"/>
    </xf>
    <xf numFmtId="0" fontId="28" fillId="9" borderId="3" xfId="0" applyFont="1" applyFill="1" applyBorder="1" applyAlignment="1">
      <alignment horizontal="center" vertical="center"/>
    </xf>
    <xf numFmtId="0" fontId="28" fillId="9" borderId="18" xfId="0" applyFont="1" applyFill="1" applyBorder="1" applyAlignment="1">
      <alignment horizontal="center" vertical="center" wrapText="1"/>
    </xf>
    <xf numFmtId="1" fontId="30" fillId="9" borderId="18" xfId="0" applyNumberFormat="1" applyFont="1" applyFill="1" applyBorder="1" applyAlignment="1">
      <alignment horizontal="center" vertical="center" wrapText="1"/>
    </xf>
    <xf numFmtId="1" fontId="29" fillId="9" borderId="9" xfId="0" applyNumberFormat="1" applyFont="1" applyFill="1" applyBorder="1" applyAlignment="1" applyProtection="1">
      <alignment horizontal="center" vertical="center" wrapText="1"/>
      <protection hidden="1"/>
    </xf>
    <xf numFmtId="1" fontId="33" fillId="9" borderId="3" xfId="0" applyNumberFormat="1" applyFont="1" applyFill="1" applyBorder="1" applyAlignment="1">
      <alignment horizontal="center" vertical="center" wrapText="1"/>
    </xf>
    <xf numFmtId="1" fontId="30" fillId="9" borderId="3" xfId="0" applyNumberFormat="1" applyFont="1" applyFill="1" applyBorder="1" applyAlignment="1">
      <alignment horizontal="center" vertical="center" wrapText="1"/>
    </xf>
    <xf numFmtId="166" fontId="33" fillId="9" borderId="3" xfId="0" applyNumberFormat="1" applyFont="1" applyFill="1" applyBorder="1" applyAlignment="1" applyProtection="1">
      <alignment horizontal="center" vertical="center" wrapText="1"/>
      <protection hidden="1"/>
    </xf>
    <xf numFmtId="10" fontId="30" fillId="9" borderId="3" xfId="0" applyNumberFormat="1" applyFont="1" applyFill="1" applyBorder="1" applyAlignment="1">
      <alignment horizontal="center" vertical="center" wrapText="1"/>
    </xf>
    <xf numFmtId="0" fontId="29" fillId="9" borderId="3" xfId="0" applyFont="1" applyFill="1" applyBorder="1" applyAlignment="1" applyProtection="1">
      <alignment horizontal="center" vertical="center" wrapText="1"/>
      <protection hidden="1"/>
    </xf>
    <xf numFmtId="2" fontId="28" fillId="9" borderId="3" xfId="0" applyNumberFormat="1" applyFont="1" applyFill="1" applyBorder="1" applyAlignment="1">
      <alignment horizontal="center" vertical="center" wrapText="1"/>
    </xf>
    <xf numFmtId="1" fontId="29" fillId="9" borderId="3" xfId="0" applyNumberFormat="1" applyFont="1" applyFill="1" applyBorder="1" applyAlignment="1" applyProtection="1">
      <alignment horizontal="center" vertical="center" wrapText="1"/>
      <protection hidden="1"/>
    </xf>
    <xf numFmtId="10" fontId="28" fillId="9" borderId="3" xfId="0" applyNumberFormat="1" applyFont="1" applyFill="1" applyBorder="1" applyAlignment="1">
      <alignment horizontal="center" vertical="center" wrapText="1"/>
    </xf>
    <xf numFmtId="1" fontId="28" fillId="9" borderId="18" xfId="0" applyNumberFormat="1" applyFont="1" applyFill="1" applyBorder="1" applyAlignment="1">
      <alignment horizontal="center" vertical="center" wrapText="1"/>
    </xf>
    <xf numFmtId="1" fontId="28" fillId="9" borderId="3" xfId="0" applyNumberFormat="1" applyFont="1" applyFill="1" applyBorder="1" applyAlignment="1">
      <alignment horizontal="center" vertical="center" wrapText="1"/>
    </xf>
    <xf numFmtId="1" fontId="28" fillId="9" borderId="31" xfId="0" applyNumberFormat="1" applyFont="1" applyFill="1" applyBorder="1" applyAlignment="1">
      <alignment horizontal="center" vertical="center" wrapText="1"/>
    </xf>
    <xf numFmtId="0" fontId="10" fillId="0" borderId="19" xfId="0" quotePrefix="1" applyFont="1" applyBorder="1" applyAlignment="1">
      <alignment horizontal="left" vertical="center"/>
    </xf>
    <xf numFmtId="0" fontId="10" fillId="22" borderId="19" xfId="0" applyFont="1" applyFill="1" applyBorder="1" applyAlignment="1">
      <alignment horizontal="center" vertical="center"/>
    </xf>
    <xf numFmtId="14" fontId="10" fillId="22" borderId="19" xfId="0" applyNumberFormat="1" applyFont="1" applyFill="1" applyBorder="1" applyAlignment="1">
      <alignment horizontal="center" vertical="center"/>
    </xf>
    <xf numFmtId="165" fontId="10" fillId="22" borderId="19" xfId="0" applyNumberFormat="1" applyFont="1" applyFill="1" applyBorder="1" applyAlignment="1">
      <alignment horizontal="center" vertical="center"/>
    </xf>
    <xf numFmtId="0" fontId="10" fillId="22" borderId="19" xfId="0" applyFont="1" applyFill="1" applyBorder="1" applyAlignment="1">
      <alignment vertical="center"/>
    </xf>
    <xf numFmtId="1" fontId="10" fillId="22" borderId="19" xfId="0" applyNumberFormat="1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15" fontId="0" fillId="0" borderId="17" xfId="0" applyNumberFormat="1" applyBorder="1" applyAlignment="1">
      <alignment horizontal="left"/>
    </xf>
    <xf numFmtId="0" fontId="13" fillId="22" borderId="19" xfId="0" applyFont="1" applyFill="1" applyBorder="1" applyAlignment="1">
      <alignment horizontal="left" vertical="center"/>
    </xf>
    <xf numFmtId="0" fontId="10" fillId="22" borderId="3" xfId="0" applyFont="1" applyFill="1" applyBorder="1" applyAlignment="1">
      <alignment horizontal="left" vertical="center"/>
    </xf>
    <xf numFmtId="165" fontId="10" fillId="22" borderId="3" xfId="0" applyNumberFormat="1" applyFont="1" applyFill="1" applyBorder="1" applyAlignment="1">
      <alignment horizontal="center" vertical="center"/>
    </xf>
    <xf numFmtId="14" fontId="3" fillId="0" borderId="19" xfId="0" applyNumberFormat="1" applyFont="1" applyBorder="1" applyAlignment="1">
      <alignment horizontal="center" vertical="center"/>
    </xf>
    <xf numFmtId="0" fontId="0" fillId="0" borderId="21" xfId="0" applyBorder="1" applyAlignment="1">
      <alignment horizontal="left"/>
    </xf>
    <xf numFmtId="14" fontId="3" fillId="22" borderId="19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22" borderId="19" xfId="0" quotePrefix="1" applyFont="1" applyFill="1" applyBorder="1" applyAlignment="1">
      <alignment horizontal="center" vertical="center"/>
    </xf>
    <xf numFmtId="14" fontId="10" fillId="22" borderId="3" xfId="0" applyNumberFormat="1" applyFont="1" applyFill="1" applyBorder="1" applyAlignment="1">
      <alignment horizontal="center" vertical="center"/>
    </xf>
    <xf numFmtId="0" fontId="10" fillId="22" borderId="17" xfId="0" applyFont="1" applyFill="1" applyBorder="1" applyAlignment="1">
      <alignment horizontal="left" vertical="center"/>
    </xf>
    <xf numFmtId="0" fontId="10" fillId="22" borderId="17" xfId="0" applyFont="1" applyFill="1" applyBorder="1" applyAlignment="1">
      <alignment horizontal="center" vertical="center"/>
    </xf>
    <xf numFmtId="14" fontId="10" fillId="22" borderId="17" xfId="0" applyNumberFormat="1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22" borderId="44" xfId="0" applyFont="1" applyFill="1" applyBorder="1" applyAlignment="1">
      <alignment horizontal="center" vertical="center"/>
    </xf>
    <xf numFmtId="14" fontId="10" fillId="0" borderId="44" xfId="0" applyNumberFormat="1" applyFont="1" applyBorder="1" applyAlignment="1">
      <alignment horizontal="center" vertical="center"/>
    </xf>
    <xf numFmtId="0" fontId="3" fillId="2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1" fontId="27" fillId="3" borderId="0" xfId="0" applyNumberFormat="1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10" fillId="3" borderId="0" xfId="0" applyFont="1" applyFill="1" applyAlignment="1" applyProtection="1">
      <alignment horizontal="center"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1" fontId="27" fillId="3" borderId="0" xfId="0" applyNumberFormat="1" applyFont="1" applyFill="1" applyAlignment="1">
      <alignment vertical="center"/>
    </xf>
    <xf numFmtId="0" fontId="27" fillId="3" borderId="0" xfId="0" applyFont="1" applyFill="1" applyAlignment="1" applyProtection="1">
      <alignment horizontal="center" vertical="center"/>
      <protection locked="0"/>
    </xf>
    <xf numFmtId="1" fontId="10" fillId="3" borderId="0" xfId="0" applyNumberFormat="1" applyFont="1" applyFill="1" applyAlignment="1">
      <alignment vertical="center"/>
    </xf>
    <xf numFmtId="0" fontId="12" fillId="3" borderId="2" xfId="0" applyFont="1" applyFill="1" applyBorder="1" applyAlignment="1">
      <alignment vertical="center"/>
    </xf>
    <xf numFmtId="0" fontId="7" fillId="2" borderId="3" xfId="0" applyFont="1" applyFill="1" applyBorder="1"/>
    <xf numFmtId="0" fontId="0" fillId="0" borderId="26" xfId="0" applyBorder="1" applyAlignment="1">
      <alignment textRotation="90"/>
    </xf>
    <xf numFmtId="0" fontId="0" fillId="0" borderId="8" xfId="0" applyBorder="1" applyAlignment="1">
      <alignment textRotation="90"/>
    </xf>
    <xf numFmtId="0" fontId="0" fillId="0" borderId="9" xfId="0" applyBorder="1" applyAlignment="1">
      <alignment textRotation="90"/>
    </xf>
    <xf numFmtId="1" fontId="10" fillId="0" borderId="0" xfId="0" applyNumberFormat="1" applyFont="1" applyAlignment="1">
      <alignment vertical="center"/>
    </xf>
    <xf numFmtId="0" fontId="0" fillId="0" borderId="3" xfId="0" applyBorder="1" applyAlignment="1">
      <alignment horizontal="left" indent="1"/>
    </xf>
    <xf numFmtId="0" fontId="0" fillId="0" borderId="17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10" fillId="0" borderId="47" xfId="0" applyFont="1" applyBorder="1" applyAlignment="1">
      <alignment horizontal="left" vertical="center"/>
    </xf>
    <xf numFmtId="0" fontId="13" fillId="0" borderId="44" xfId="0" applyFont="1" applyBorder="1" applyAlignment="1">
      <alignment horizontal="left" vertical="center"/>
    </xf>
    <xf numFmtId="0" fontId="0" fillId="0" borderId="22" xfId="0" applyBorder="1" applyAlignment="1">
      <alignment horizontal="center"/>
    </xf>
    <xf numFmtId="0" fontId="0" fillId="0" borderId="13" xfId="0" applyBorder="1" applyAlignment="1">
      <alignment textRotation="90"/>
    </xf>
    <xf numFmtId="0" fontId="0" fillId="3" borderId="0" xfId="0" applyFill="1"/>
    <xf numFmtId="0" fontId="27" fillId="0" borderId="0" xfId="0" applyFont="1" applyAlignment="1" applyProtection="1">
      <alignment horizontal="center" vertical="center"/>
      <protection locked="0"/>
    </xf>
    <xf numFmtId="1" fontId="27" fillId="0" borderId="0" xfId="0" applyNumberFormat="1" applyFont="1" applyAlignment="1">
      <alignment vertical="center"/>
    </xf>
    <xf numFmtId="0" fontId="0" fillId="2" borderId="18" xfId="0" applyFill="1" applyBorder="1"/>
    <xf numFmtId="0" fontId="23" fillId="0" borderId="0" xfId="0" applyFont="1" applyAlignment="1">
      <alignment vertical="center" wrapText="1"/>
    </xf>
    <xf numFmtId="3" fontId="28" fillId="3" borderId="0" xfId="0" applyNumberFormat="1" applyFont="1" applyFill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1" fontId="10" fillId="3" borderId="19" xfId="0" applyNumberFormat="1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27" fillId="3" borderId="19" xfId="0" applyFont="1" applyFill="1" applyBorder="1" applyAlignment="1">
      <alignment horizontal="center" vertical="center"/>
    </xf>
    <xf numFmtId="1" fontId="10" fillId="3" borderId="19" xfId="0" applyNumberFormat="1" applyFont="1" applyFill="1" applyBorder="1" applyAlignment="1">
      <alignment vertical="center"/>
    </xf>
    <xf numFmtId="0" fontId="10" fillId="0" borderId="48" xfId="0" applyFont="1" applyBorder="1" applyAlignment="1">
      <alignment horizontal="left" vertical="center"/>
    </xf>
    <xf numFmtId="165" fontId="10" fillId="0" borderId="19" xfId="0" applyNumberFormat="1" applyFont="1" applyBorder="1" applyAlignment="1">
      <alignment horizontal="center" vertical="center"/>
    </xf>
    <xf numFmtId="0" fontId="11" fillId="6" borderId="5" xfId="0" applyFont="1" applyFill="1" applyBorder="1" applyAlignment="1">
      <alignment horizontal="left" vertical="center"/>
    </xf>
    <xf numFmtId="0" fontId="27" fillId="0" borderId="0" xfId="0" applyFont="1" applyAlignment="1">
      <alignment horizontal="left" vertical="center"/>
    </xf>
    <xf numFmtId="14" fontId="27" fillId="0" borderId="0" xfId="0" applyNumberFormat="1" applyFont="1" applyAlignment="1">
      <alignment horizontal="center" vertical="center"/>
    </xf>
    <xf numFmtId="165" fontId="27" fillId="0" borderId="0" xfId="0" applyNumberFormat="1" applyFont="1" applyAlignment="1">
      <alignment horizontal="center" vertical="center"/>
    </xf>
    <xf numFmtId="165" fontId="24" fillId="0" borderId="17" xfId="0" applyNumberFormat="1" applyFont="1" applyBorder="1" applyAlignment="1">
      <alignment horizontal="center" vertical="center"/>
    </xf>
    <xf numFmtId="165" fontId="27" fillId="0" borderId="17" xfId="0" applyNumberFormat="1" applyFont="1" applyBorder="1" applyAlignment="1">
      <alignment horizontal="center" vertical="center"/>
    </xf>
    <xf numFmtId="0" fontId="27" fillId="0" borderId="0" xfId="0" applyFont="1" applyAlignment="1">
      <alignment vertical="center"/>
    </xf>
    <xf numFmtId="165" fontId="24" fillId="0" borderId="0" xfId="0" applyNumberFormat="1" applyFont="1" applyAlignment="1">
      <alignment horizontal="center" vertical="center"/>
    </xf>
    <xf numFmtId="14" fontId="27" fillId="0" borderId="17" xfId="0" applyNumberFormat="1" applyFont="1" applyBorder="1" applyAlignment="1">
      <alignment horizontal="center" vertical="center"/>
    </xf>
    <xf numFmtId="0" fontId="27" fillId="0" borderId="17" xfId="0" applyFont="1" applyBorder="1" applyAlignment="1">
      <alignment horizontal="left" vertical="center"/>
    </xf>
    <xf numFmtId="0" fontId="24" fillId="0" borderId="17" xfId="0" applyFon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1" fontId="24" fillId="0" borderId="0" xfId="0" applyNumberFormat="1" applyFont="1" applyAlignment="1">
      <alignment horizontal="center" vertical="center"/>
    </xf>
    <xf numFmtId="14" fontId="35" fillId="0" borderId="0" xfId="0" applyNumberFormat="1" applyFont="1" applyAlignment="1">
      <alignment horizontal="center" vertical="center"/>
    </xf>
    <xf numFmtId="49" fontId="27" fillId="0" borderId="0" xfId="0" applyNumberFormat="1" applyFont="1" applyAlignment="1">
      <alignment horizontal="center" vertical="center"/>
    </xf>
    <xf numFmtId="165" fontId="24" fillId="0" borderId="39" xfId="0" applyNumberFormat="1" applyFont="1" applyBorder="1" applyAlignment="1">
      <alignment horizontal="center" vertical="center"/>
    </xf>
    <xf numFmtId="49" fontId="27" fillId="0" borderId="17" xfId="0" applyNumberFormat="1" applyFont="1" applyBorder="1" applyAlignment="1">
      <alignment horizontal="center" vertical="center"/>
    </xf>
    <xf numFmtId="14" fontId="27" fillId="0" borderId="3" xfId="0" applyNumberFormat="1" applyFont="1" applyBorder="1" applyAlignment="1">
      <alignment horizontal="center" vertical="center"/>
    </xf>
    <xf numFmtId="14" fontId="35" fillId="0" borderId="3" xfId="0" applyNumberFormat="1" applyFont="1" applyBorder="1" applyAlignment="1">
      <alignment horizontal="center" vertical="center"/>
    </xf>
    <xf numFmtId="0" fontId="27" fillId="0" borderId="0" xfId="0" applyFont="1" applyAlignment="1">
      <alignment horizontal="left" vertical="center" wrapText="1"/>
    </xf>
    <xf numFmtId="14" fontId="27" fillId="0" borderId="39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left" vertical="center"/>
    </xf>
    <xf numFmtId="165" fontId="27" fillId="0" borderId="39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/>
    <xf numFmtId="0" fontId="24" fillId="0" borderId="0" xfId="0" applyFont="1" applyAlignment="1">
      <alignment horizontal="left" vertical="center"/>
    </xf>
    <xf numFmtId="165" fontId="6" fillId="0" borderId="0" xfId="0" applyNumberFormat="1" applyFont="1" applyAlignment="1">
      <alignment horizontal="center" vertical="center"/>
    </xf>
    <xf numFmtId="0" fontId="27" fillId="0" borderId="39" xfId="0" applyFont="1" applyBorder="1" applyAlignment="1">
      <alignment horizontal="left" vertical="center"/>
    </xf>
    <xf numFmtId="0" fontId="27" fillId="0" borderId="39" xfId="0" applyFont="1" applyBorder="1" applyAlignment="1">
      <alignment horizontal="center" vertical="center"/>
    </xf>
    <xf numFmtId="0" fontId="27" fillId="0" borderId="19" xfId="0" applyFont="1" applyBorder="1" applyAlignment="1">
      <alignment horizontal="left" vertical="center"/>
    </xf>
    <xf numFmtId="14" fontId="27" fillId="0" borderId="19" xfId="0" applyNumberFormat="1" applyFont="1" applyBorder="1" applyAlignment="1">
      <alignment horizontal="center" vertical="center"/>
    </xf>
    <xf numFmtId="165" fontId="6" fillId="0" borderId="0" xfId="0" quotePrefix="1" applyNumberFormat="1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27" fillId="0" borderId="21" xfId="0" applyFont="1" applyBorder="1" applyAlignment="1">
      <alignment horizontal="left" vertical="center"/>
    </xf>
    <xf numFmtId="165" fontId="0" fillId="0" borderId="0" xfId="0" applyNumberFormat="1" applyAlignment="1">
      <alignment horizontal="center" vertical="center"/>
    </xf>
    <xf numFmtId="0" fontId="41" fillId="0" borderId="0" xfId="0" applyFont="1"/>
    <xf numFmtId="49" fontId="10" fillId="0" borderId="0" xfId="0" applyNumberFormat="1" applyFont="1" applyAlignment="1">
      <alignment horizontal="center" vertical="center"/>
    </xf>
    <xf numFmtId="14" fontId="13" fillId="0" borderId="19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49" fontId="10" fillId="0" borderId="3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14" fontId="26" fillId="0" borderId="0" xfId="0" applyNumberFormat="1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0" fillId="0" borderId="3" xfId="0" applyFont="1" applyBorder="1"/>
    <xf numFmtId="9" fontId="8" fillId="0" borderId="7" xfId="1" applyFont="1" applyFill="1" applyBorder="1" applyAlignment="1" applyProtection="1">
      <alignment horizontal="center" vertical="center" wrapText="1"/>
      <protection hidden="1"/>
    </xf>
    <xf numFmtId="0" fontId="11" fillId="5" borderId="14" xfId="0" applyFont="1" applyFill="1" applyBorder="1" applyAlignment="1">
      <alignment horizontal="center" vertical="center" wrapText="1"/>
    </xf>
    <xf numFmtId="0" fontId="7" fillId="5" borderId="49" xfId="0" applyFont="1" applyFill="1" applyBorder="1" applyAlignment="1">
      <alignment horizontal="center" vertical="center" wrapText="1"/>
    </xf>
    <xf numFmtId="164" fontId="7" fillId="5" borderId="54" xfId="1" applyNumberFormat="1" applyFont="1" applyFill="1" applyBorder="1" applyAlignment="1">
      <alignment horizontal="center" vertical="center" wrapText="1"/>
    </xf>
    <xf numFmtId="0" fontId="11" fillId="0" borderId="50" xfId="0" applyFont="1" applyBorder="1" applyAlignment="1" applyProtection="1">
      <alignment horizontal="left" vertical="center" wrapText="1"/>
      <protection hidden="1"/>
    </xf>
    <xf numFmtId="9" fontId="8" fillId="0" borderId="11" xfId="1" applyFont="1" applyFill="1" applyBorder="1" applyAlignment="1" applyProtection="1">
      <alignment horizontal="center" vertical="center" wrapText="1"/>
      <protection hidden="1"/>
    </xf>
    <xf numFmtId="0" fontId="11" fillId="8" borderId="50" xfId="0" applyFont="1" applyFill="1" applyBorder="1" applyAlignment="1" applyProtection="1">
      <alignment horizontal="left" vertical="center" wrapText="1"/>
      <protection hidden="1"/>
    </xf>
    <xf numFmtId="0" fontId="11" fillId="0" borderId="25" xfId="0" applyFont="1" applyBorder="1" applyAlignment="1" applyProtection="1">
      <alignment horizontal="left" vertical="center" wrapText="1"/>
      <protection hidden="1"/>
    </xf>
    <xf numFmtId="0" fontId="11" fillId="0" borderId="12" xfId="0" applyFont="1" applyBorder="1" applyAlignment="1" applyProtection="1">
      <alignment horizontal="left" vertical="center" wrapText="1"/>
      <protection hidden="1"/>
    </xf>
    <xf numFmtId="0" fontId="11" fillId="8" borderId="51" xfId="0" applyFont="1" applyFill="1" applyBorder="1" applyAlignment="1" applyProtection="1">
      <alignment horizontal="left" vertical="center" wrapText="1"/>
      <protection hidden="1"/>
    </xf>
    <xf numFmtId="0" fontId="8" fillId="0" borderId="52" xfId="0" applyFont="1" applyBorder="1" applyAlignment="1" applyProtection="1">
      <alignment horizontal="center" vertical="center" wrapText="1"/>
      <protection hidden="1"/>
    </xf>
    <xf numFmtId="3" fontId="0" fillId="0" borderId="52" xfId="0" applyNumberFormat="1" applyBorder="1" applyAlignment="1">
      <alignment horizontal="center" vertical="center" wrapText="1"/>
    </xf>
    <xf numFmtId="9" fontId="8" fillId="0" borderId="53" xfId="1" applyFont="1" applyFill="1" applyBorder="1" applyAlignment="1" applyProtection="1">
      <alignment horizontal="center" vertical="center" wrapText="1"/>
      <protection hidden="1"/>
    </xf>
    <xf numFmtId="0" fontId="31" fillId="0" borderId="3" xfId="0" applyFont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left" vertical="center" wrapText="1"/>
    </xf>
    <xf numFmtId="0" fontId="11" fillId="5" borderId="15" xfId="0" applyFont="1" applyFill="1" applyBorder="1" applyAlignment="1">
      <alignment horizontal="left" vertical="center" wrapText="1"/>
    </xf>
    <xf numFmtId="0" fontId="11" fillId="6" borderId="4" xfId="0" applyFont="1" applyFill="1" applyBorder="1" applyAlignment="1">
      <alignment horizontal="left" vertical="center"/>
    </xf>
    <xf numFmtId="0" fontId="11" fillId="6" borderId="27" xfId="0" applyFont="1" applyFill="1" applyBorder="1" applyAlignment="1">
      <alignment horizontal="left" vertical="center"/>
    </xf>
    <xf numFmtId="0" fontId="11" fillId="6" borderId="5" xfId="0" applyFont="1" applyFill="1" applyBorder="1" applyAlignment="1">
      <alignment horizontal="left" vertical="center"/>
    </xf>
    <xf numFmtId="0" fontId="11" fillId="4" borderId="15" xfId="0" applyFont="1" applyFill="1" applyBorder="1" applyAlignment="1">
      <alignment horizontal="left" vertical="center"/>
    </xf>
    <xf numFmtId="0" fontId="11" fillId="4" borderId="16" xfId="0" applyFont="1" applyFill="1" applyBorder="1" applyAlignment="1">
      <alignment horizontal="left" vertical="center"/>
    </xf>
    <xf numFmtId="2" fontId="31" fillId="9" borderId="3" xfId="0" applyNumberFormat="1" applyFont="1" applyFill="1" applyBorder="1" applyAlignment="1">
      <alignment horizontal="center" vertical="center" wrapText="1"/>
    </xf>
  </cellXfs>
  <cellStyles count="4">
    <cellStyle name="Comma" xfId="2" builtinId="3"/>
    <cellStyle name="Normal" xfId="0" builtinId="0"/>
    <cellStyle name="Percent" xfId="1" builtinId="5"/>
    <cellStyle name="Percent 2" xfId="3" xr:uid="{BA84609B-28F4-44BD-BE70-5E17A3BB06D9}"/>
  </cellStyles>
  <dxfs count="2057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00B05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7" tint="0.79998168889431442"/>
        </patternFill>
      </fill>
    </dxf>
    <dxf>
      <fill>
        <patternFill patternType="solid">
          <bgColor theme="7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alignment textRotation="9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textRotation="90"/>
    </dxf>
    <dxf>
      <alignment textRotation="9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  <vertical style="thin">
          <color indexed="64"/>
        </vertical>
        <horizontal style="thin">
          <color indexed="64"/>
        </horizontal>
      </border>
    </dxf>
    <dxf>
      <font>
        <b/>
      </font>
    </dxf>
    <dxf>
      <font>
        <b/>
      </font>
    </dxf>
    <dxf>
      <font>
        <color auto="1"/>
      </font>
    </dxf>
    <dxf>
      <font>
        <color auto="1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</font>
    </dxf>
    <dxf>
      <fill>
        <patternFill patternType="solid">
          <bgColor rgb="FFFFFF00"/>
        </patternFill>
      </fill>
    </dxf>
    <dxf>
      <alignment textRotation="9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wrapText="0"/>
    </dxf>
    <dxf>
      <alignment wrapText="0"/>
    </dxf>
    <dxf>
      <alignment wrapText="0"/>
    </dxf>
    <dxf>
      <alignment textRotation="90"/>
    </dxf>
    <dxf>
      <alignment textRotation="90"/>
    </dxf>
    <dxf>
      <alignment textRotation="90"/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4" formatCode="0.00%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2" formatCode="0.00"/>
      <fill>
        <patternFill patternType="solid">
          <fgColor indexed="64"/>
          <bgColor theme="5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0"/>
        <name val="Arial"/>
        <family val="2"/>
        <scheme val="none"/>
      </font>
      <numFmt numFmtId="1" formatCode="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3" formatCode="#,##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/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Arial"/>
        <family val="2"/>
        <scheme val="none"/>
      </font>
      <numFmt numFmtId="166" formatCode="0.0"/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>
          <fgColor indexed="64"/>
          <bgColor rgb="FFFF0000"/>
        </patternFill>
      </fill>
      <alignment horizontal="center" vertical="center" textRotation="0" wrapText="1" indent="0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166" formatCode="0.0"/>
      <fill>
        <patternFill patternType="solid">
          <fgColor indexed="64"/>
          <bgColor theme="7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fill>
        <patternFill patternType="none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3" formatCode="#,##0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numFmt numFmtId="3" formatCode="#,##0"/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3" formatCode="0%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6" formatCode="0.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rgb="FF000000"/>
        </left>
        <right style="thin">
          <color rgb="FF000000"/>
        </right>
        <top/>
        <bottom style="medium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medium">
          <color rgb="FF000000"/>
        </top>
      </border>
    </dxf>
    <dxf>
      <alignment horizontal="center" vertical="center" textRotation="0" wrapText="1" indent="0" justifyLastLine="0" shrinkToFit="0" readingOrder="0"/>
      <border outline="0">
        <left style="thin">
          <color rgb="FF000000"/>
        </left>
        <right style="thin">
          <color rgb="FF000000"/>
        </right>
        <top/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rgb="FFFF0000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rgb="FFFF0000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rgb="FFFF0000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righ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righ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165" formatCode="hhmm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m/d/yyyy"/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19" formatCode="m/d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outline val="0"/>
        <shadow val="0"/>
        <u val="none"/>
        <vertAlign val="baseline"/>
        <sz val="1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outline val="0"/>
        <shadow val="0"/>
        <u val="none"/>
        <vertAlign val="baseline"/>
        <sz val="11"/>
        <color rgb="FF000000"/>
        <name val="Calibri"/>
        <scheme val="minor"/>
      </font>
      <fill>
        <patternFill patternType="none">
          <fgColor indexed="64"/>
          <bgColor auto="1"/>
        </patternFill>
      </fill>
    </dxf>
    <dxf>
      <border>
        <bottom style="thin">
          <color theme="0" tint="-0.24994659260841701"/>
        </bottom>
      </border>
    </dxf>
    <dxf>
      <font>
        <b val="0"/>
        <strike val="0"/>
        <outline val="0"/>
        <shadow val="0"/>
        <u val="none"/>
        <vertAlign val="baseline"/>
        <sz val="11"/>
        <color rgb="FFFFFFFF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theme="0" tint="-0.24994659260841701"/>
        </left>
        <right style="thin">
          <color theme="0" tint="-0.24994659260841701"/>
        </right>
        <top/>
        <bottom/>
      </border>
    </dxf>
    <dxf>
      <fill>
        <patternFill patternType="solid">
          <bgColor rgb="FFFF00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border outline="0">
        <left style="thin">
          <color indexed="64"/>
        </lef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rgb="FFFFFF0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4" formatCode="0.00%"/>
      <fill>
        <patternFill patternType="solid">
          <fgColor indexed="64"/>
          <bgColor theme="9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numFmt numFmtId="13" formatCode="0%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>
          <fgColor indexed="64"/>
          <bgColor rgb="FFFFFF00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4472C4"/>
        </patternFill>
      </fill>
      <border diagonalUp="0" diagonalDown="0">
        <right style="thin">
          <color indexed="64"/>
        </righ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numFmt numFmtId="3" formatCode="#,##0"/>
      <fill>
        <patternFill patternType="solid">
          <fgColor indexed="64"/>
          <bgColor theme="7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strike val="0"/>
        <outline val="0"/>
        <shadow val="0"/>
        <u val="none"/>
        <vertAlign val="baseline"/>
        <name val="Calibri"/>
        <scheme val="minor"/>
      </font>
      <fill>
        <patternFill patternType="solid">
          <fgColor indexed="64"/>
          <bgColor rgb="FFFFFF00"/>
        </patternFill>
      </fill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Calibri"/>
        <scheme val="minor"/>
      </font>
      <border diagonalUp="0" diagonalDown="0">
        <left style="medium">
          <color indexed="64"/>
        </left>
      </border>
      <protection locked="1" hidden="1"/>
    </dxf>
    <dxf>
      <border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scheme val="minor"/>
      </font>
    </dxf>
  </dxfs>
  <tableStyles count="0" defaultTableStyle="TableStyleMedium2" defaultPivotStyle="PivotStyleLight16"/>
  <colors>
    <mruColors>
      <color rgb="FFCD96D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5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3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pivotCacheDefinition" Target="pivotCache/pivotCacheDefinition3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2.xml"/><Relationship Id="rId36" Type="http://schemas.openxmlformats.org/officeDocument/2006/relationships/pivotCacheDefinition" Target="pivotCache/pivotCacheDefinition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pivotCacheDefinition" Target="pivotCache/pivotCacheDefinition2.xml"/><Relationship Id="rId44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pivotCacheDefinition" Target="pivotCache/pivotCacheDefinition1.xml"/><Relationship Id="rId35" Type="http://schemas.openxmlformats.org/officeDocument/2006/relationships/pivotCacheDefinition" Target="pivotCache/pivotCacheDefinition6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4.xml"/><Relationship Id="rId38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981075</xdr:colOff>
      <xdr:row>0</xdr:row>
      <xdr:rowOff>142875</xdr:rowOff>
    </xdr:from>
    <xdr:to>
      <xdr:col>9</xdr:col>
      <xdr:colOff>581025</xdr:colOff>
      <xdr:row>10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397857F-B1E7-2662-4204-E4E5FD37DBE5}"/>
            </a:ext>
          </a:extLst>
        </xdr:cNvPr>
        <xdr:cNvSpPr txBox="1"/>
      </xdr:nvSpPr>
      <xdr:spPr>
        <a:xfrm>
          <a:off x="6543675" y="142875"/>
          <a:ext cx="5915025" cy="19240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Notes: </a:t>
          </a:r>
        </a:p>
        <a:p>
          <a:r>
            <a:rPr lang="en-US" sz="1100"/>
            <a:t>Resident</a:t>
          </a:r>
          <a:r>
            <a:rPr lang="en-US" sz="1100" baseline="0"/>
            <a:t> courses only</a:t>
          </a:r>
        </a:p>
        <a:p>
          <a:endParaRPr lang="en-US" sz="1100" baseline="0"/>
        </a:p>
        <a:p>
          <a:r>
            <a:rPr lang="en-US" sz="1100" baseline="0"/>
            <a:t>1. Sort: Select Course</a:t>
          </a:r>
        </a:p>
        <a:p>
          <a:r>
            <a:rPr lang="en-US" sz="1100" baseline="0"/>
            <a:t>2. B: Total quotas planned in FY26 in that location</a:t>
          </a:r>
        </a:p>
        <a:p>
          <a:r>
            <a:rPr lang="en-US" sz="1100" baseline="0"/>
            <a:t>3. C: Quotas need for that course in that location</a:t>
          </a:r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Y26/FY26%20EEM%20C.%20Murray%20Dashboard.xlsx" TargetMode="External"/><Relationship Id="rId2" Type="http://schemas.openxmlformats.org/officeDocument/2006/relationships/externalLinkPath" Target="https://flankspeed.sharepoint-mil.us/sites/NAVSAFENTRACEN-CHRON/Shared%20Documents/CHRON/FY26/FY26%20EEM%20C.%20Murray%20Dashboard.xlsx" TargetMode="External"/><Relationship Id="rId1" Type="http://schemas.openxmlformats.org/officeDocument/2006/relationships/externalLinkPath" Target="/sites/NAVSAFENTRACEN-CHRON/Shared%20Documents/CHRON/FY26/FY26%20EEM%20C.%20Murray%20Dashboard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FY26/FY26%20SAF%20Dashboard.xlsx" TargetMode="External"/><Relationship Id="rId2" Type="http://schemas.openxmlformats.org/officeDocument/2006/relationships/externalLinkPath" Target="https://flankspeed.sharepoint-mil.us/sites/NAVSAFENTRACEN-CHRON/Shared%20Documents/CHRON/FY26/FY26%20SAF%20Dashboard.xlsx" TargetMode="External"/><Relationship Id="rId1" Type="http://schemas.openxmlformats.org/officeDocument/2006/relationships/externalLinkPath" Target="/sites/NAVSAFENTRACEN-CHRON/Shared%20Documents/CHRON/FY26/FY26%20SAF%20Dashboard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manda.carter\OneDrive%20-%20US%20Navy-flankspeed\Desktop\FY23%20CHRON_7Sept_DHONL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SD-Bi-Weekly"/>
      <sheetName val="TSD-%"/>
      <sheetName val="Planning-Need vs Planned"/>
      <sheetName val="Sheet1"/>
      <sheetName val="TSD- FY25 Canceled Courses"/>
      <sheetName val="TSD-Data"/>
      <sheetName val="Detail1"/>
      <sheetName val="Detail2"/>
      <sheetName val="Detail3"/>
      <sheetName val="FLT"/>
      <sheetName val="OH"/>
      <sheetName val="SAF"/>
      <sheetName val="ENV"/>
      <sheetName val="Detail4"/>
      <sheetName val="FY25 Status"/>
      <sheetName val="FY 2025 Schedule"/>
      <sheetName val="Planning-Hours tabulation"/>
      <sheetName val="FY26 Needs Assessment"/>
      <sheetName val="Detail5"/>
      <sheetName val="Detail6"/>
      <sheetName val="Detail7"/>
      <sheetName val="2025 Global Online Need Totals"/>
      <sheetName val="Detail8"/>
      <sheetName val="Detail9"/>
      <sheetName val="2025 Resident Need Totals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Afloat Environmental Protection Coordinator (Resident)</v>
          </cell>
        </row>
        <row r="3">
          <cell r="A3" t="str">
            <v xml:space="preserve">Afloat Environmental Protection Coordinator (Global Online) </v>
          </cell>
        </row>
        <row r="4">
          <cell r="A4" t="str">
            <v>Asbestos Inspector Initial</v>
          </cell>
        </row>
        <row r="5">
          <cell r="A5" t="str">
            <v>Asbestos Inspector Refresher</v>
          </cell>
        </row>
        <row r="6">
          <cell r="A6" t="str">
            <v>Asbestos Management Planner Initial</v>
          </cell>
        </row>
        <row r="7">
          <cell r="A7" t="str">
            <v>Asbestos Management Planner Refresher</v>
          </cell>
        </row>
        <row r="8">
          <cell r="A8" t="str">
            <v>Asbestos Supervisor Initial</v>
          </cell>
        </row>
        <row r="9">
          <cell r="A9" t="str">
            <v>Asbestos Supervisor Refresher</v>
          </cell>
        </row>
        <row r="10">
          <cell r="A10" t="str">
            <v>Aviation Safety Specialist</v>
          </cell>
        </row>
        <row r="11">
          <cell r="A11" t="str">
            <v xml:space="preserve">Aviation Safety Specialist (Global Online) </v>
          </cell>
        </row>
        <row r="12">
          <cell r="A12" t="str">
            <v>Confined Space Safety</v>
          </cell>
        </row>
        <row r="13">
          <cell r="A13" t="str">
            <v>Construction Safety Standards</v>
          </cell>
        </row>
        <row r="14">
          <cell r="A14" t="str">
            <v>Electrical Standards</v>
          </cell>
        </row>
        <row r="15">
          <cell r="A15" t="str">
            <v>Emergency Asbestos Response Team</v>
          </cell>
        </row>
        <row r="16">
          <cell r="A16" t="str">
            <v>Facility Response Team (FRT) Five Day</v>
          </cell>
        </row>
        <row r="17">
          <cell r="A17" t="str">
            <v>Facility Response Team (FRT) Three Day</v>
          </cell>
        </row>
        <row r="18">
          <cell r="A18" t="str">
            <v>Fall Protection Program Manager Course (Global Online)</v>
          </cell>
        </row>
        <row r="19">
          <cell r="A19" t="str">
            <v>Competent Person for Fall Protection Course (Resident)</v>
          </cell>
        </row>
        <row r="20">
          <cell r="A20" t="str">
            <v xml:space="preserve">Competent Person for Fall Protection Course (Global Online) </v>
          </cell>
        </row>
        <row r="21">
          <cell r="A21" t="str">
            <v>Fire Protection and Life Safety</v>
          </cell>
        </row>
        <row r="22">
          <cell r="A22" t="str">
            <v xml:space="preserve">General Industry Safety Standards (Global Online) </v>
          </cell>
        </row>
        <row r="23">
          <cell r="A23" t="str">
            <v>Hazardous Material Control and Management [HMC&amp;M] Technician (Resident)</v>
          </cell>
        </row>
        <row r="24">
          <cell r="A24" t="str">
            <v>Hazardous Material Control and Management [HMC&amp;M] Technician (Global Online)</v>
          </cell>
        </row>
        <row r="25">
          <cell r="A25" t="str">
            <v>Hazardous Substance Incident Response Management (HSIRM)</v>
          </cell>
        </row>
        <row r="26">
          <cell r="A26" t="str">
            <v>Hazardous Substance Incident Response Management (HSIRM) Refresher</v>
          </cell>
        </row>
        <row r="27">
          <cell r="A27" t="str">
            <v>Incident Command System 300 (ICS 300)</v>
          </cell>
        </row>
        <row r="28">
          <cell r="A28" t="str">
            <v>Incident Command System 300 (ICS 300) Refresher</v>
          </cell>
        </row>
        <row r="29">
          <cell r="A29" t="str">
            <v>Incident Command System 400 (ICS 400)</v>
          </cell>
        </row>
        <row r="30">
          <cell r="A30" t="str">
            <v>Industrial Noise</v>
          </cell>
        </row>
        <row r="31">
          <cell r="A31" t="str">
            <v xml:space="preserve">Introduction to Hazardous Materials [Ashore] (Global Online) </v>
          </cell>
        </row>
        <row r="32">
          <cell r="A32" t="str">
            <v xml:space="preserve">Introduction to Industrial Hygiene for Safety Professionals (Global Online) </v>
          </cell>
        </row>
        <row r="33">
          <cell r="A33" t="str">
            <v>Introduction to Industrial Hygiene for Safety Professionals (Resident)</v>
          </cell>
        </row>
        <row r="34">
          <cell r="A34" t="str">
            <v xml:space="preserve">Introduction to Naval Safety and Occupational Health (Global Online) </v>
          </cell>
        </row>
        <row r="35">
          <cell r="A35" t="str">
            <v>Introduction to Naval Safety and Occupational Health (Resident)</v>
          </cell>
        </row>
        <row r="36">
          <cell r="A36" t="str">
            <v xml:space="preserve">Machinery and Machine Guarding Standards (Global Online) </v>
          </cell>
        </row>
        <row r="37">
          <cell r="A37" t="str">
            <v xml:space="preserve">Mishap Investigation (Global Online) </v>
          </cell>
        </row>
        <row r="38">
          <cell r="A38" t="str">
            <v xml:space="preserve">NAVOSH Assessment Tools &amp; Strategies (Global Online) </v>
          </cell>
        </row>
        <row r="39">
          <cell r="A39" t="str">
            <v>Navy Ergonomics Program (Global Online)</v>
          </cell>
        </row>
        <row r="40">
          <cell r="A40" t="str">
            <v>Oil Hazardous Substance Spill Response Tabletop Exercise (OHS TTX)</v>
          </cell>
        </row>
        <row r="41">
          <cell r="A41" t="str">
            <v>Operational Risk Management Application &amp; Integration (Global Online)</v>
          </cell>
        </row>
        <row r="42">
          <cell r="A42" t="str">
            <v>Respiratory Protection Program Management</v>
          </cell>
        </row>
        <row r="43">
          <cell r="A43" t="str">
            <v>Safety Managers Course</v>
          </cell>
        </row>
        <row r="44">
          <cell r="A44" t="str">
            <v>Safety Programs Afloat (Resident)</v>
          </cell>
        </row>
        <row r="45">
          <cell r="A45" t="str">
            <v xml:space="preserve">Safety Programs Afloat (Global Online) </v>
          </cell>
        </row>
        <row r="46">
          <cell r="A46" t="str">
            <v xml:space="preserve">Staff Training </v>
          </cell>
        </row>
        <row r="47">
          <cell r="A47" t="str">
            <v>Submarine Safety Officer</v>
          </cell>
        </row>
        <row r="48">
          <cell r="A48" t="str">
            <v xml:space="preserve">Submarine Safety Officer (Global Online) </v>
          </cell>
        </row>
        <row r="49">
          <cell r="A49" t="str">
            <v xml:space="preserve">Tank Managers </v>
          </cell>
        </row>
        <row r="50">
          <cell r="A50" t="str">
            <v>Professional Development Symposium</v>
          </cell>
        </row>
        <row r="51">
          <cell r="A51" t="str">
            <v>Holiday</v>
          </cell>
        </row>
        <row r="52">
          <cell r="A52" t="str">
            <v>Classroom Reserved</v>
          </cell>
        </row>
        <row r="53">
          <cell r="A53" t="str">
            <v>Command Function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SD-Data"/>
      <sheetName val="TSD-Bi-Weekly"/>
      <sheetName val="TSD-%"/>
      <sheetName val="Planning-Need vs Planned"/>
      <sheetName val="Sheet1"/>
      <sheetName val="TSD- FY25 Canceled Courses"/>
      <sheetName val="Detail1"/>
      <sheetName val="Detail2"/>
      <sheetName val="Detail3"/>
      <sheetName val="FLT"/>
      <sheetName val="OH"/>
      <sheetName val="SAF"/>
      <sheetName val="ENV"/>
      <sheetName val="Detail4"/>
      <sheetName val="FY25 Status"/>
      <sheetName val="FY 2025 Schedule"/>
      <sheetName val="Planning-Hours tabulation"/>
      <sheetName val="FY26 Needs Assessment"/>
      <sheetName val="Detail5"/>
      <sheetName val="Detail6"/>
      <sheetName val="Detail7"/>
      <sheetName val="2025 Global Online Need Totals"/>
      <sheetName val="Detail8"/>
      <sheetName val="Detail9"/>
      <sheetName val="2025 Resident Need Totals"/>
    </sheetNames>
    <sheetDataSet>
      <sheetData sheetId="0">
        <row r="2">
          <cell r="A2" t="str">
            <v>Afloat Environmental Protection Coordinator (Resident)</v>
          </cell>
        </row>
        <row r="3">
          <cell r="A3" t="str">
            <v xml:space="preserve">Afloat Environmental Protection Coordinator (Global Online) </v>
          </cell>
        </row>
        <row r="4">
          <cell r="A4" t="str">
            <v>Asbestos Inspector Initial</v>
          </cell>
        </row>
        <row r="5">
          <cell r="A5" t="str">
            <v>Asbestos Inspector Refresher</v>
          </cell>
        </row>
        <row r="6">
          <cell r="A6" t="str">
            <v>Asbestos Management Planner Initial</v>
          </cell>
        </row>
        <row r="7">
          <cell r="A7" t="str">
            <v>Asbestos Management Planner Refresher</v>
          </cell>
        </row>
        <row r="8">
          <cell r="A8" t="str">
            <v>Asbestos Supervisor Initial</v>
          </cell>
        </row>
        <row r="9">
          <cell r="A9" t="str">
            <v>Asbestos Supervisor Refresher</v>
          </cell>
        </row>
        <row r="10">
          <cell r="A10" t="str">
            <v>Aviation Safety Specialist</v>
          </cell>
        </row>
        <row r="11">
          <cell r="A11" t="str">
            <v xml:space="preserve">Aviation Safety Specialist (Global Online) </v>
          </cell>
        </row>
        <row r="12">
          <cell r="A12" t="str">
            <v>Confined Space Safety</v>
          </cell>
        </row>
        <row r="13">
          <cell r="A13" t="str">
            <v>Construction Safety Standards</v>
          </cell>
        </row>
        <row r="14">
          <cell r="A14" t="str">
            <v>Electrical Standards</v>
          </cell>
        </row>
        <row r="15">
          <cell r="A15" t="str">
            <v>Emergency Asbestos Response Team</v>
          </cell>
        </row>
        <row r="16">
          <cell r="A16" t="str">
            <v>Facility Response Team (FRT) Five Day</v>
          </cell>
        </row>
        <row r="17">
          <cell r="A17" t="str">
            <v>Facility Response Team (FRT) Three Day</v>
          </cell>
        </row>
        <row r="18">
          <cell r="A18" t="str">
            <v>Fall Protection Program Manager Course (Global Online)</v>
          </cell>
        </row>
        <row r="19">
          <cell r="A19" t="str">
            <v>Competent Person for Fall Protection Course (Resident)</v>
          </cell>
        </row>
        <row r="20">
          <cell r="A20" t="str">
            <v xml:space="preserve">Competent Person for Fall Protection Course (Global Online) </v>
          </cell>
        </row>
        <row r="21">
          <cell r="A21" t="str">
            <v>Fire Protection and Life Safety</v>
          </cell>
        </row>
        <row r="22">
          <cell r="A22" t="str">
            <v xml:space="preserve">General Industry Safety Standards (Global Online) </v>
          </cell>
        </row>
        <row r="23">
          <cell r="A23" t="str">
            <v>Hazardous Material Control and Management [HMC&amp;M] Technician (Resident)</v>
          </cell>
        </row>
        <row r="24">
          <cell r="A24" t="str">
            <v>Hazardous Material Control and Management [HMC&amp;M] Technician (Global Online)</v>
          </cell>
        </row>
        <row r="25">
          <cell r="A25" t="str">
            <v>Hazardous Substance Incident Response Management (HSIRM)</v>
          </cell>
        </row>
        <row r="26">
          <cell r="A26" t="str">
            <v>Hazardous Substance Incident Response Management (HSIRM) Refresher</v>
          </cell>
        </row>
        <row r="27">
          <cell r="A27" t="str">
            <v>Incident Command System 300 (ICS 300)</v>
          </cell>
        </row>
        <row r="28">
          <cell r="A28" t="str">
            <v>Incident Command System 300 (ICS 300) Refresher</v>
          </cell>
        </row>
        <row r="29">
          <cell r="A29" t="str">
            <v>Incident Command System 400 (ICS 400)</v>
          </cell>
        </row>
        <row r="30">
          <cell r="A30" t="str">
            <v>Industrial Noise</v>
          </cell>
        </row>
        <row r="31">
          <cell r="A31" t="str">
            <v xml:space="preserve">Introduction to Hazardous Materials [Ashore] (Global Online) </v>
          </cell>
        </row>
        <row r="32">
          <cell r="A32" t="str">
            <v xml:space="preserve">Introduction to Industrial Hygiene for Safety Professionals (Global Online) </v>
          </cell>
        </row>
        <row r="33">
          <cell r="A33" t="str">
            <v>Introduction to Industrial Hygiene for Safety Professionals (Resident)</v>
          </cell>
        </row>
        <row r="34">
          <cell r="A34" t="str">
            <v xml:space="preserve">Introduction to Naval Safety and Occupational Health (Global Online) </v>
          </cell>
        </row>
        <row r="35">
          <cell r="A35" t="str">
            <v>Introduction to Naval Safety and Occupational Health (Resident)</v>
          </cell>
        </row>
        <row r="36">
          <cell r="A36" t="str">
            <v xml:space="preserve">Machinery and Machine Guarding Standards (Global Online) </v>
          </cell>
        </row>
        <row r="37">
          <cell r="A37" t="str">
            <v xml:space="preserve">Mishap Investigation (Global Online) </v>
          </cell>
        </row>
        <row r="38">
          <cell r="A38" t="str">
            <v xml:space="preserve">NAVOSH Assessment Tools &amp; Strategies (Global Online) </v>
          </cell>
        </row>
        <row r="39">
          <cell r="A39" t="str">
            <v>Navy Ergonomics Program (Global Online)</v>
          </cell>
        </row>
        <row r="40">
          <cell r="A40" t="str">
            <v>Oil Hazardous Substance Spill Response Tabletop Exercise (OHS TTX)</v>
          </cell>
        </row>
        <row r="41">
          <cell r="A41" t="str">
            <v>Operational Risk Management Application &amp; Integration (Global Online)</v>
          </cell>
        </row>
        <row r="42">
          <cell r="A42" t="str">
            <v>Respiratory Protection Program Management</v>
          </cell>
        </row>
        <row r="43">
          <cell r="A43" t="str">
            <v>Safety Managers Course</v>
          </cell>
        </row>
        <row r="44">
          <cell r="A44" t="str">
            <v>Safety Programs Afloat (Resident)</v>
          </cell>
        </row>
        <row r="45">
          <cell r="A45" t="str">
            <v xml:space="preserve">Safety Programs Afloat (Global Online) </v>
          </cell>
        </row>
        <row r="46">
          <cell r="A46" t="str">
            <v xml:space="preserve">Staff Training </v>
          </cell>
        </row>
        <row r="47">
          <cell r="A47" t="str">
            <v>Submarine Safety Officer</v>
          </cell>
        </row>
        <row r="48">
          <cell r="A48" t="str">
            <v xml:space="preserve">Submarine Safety Officer (Global Online) </v>
          </cell>
        </row>
        <row r="49">
          <cell r="A49" t="str">
            <v xml:space="preserve">Tank Managers </v>
          </cell>
        </row>
        <row r="50">
          <cell r="A50" t="str">
            <v>Professional Development Symposium</v>
          </cell>
        </row>
        <row r="51">
          <cell r="A51" t="str">
            <v>Holiday</v>
          </cell>
        </row>
        <row r="52">
          <cell r="A52" t="str">
            <v>Classroom Reserved</v>
          </cell>
        </row>
        <row r="53">
          <cell r="A53" t="str">
            <v>Command Function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22 Chron"/>
      <sheetName val="Summary of changes"/>
      <sheetName val="Additions-Use this tab"/>
      <sheetName val="FY23 Status"/>
      <sheetName val="FY 2023 Chron"/>
      <sheetName val="Sheet3"/>
      <sheetName val="Plan vs need"/>
      <sheetName val="Sheet1"/>
      <sheetName val="Course Counts"/>
      <sheetName val="Plan vs Need v1"/>
      <sheetName val="Instructor Totals- Days"/>
      <sheetName val="Instructor Totals-Weeks"/>
      <sheetName val="Sheet2"/>
      <sheetName val="Location Count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J2" t="str">
            <v>Aiea, HI</v>
          </cell>
        </row>
        <row r="3">
          <cell r="J3" t="str">
            <v>Annapolis, MD</v>
          </cell>
        </row>
        <row r="4">
          <cell r="J4" t="str">
            <v>Arlington, VA</v>
          </cell>
        </row>
        <row r="5">
          <cell r="J5" t="str">
            <v>Atsugi, Japan</v>
          </cell>
        </row>
        <row r="6">
          <cell r="J6" t="str">
            <v>Bahrain</v>
          </cell>
        </row>
        <row r="7">
          <cell r="J7" t="str">
            <v>Bangor, WA</v>
          </cell>
        </row>
        <row r="8">
          <cell r="J8" t="str">
            <v>Barstow, CA</v>
          </cell>
        </row>
        <row r="9">
          <cell r="J9" t="str">
            <v>Beaufort, SC</v>
          </cell>
        </row>
        <row r="10">
          <cell r="J10" t="str">
            <v>Bremerton, WA</v>
          </cell>
        </row>
        <row r="11">
          <cell r="J11" t="str">
            <v>Bridgeport, CA</v>
          </cell>
        </row>
        <row r="12">
          <cell r="J12" t="str">
            <v>Camp Lejeune, NC</v>
          </cell>
        </row>
        <row r="13">
          <cell r="J13" t="str">
            <v>Camp Pendleson, CA</v>
          </cell>
        </row>
        <row r="14">
          <cell r="J14" t="str">
            <v>Carden City, New York</v>
          </cell>
        </row>
        <row r="15">
          <cell r="J15" t="str">
            <v>Charleston, SC</v>
          </cell>
        </row>
        <row r="16">
          <cell r="J16" t="str">
            <v>Cherry Point, NC</v>
          </cell>
        </row>
        <row r="17">
          <cell r="J17" t="str">
            <v>China Lake, CA</v>
          </cell>
        </row>
        <row r="18">
          <cell r="J18" t="str">
            <v>China Lake, CA</v>
          </cell>
        </row>
        <row r="19">
          <cell r="J19" t="str">
            <v>Chinhae, Korea</v>
          </cell>
        </row>
        <row r="20">
          <cell r="J20" t="str">
            <v>Colts Neck, NJ</v>
          </cell>
        </row>
        <row r="21">
          <cell r="J21" t="str">
            <v>Concord, CA</v>
          </cell>
        </row>
        <row r="22">
          <cell r="J22" t="str">
            <v>Corona, CA</v>
          </cell>
        </row>
        <row r="23">
          <cell r="J23" t="str">
            <v>Coronado, CA</v>
          </cell>
        </row>
        <row r="24">
          <cell r="J24" t="str">
            <v>Corpus Christi, TX</v>
          </cell>
        </row>
        <row r="25">
          <cell r="J25" t="str">
            <v>Corry Station, FL</v>
          </cell>
        </row>
        <row r="26">
          <cell r="J26" t="str">
            <v>Crane, IN</v>
          </cell>
        </row>
        <row r="27">
          <cell r="J27" t="str">
            <v>Dahlgren, VA</v>
          </cell>
        </row>
        <row r="28">
          <cell r="J28" t="str">
            <v>Dam Neck, VA</v>
          </cell>
        </row>
        <row r="29">
          <cell r="J29" t="str">
            <v>Diego Garcia</v>
          </cell>
        </row>
        <row r="30">
          <cell r="J30" t="str">
            <v>Earle, NJ</v>
          </cell>
        </row>
        <row r="31">
          <cell r="J31" t="str">
            <v>El Centro, CA</v>
          </cell>
        </row>
        <row r="32">
          <cell r="J32" t="str">
            <v>Everett, WA</v>
          </cell>
        </row>
        <row r="33">
          <cell r="J33" t="str">
            <v>Fallon, NV</v>
          </cell>
        </row>
        <row r="34">
          <cell r="J34" t="str">
            <v>Fort Worth, TX</v>
          </cell>
        </row>
        <row r="35">
          <cell r="J35" t="str">
            <v>Global Online</v>
          </cell>
        </row>
        <row r="36">
          <cell r="J36" t="str">
            <v>Great Lakes, IL</v>
          </cell>
        </row>
        <row r="37">
          <cell r="J37" t="str">
            <v>Groton, CT</v>
          </cell>
        </row>
        <row r="38">
          <cell r="J38" t="str">
            <v>Guam</v>
          </cell>
        </row>
        <row r="39">
          <cell r="J39" t="str">
            <v>Guantonimo Bay, Cuba</v>
          </cell>
        </row>
        <row r="40">
          <cell r="J40" t="str">
            <v>Gulfport, MS</v>
          </cell>
        </row>
        <row r="41">
          <cell r="J41" t="str">
            <v>Gulfport, MS</v>
          </cell>
        </row>
        <row r="42">
          <cell r="J42" t="str">
            <v>Hong Kong, China</v>
          </cell>
        </row>
        <row r="43">
          <cell r="J43" t="str">
            <v>Indian Head, MD</v>
          </cell>
        </row>
        <row r="44">
          <cell r="J44" t="str">
            <v>Indian Island, WA</v>
          </cell>
        </row>
        <row r="45">
          <cell r="J45" t="str">
            <v>Iwakuni, Japan</v>
          </cell>
        </row>
        <row r="46">
          <cell r="J46" t="str">
            <v>Jacksonville, FL</v>
          </cell>
        </row>
        <row r="47">
          <cell r="J47" t="str">
            <v>Kane'ohe Bay, HI</v>
          </cell>
        </row>
        <row r="48">
          <cell r="J48" t="str">
            <v>Key West, FL</v>
          </cell>
        </row>
        <row r="49">
          <cell r="J49" t="str">
            <v>Keyport, WA</v>
          </cell>
        </row>
        <row r="50">
          <cell r="J50" t="str">
            <v>Kings Bay, GA</v>
          </cell>
        </row>
        <row r="51">
          <cell r="J51" t="str">
            <v>Kingsville, TX</v>
          </cell>
        </row>
        <row r="52">
          <cell r="J52" t="str">
            <v>Kitsap, WA</v>
          </cell>
        </row>
        <row r="53">
          <cell r="J53" t="str">
            <v>Kunia, HI</v>
          </cell>
        </row>
        <row r="54">
          <cell r="J54" t="str">
            <v>LaMoure, ND</v>
          </cell>
        </row>
        <row r="55">
          <cell r="J55" t="str">
            <v>Lemoore, CA</v>
          </cell>
        </row>
        <row r="56">
          <cell r="J56" t="str">
            <v>Little Creek, VA</v>
          </cell>
        </row>
        <row r="57">
          <cell r="J57" t="str">
            <v>Mayport, FL</v>
          </cell>
        </row>
        <row r="58">
          <cell r="J58" t="str">
            <v>McGuire-Dix-Lakehurst, NJ</v>
          </cell>
        </row>
        <row r="59">
          <cell r="J59" t="str">
            <v>Mechanicsburg, PA</v>
          </cell>
        </row>
        <row r="60">
          <cell r="J60" t="str">
            <v>Meridian, MS</v>
          </cell>
        </row>
        <row r="61">
          <cell r="J61" t="str">
            <v>Miramar, CA</v>
          </cell>
        </row>
        <row r="62">
          <cell r="J62" t="str">
            <v>Misawa, Japan</v>
          </cell>
        </row>
        <row r="63">
          <cell r="J63" t="str">
            <v>Monterey, CA</v>
          </cell>
        </row>
        <row r="64">
          <cell r="J64" t="str">
            <v>Naples, Italy</v>
          </cell>
        </row>
        <row r="65">
          <cell r="J65" t="str">
            <v>New London, CT</v>
          </cell>
        </row>
        <row r="66">
          <cell r="J66" t="str">
            <v>New Orleans, LA</v>
          </cell>
        </row>
        <row r="67">
          <cell r="J67" t="str">
            <v>Newport, RI</v>
          </cell>
        </row>
        <row r="68">
          <cell r="J68" t="str">
            <v>Newport, RI</v>
          </cell>
        </row>
        <row r="69">
          <cell r="J69" t="str">
            <v>Norfolk, VA</v>
          </cell>
        </row>
        <row r="70">
          <cell r="J70" t="str">
            <v>Norfolk, VA Classroom 1</v>
          </cell>
        </row>
        <row r="71">
          <cell r="J71" t="str">
            <v>Norfolk, VA Classroom 2</v>
          </cell>
        </row>
        <row r="72">
          <cell r="J72" t="str">
            <v>Norfolk, VA Other</v>
          </cell>
        </row>
        <row r="73">
          <cell r="J73" t="str">
            <v>North Island, CA</v>
          </cell>
        </row>
        <row r="74">
          <cell r="J74" t="str">
            <v>Oceana, VA</v>
          </cell>
        </row>
        <row r="75">
          <cell r="J75" t="str">
            <v>Okinawa, Japan</v>
          </cell>
        </row>
        <row r="76">
          <cell r="J76" t="str">
            <v>Orlando, FL</v>
          </cell>
        </row>
        <row r="77">
          <cell r="J77" t="str">
            <v>Panama City, FL</v>
          </cell>
        </row>
        <row r="78">
          <cell r="J78" t="str">
            <v>Parris Island, SC</v>
          </cell>
        </row>
        <row r="79">
          <cell r="J79" t="str">
            <v>Patuzent River, MD</v>
          </cell>
        </row>
        <row r="80">
          <cell r="J80" t="str">
            <v>Pax River, MD</v>
          </cell>
        </row>
        <row r="81">
          <cell r="J81" t="str">
            <v>Payala, Singapore</v>
          </cell>
        </row>
        <row r="82">
          <cell r="J82" t="str">
            <v>Pearl Harbor, HI</v>
          </cell>
        </row>
        <row r="83">
          <cell r="J83" t="str">
            <v>Pensacola, FL</v>
          </cell>
        </row>
        <row r="84">
          <cell r="J84" t="str">
            <v>Philadelphia, PA</v>
          </cell>
        </row>
        <row r="85">
          <cell r="J85" t="str">
            <v>Point Loma, CA</v>
          </cell>
        </row>
        <row r="86">
          <cell r="J86" t="str">
            <v>Point Mugu, CA</v>
          </cell>
        </row>
        <row r="87">
          <cell r="J87" t="str">
            <v>Port Hueneme, CA</v>
          </cell>
        </row>
        <row r="88">
          <cell r="J88" t="str">
            <v>Portsmouth, MA</v>
          </cell>
        </row>
        <row r="89">
          <cell r="J89" t="str">
            <v>Portsmouth, NH</v>
          </cell>
        </row>
        <row r="90">
          <cell r="J90" t="str">
            <v>Portsmouth, VA</v>
          </cell>
        </row>
        <row r="91">
          <cell r="J91" t="str">
            <v>Puget Sound, WA</v>
          </cell>
        </row>
        <row r="92">
          <cell r="J92" t="str">
            <v>Quantico, VA</v>
          </cell>
        </row>
        <row r="93">
          <cell r="J93" t="str">
            <v>Rota, Spain</v>
          </cell>
        </row>
        <row r="94">
          <cell r="J94" t="str">
            <v>Sam Houston, TX</v>
          </cell>
        </row>
        <row r="95">
          <cell r="J95" t="str">
            <v>San Diego, CA</v>
          </cell>
        </row>
        <row r="96">
          <cell r="J96" t="str">
            <v>San Nicolas Island, CA</v>
          </cell>
        </row>
        <row r="97">
          <cell r="J97" t="str">
            <v>Saratoga Springs, NY</v>
          </cell>
        </row>
        <row r="98">
          <cell r="J98" t="str">
            <v>Sasebo, Japan</v>
          </cell>
        </row>
        <row r="99">
          <cell r="J99" t="str">
            <v>Seal Beach, CA</v>
          </cell>
        </row>
        <row r="100">
          <cell r="J100" t="str">
            <v>Sigonella, Italy</v>
          </cell>
        </row>
        <row r="101">
          <cell r="J101" t="str">
            <v>Souda Bay, Greece</v>
          </cell>
        </row>
        <row r="102">
          <cell r="J102" t="str">
            <v>Twentynice Palms, CA</v>
          </cell>
        </row>
        <row r="103">
          <cell r="J103" t="str">
            <v>Ventura County, CA</v>
          </cell>
        </row>
        <row r="104">
          <cell r="J104" t="str">
            <v>Washington, DC</v>
          </cell>
        </row>
        <row r="105">
          <cell r="J105" t="str">
            <v>Washington, DC</v>
          </cell>
        </row>
        <row r="106">
          <cell r="J106" t="str">
            <v>Whidbey Island, WA</v>
          </cell>
        </row>
        <row r="107">
          <cell r="J107" t="str">
            <v>White Sands, NM</v>
          </cell>
        </row>
        <row r="108">
          <cell r="J108" t="str">
            <v>Whiting Field, FL</v>
          </cell>
        </row>
        <row r="109">
          <cell r="J109" t="str">
            <v>Yokosuka, Japan</v>
          </cell>
        </row>
        <row r="110">
          <cell r="J110" t="str">
            <v>Yorktown, VA</v>
          </cell>
        </row>
        <row r="111">
          <cell r="J111" t="str">
            <v>Yuma, AZ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xlFile://Root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_SAF%20Needs%20Assessment.xlsx" TargetMode="External"/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2" Type="http://schemas.openxmlformats.org/officeDocument/2006/relationships/externalLinkPath" Target="/sites/TrainingSptDept/Shared%20Documents/General/N7%20TSD%20Share%20Drive/TSD%20Needs%20Assessment/FY26/FY26%20EEM_%20ECH%20II_Final%20.xlsx" TargetMode="External"/><Relationship Id="rId1" Type="http://schemas.openxmlformats.org/officeDocument/2006/relationships/pivotCacheRecords" Target="pivotCacheRecords7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5726.448082407405" createdVersion="8" refreshedVersion="8" minRefreshableVersion="3" recordCount="2855" xr:uid="{90E6234A-8D51-49E3-BB77-8231F634D99C}">
  <cacheSource type="worksheet">
    <worksheetSource name="Table4" r:id="rId2"/>
  </cacheSource>
  <cacheFields count="19">
    <cacheField name="Command" numFmtId="0">
      <sharedItems count="56">
        <s v="BUMED"/>
        <s v="U.S. SEVENTH Fleet"/>
        <s v="Commander Fleet Readiness Centers"/>
        <s v="USNMRTC GUANTANAMO BAY"/>
        <s v="NMRTC Beaufort, Beaufort SC"/>
        <s v="U.S. Fleet Cyber Command (N00055)"/>
        <s v="NAVFAC MIDLANT "/>
        <s v="NAVMEDFORLANT"/>
        <s v="Naval Education and Training Command (NETC)"/>
        <s v="NIWC LANT"/>
        <s v="NMFP"/>
        <s v="Naval Medical Readiness Logistics Command"/>
        <s v="NMRTC Corpus Christi"/>
        <s v="NMRTC Patuxent River"/>
        <s v="NMRTC Portsmouth"/>
        <s v="NAVMEDREADTRNCMD NEW ENGLAND NEWPORT RI"/>
        <s v="Southeast"/>
        <s v="Navy Medicine Readiness and Training Command Charleston"/>
        <s v="Marine Corps"/>
        <s v="Naval Air Systems Command"/>
        <s v="NAVFAC PWD CLDJ"/>
        <s v="NAVFAC HI"/>
        <s v="NAVFAC Washington"/>
        <s v="NAVFAC Marianas"/>
        <s v="Naval Facilities Engineering Systems Command"/>
        <s v="Naval Sea Systems Command"/>
        <s v="Naval Information Warfare Systems (NAVWAR)"/>
        <s v="NAVFAC FE"/>
        <s v="Naval Hospital Rota, Spain"/>
        <s v="Naval Information Warfare Center (NIWC) Pacific"/>
        <s v="NAVY MEDICINE OPERATIONAL TRAINING COMMAND"/>
        <s v="NMRTC CL/NMC Camp Lejeune"/>
        <s v="NAWCAD "/>
        <s v="NMRTC Jacksonville (including NMRTU Kings Bay, Mayport and Albany)"/>
        <s v="MNRTC QUANTCO"/>
        <s v="NMRTC Naples"/>
        <s v="Officer In Charge of Construction, PNSY"/>
        <s v="OPTEVFOR "/>
        <s v="PACFLT"/>
        <s v="SSP"/>
        <s v="US Fleet Forces"/>
        <s v="USNMRTC Sigonella, Italy"/>
        <s v="Navy Munitions Command Pacific CONUS West Division"/>
        <s v="Navy Crane Center"/>
        <s v="Navy and Marine Corps Force Health Protection Command"/>
        <s v="Commander, Naval District Washington"/>
        <s v="COMSUBPAC"/>
        <s v="COMNAVSURFPAC"/>
        <s v="COMNAVSURFPAC N05"/>
        <s v="Commander, Navy Reserve Command"/>
        <s v="Commander, Naval Legal Service Command"/>
        <s v="CNIC"/>
        <s v="CNAP"/>
        <s v="C3F"/>
        <s v="Naval Supply Systems Command"/>
        <s v="NAWCWD"/>
      </sharedItems>
    </cacheField>
    <cacheField name="Location/Course Title" numFmtId="0">
      <sharedItems count="86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Mechanicburg, PA"/>
        <s v="Philadelphia, PA"/>
        <s v="Quantico"/>
        <s v="Cherry Point, NC"/>
        <s v="Ft. Worth, TX"/>
        <s v="Key West, FL"/>
        <s v="Meridian, MS"/>
        <s v="New Orleans, LA"/>
        <s v="Whiting Field, FL"/>
        <s v="ROICC Sally, Pensacola, FL"/>
        <s v="Albany, GA"/>
        <s v="Camp Pendleton, CA"/>
        <s v="Quantico, VA"/>
        <s v="MCAS Miramar"/>
        <s v="MCB Hawaii"/>
        <s v="MCAS Iwakuni"/>
        <s v="MCAS Yuma"/>
        <s v="MCAS Cherry Point"/>
        <s v="MCAS New River"/>
        <s v="MCSF Blount Island"/>
        <s v="Camp Mujuk"/>
        <s v="Camp Lemonnier, Dijbouti"/>
        <s v="Singapore, SG"/>
        <s v="WNY0 Chlinic-Washington, DC"/>
        <s v="Groton, CT"/>
        <s v="Kingsvile, TX"/>
        <s v="New London, CT"/>
        <s v="Pax River, MD"/>
        <s v="Support Facility Diego Garcia"/>
        <s v="Mechanicsburg, PA"/>
        <s v="Dalhgren, VA"/>
        <s v="China Lake, CA"/>
        <s v="Monterey, CA"/>
        <s v="El Centro, CA"/>
      </sharedItems>
    </cacheField>
    <cacheField name="Asbestos Inspector" numFmtId="0">
      <sharedItems containsString="0" containsBlank="1" containsNumber="1" containsInteger="1" minValue="0" maxValue="44"/>
    </cacheField>
    <cacheField name="Asbestos Inspector Refresher" numFmtId="0">
      <sharedItems containsString="0" containsBlank="1" containsNumber="1" containsInteger="1" minValue="0" maxValue="30"/>
    </cacheField>
    <cacheField name="Asbestos Management Planner" numFmtId="0">
      <sharedItems containsString="0" containsBlank="1" containsNumber="1" containsInteger="1" minValue="0" maxValue="15"/>
    </cacheField>
    <cacheField name="Asbestos Management Planner Refresher" numFmtId="0">
      <sharedItems containsString="0" containsBlank="1" containsNumber="1" containsInteger="1" minValue="0" maxValue="15"/>
    </cacheField>
    <cacheField name="Asbestos Supervisor Initial" numFmtId="0">
      <sharedItems containsString="0" containsBlank="1" containsNumber="1" containsInteger="1" minValue="0" maxValue="30"/>
    </cacheField>
    <cacheField name="Asbestos Supervisor Refresher" numFmtId="0">
      <sharedItems containsString="0" containsBlank="1" containsNumber="1" containsInteger="1" minValue="0" maxValue="15"/>
    </cacheField>
    <cacheField name="Competent Person for Fall Protection Course" numFmtId="0">
      <sharedItems containsString="0" containsBlank="1" containsNumber="1" containsInteger="1" minValue="0" maxValue="220"/>
    </cacheField>
    <cacheField name="Confined Space Safety " numFmtId="0">
      <sharedItems containsString="0" containsBlank="1" containsNumber="1" containsInteger="1" minValue="0" maxValue="44"/>
    </cacheField>
    <cacheField name="Construction Safety Standards" numFmtId="0">
      <sharedItems containsString="0" containsBlank="1" containsNumber="1" containsInteger="1" minValue="0" maxValue="42"/>
    </cacheField>
    <cacheField name="Emergency Asbestos Response Team" numFmtId="0">
      <sharedItems containsString="0" containsBlank="1" containsNumber="1" containsInteger="1" minValue="0" maxValue="30"/>
    </cacheField>
    <cacheField name="Fire Protection &amp; Life Safety" numFmtId="0">
      <sharedItems containsString="0" containsBlank="1" containsNumber="1" containsInteger="1" minValue="0" maxValue="31"/>
    </cacheField>
    <cacheField name="Industrial Noise and Hearing Conservation Program" numFmtId="0">
      <sharedItems containsString="0" containsBlank="1" containsNumber="1" containsInteger="1" minValue="0" maxValue="39"/>
    </cacheField>
    <cacheField name="Occupational Health Program Manager (In development)" numFmtId="0">
      <sharedItems containsString="0" containsBlank="1" containsNumber="1" containsInteger="1" minValue="0" maxValue="31"/>
    </cacheField>
    <cacheField name="Respiratory Protection Program Management" numFmtId="0">
      <sharedItems containsString="0" containsBlank="1" containsNumber="1" containsInteger="1" minValue="0" maxValue="100"/>
    </cacheField>
    <cacheField name="Safety Managers Course " numFmtId="0">
      <sharedItems containsString="0" containsBlank="1" containsNumber="1" containsInteger="1" minValue="0" maxValue="38"/>
    </cacheField>
    <cacheField name="Workplace Inspection Course (In Development)" numFmtId="0">
      <sharedItems containsString="0" containsBlank="1" containsNumber="1" containsInteger="1" minValue="0" maxValue="65"/>
    </cacheField>
    <cacheField name="Total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5785.582854513887" createdVersion="8" refreshedVersion="8" minRefreshableVersion="3" recordCount="715" xr:uid="{CE85A03C-F016-4DDC-B46D-977D508B8338}">
  <cacheSource type="worksheet">
    <worksheetSource name="Table14" r:id="rId2"/>
  </cacheSource>
  <cacheFields count="9">
    <cacheField name="Command" numFmtId="0">
      <sharedItems count="56">
        <s v="BUMED"/>
        <s v="U.S. SEVENTH Fleet"/>
        <s v="Commander Fleet Readiness Centers"/>
        <s v="USNMRTC GUANTANAMO BAY"/>
        <s v="NMRTC Beaufort, Beaufort SC"/>
        <s v="U.S. Fleet Cyber Command (N00055)"/>
        <s v="NAVFAC MIDLANT "/>
        <s v="NAVMEDFORLANT"/>
        <s v="Naval Education and Training Command (NETC)"/>
        <s v="NIWC LANT"/>
        <s v="NMFP"/>
        <s v="Naval Medical Readiness Logistics Command"/>
        <s v="NMRTC Corpus Christi"/>
        <s v="NMRTC Patuxent River"/>
        <s v="NMRTC Portsmouth"/>
        <s v="NAVMEDREADTRNCMD NEW ENGLAND NEWPORT RI"/>
        <s v="Southeast"/>
        <s v="Navy Medicine Readiness and Training Command Charleston"/>
        <s v="Marine Corps"/>
        <s v="Naval Air Systems Command"/>
        <s v="NAVFAC PWD CLDJ"/>
        <s v="NAVFAC HI"/>
        <s v="NAVFAC Washington"/>
        <s v="NAVFAC Marianas"/>
        <s v="Naval Facilities Engineering Systems Command"/>
        <s v="Naval Sea Systems Command"/>
        <s v="Naval Information Warfare Systems (NAVWAR)"/>
        <s v="NAVFAC FE"/>
        <s v="Naval Hospital Rota, Spain"/>
        <s v="Naval Information Warfare Center (NIWC) Pacific"/>
        <s v="NAVY MEDICINE OPERATIONAL TRAINING COMMAND"/>
        <s v="NMRTC CL/NMC Camp Lejeune"/>
        <s v="NAWCAD "/>
        <s v="NMRTC Jacksonville (including NMRTU Kings Bay, Mayport and Albany)"/>
        <s v="MNRTC QUANTCO"/>
        <s v="NMRTC Naples"/>
        <s v="Officer In Charge of Construction, PNSY"/>
        <s v="OPTEVFOR "/>
        <s v="PACFLT"/>
        <s v="SSP"/>
        <s v="US Fleet Forces"/>
        <s v="USNMRTC Sigonella, Italy"/>
        <s v="Navy Munitions Command Pacific CONUS West Division"/>
        <s v="Navy and Marine Corps Force Health Protection Command"/>
        <s v="Commander, Naval District Washington"/>
        <s v="COMSUBPAC"/>
        <s v="COMNAVSURFPAC"/>
        <s v="COMNAVSURFPAC N54"/>
        <s v="Commander, Navy Reserve Command"/>
        <s v="Commander, Naval Legal Service Command"/>
        <s v="CNIC"/>
        <s v="CNAP"/>
        <s v="C3F"/>
        <s v="Naval Supply Systems Command"/>
        <s v="NAWCWD"/>
        <s v="Navy Crane Center" u="1"/>
      </sharedItems>
    </cacheField>
    <cacheField name="Course Title/Preferred Time Zone" numFmtId="0">
      <sharedItems count="24">
        <s v="Aviation Safety Specialist  (Global Online)"/>
        <s v="Fall Protection Program Manager (Global Online)"/>
        <s v="General Industry Safety Standards  (Global Online)"/>
        <s v="Hazardous Material Control and Management (HMC&amp;M) Technician  (Global Online)"/>
        <s v="Introduction to Hazardous Materials Ashore  (Global Online)"/>
        <s v="Introduction to Industrial Hygiene for Safety Professionals  (Global Online)"/>
        <s v="Introduction to Naval Safety and Occupational Health (Global Online)"/>
        <s v="Machinery &amp; Machine Guarding Standards  (Global Online)"/>
        <s v="Mishap Investigation  (Global Online)"/>
        <s v="Navy Ergonomics Program (Global Online)"/>
        <s v="Operational Risk Management Application &amp; Integration Course  (Global Online)"/>
        <s v="Safety Programs Afloat  (Global Online)"/>
        <s v="Submarine Safety Officer  (Global Online)"/>
        <s v="Safety Programs Afloat  (Global Online) " u="1"/>
        <s v="Afloat Environmental Protection Coordinator (Global Online)" u="1"/>
        <s v="Occupational Health Program Manager (In Development)" u="1"/>
        <s v="Safety Programs Afloat  (Global Online) (A-493-2098)" u="1"/>
        <s v="Safety Managers Course (In Development)" u="1"/>
        <s v="Workplace Inspectors Course (In Development)" u="1"/>
        <s v="Introduction to Naval Safety and Occupational Health Ashore  (Global Online)" u="1"/>
        <s v="Electrical Standards (297)" u="1"/>
        <s v="General Industry Safety Standards [511] (68)" u="1"/>
        <s v="Machinery and Machine Guarding Standards (1041)" u="1"/>
        <s v="Navy Ergonomics Program Course (248)" u="1"/>
      </sharedItems>
    </cacheField>
    <cacheField name="AST" numFmtId="0">
      <sharedItems containsString="0" containsBlank="1" containsNumber="1" containsInteger="1" minValue="0" maxValue="70"/>
    </cacheField>
    <cacheField name="CET/CEST" numFmtId="0">
      <sharedItems containsString="0" containsBlank="1" containsNumber="1" containsInteger="1" minValue="0" maxValue="28"/>
    </cacheField>
    <cacheField name="EST/EDT" numFmtId="0">
      <sharedItems containsString="0" containsBlank="1" containsNumber="1" containsInteger="1" minValue="0" maxValue="776"/>
    </cacheField>
    <cacheField name="HST" numFmtId="0">
      <sharedItems containsString="0" containsBlank="1" containsNumber="1" containsInteger="1" minValue="0" maxValue="60"/>
    </cacheField>
    <cacheField name="JST" numFmtId="0">
      <sharedItems containsString="0" containsBlank="1" containsNumber="1" containsInteger="1" minValue="0" maxValue="112"/>
    </cacheField>
    <cacheField name="PST/PDT " numFmtId="0">
      <sharedItems containsString="0" containsBlank="1" containsNumber="1" containsInteger="1" minValue="0" maxValue="440"/>
    </cacheField>
    <cacheField name="Totals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00.589797685185" createdVersion="8" refreshedVersion="8" minRefreshableVersion="3" recordCount="696" xr:uid="{2A7FFBC6-6DE8-4ABA-8B71-3770DFFF8D5C}">
  <cacheSource type="worksheet">
    <worksheetSource name="Table4" r:id="rId2"/>
  </cacheSource>
  <cacheFields count="12">
    <cacheField name="Command Name" numFmtId="0">
      <sharedItems containsBlank="1" count="12">
        <s v="USFF"/>
        <s v="PACFLT"/>
        <s v="Naval History and Heritage Command"/>
        <s v="NAVSEA"/>
        <s v="Naval Air Systems Command"/>
        <s v="USMC-SAF"/>
        <s v="NAVSUPSYSCOM HQ"/>
        <s v="CNIC"/>
        <s v="USMC- EEM "/>
        <m/>
        <s v="All BSOs - Roll Up" u="1"/>
        <s v="Marine Corps" u="1"/>
      </sharedItems>
    </cacheField>
    <cacheField name="Location/Course Title" numFmtId="0">
      <sharedItems containsBlank="1" count="97">
        <s v="Annapolis, MD"/>
        <s v="Atsugi, Japan"/>
        <s v="Bahrain "/>
        <s v="Bangor, WA"/>
        <s v="Bremerton, WA"/>
        <s v="Camp Lejeune, NC"/>
        <s v="Chinhae, Korea"/>
        <s v="Colts Neck, NJ"/>
        <s v="Coronado, CA"/>
        <s v="Corpus Christi, TX"/>
        <s v="Crane, IN"/>
        <s v="Diego Garcia"/>
        <s v="Everett, WA"/>
        <s v="Fallon, NV "/>
        <s v="Great Lakes, IL"/>
        <s v="Guam"/>
        <s v="Guantanamo Bay, Cuba"/>
        <s v="Gulfport, MS"/>
        <s v="Indian Head, MD"/>
        <s v="Indian Island, WA"/>
        <s v="Jacksonville, FL"/>
        <s v="Kekaha, HI"/>
        <s v="Keyport, WA "/>
        <s v="Kingsbay, GA"/>
        <s v="Kingsville, TX"/>
        <s v="Lemoore, CA"/>
        <s v="Mayport, FL"/>
        <s v="Mid South, TN"/>
        <s v="Naples, Italy"/>
        <s v="New London, CT/Groton"/>
        <s v="Newport, RI"/>
        <s v="Norfolk, VA"/>
        <s v="Okinawa, Japan"/>
        <s v="Panama City, FL"/>
        <s v="Patuxent River, MD"/>
        <s v="Pearl Harbor, HI"/>
        <s v="Pensacola, FL"/>
        <s v="Point Loma, CA"/>
        <s v="Port Hueneme, CA"/>
        <s v="Portsmouth, NH"/>
        <s v="Rota, Spain"/>
        <s v="San Clemente Island, CA"/>
        <s v="San Diego, CA"/>
        <s v="Sasebo, Japan"/>
        <s v="Seal Beach, CA"/>
        <s v="Sigonella, Italy"/>
        <s v="Souda Bay, Greece"/>
        <s v="Ventura County, CA"/>
        <s v="Virginia Beach, VA "/>
        <s v="Washington, DC"/>
        <s v="Whidbey Island, WA"/>
        <s v="Yokosuka, Japan"/>
        <s v="Camp Mujuk"/>
        <s v="MCAS New River"/>
        <s v="MCB Camp Lejeune"/>
        <s v="MCLB Albany"/>
        <s v="MCAGCC Twentynine Palms"/>
        <s v="MCAS Beaufort"/>
        <s v="MCAS Iwakuni"/>
        <s v="MCAS Cherry Point"/>
        <s v="MCB Okinawa"/>
        <s v="MCB Camp Pendleton"/>
        <s v="MCRD Parris Island"/>
        <s v="MCSF Blount Island"/>
        <s v="MCB Hawaii"/>
        <s v="MCAS Miramar"/>
        <s v="MCRD San Diego"/>
        <s v="China Lake (Ridgecrest), CA"/>
        <s v="CLDJ, Djibouti"/>
        <s v="Deveselu, Romania"/>
        <s v="El Centro, CA"/>
        <s v="Fort Worth, TX"/>
        <s v="Key West, FL"/>
        <s v="Mechanicsburg, PA"/>
        <s v="Monterey, CA"/>
        <s v="New Orleans, LA"/>
        <s v="Redzikowo, Poland"/>
        <s v="Singapore, SG"/>
        <s v="Andros, Bahamas"/>
        <s v="Whiting Field, FL"/>
        <s v="Singapore Area Coordinator"/>
        <s v="Misawa, Japan"/>
        <s v="Hachinohe, Japan (NAVSUP FLCY)"/>
        <s v="Hakozaki, Japan (NAVSUP FLCY)"/>
        <s v="Tsurumi, Japan (NAVSUP FLCY)"/>
        <s v="Sasebo, Japan (NAVSUP FLCS)"/>
        <s v="Support Facilit Diego Garcia"/>
        <s v="Yorktown, Va"/>
        <s v="Manchester, WA"/>
        <s v="Camp Lemonnier, Djibouti"/>
        <s v="MCB Quantico"/>
        <s v="MCB Butler"/>
        <s v="MCB Mujuk"/>
        <s v="MCLB 29 Palms"/>
        <s v="MCAS Yuma"/>
        <s v="MCAB Fuji"/>
        <m/>
      </sharedItems>
    </cacheField>
    <cacheField name="Facility Response Team Five Day" numFmtId="0">
      <sharedItems containsString="0" containsBlank="1" containsNumber="1" containsInteger="1" minValue="1" maxValue="40"/>
    </cacheField>
    <cacheField name="Facility Response Team Three Day" numFmtId="0">
      <sharedItems containsString="0" containsBlank="1" containsNumber="1" containsInteger="1" minValue="0" maxValue="40"/>
    </cacheField>
    <cacheField name="Hazardous Substance Incident Response Management" numFmtId="0">
      <sharedItems containsString="0" containsBlank="1" containsNumber="1" containsInteger="1" minValue="0" maxValue="50"/>
    </cacheField>
    <cacheField name="Hazardous Substance Incident Response Management  Refresher" numFmtId="0">
      <sharedItems containsString="0" containsBlank="1" containsNumber="1" containsInteger="1" minValue="0" maxValue="60"/>
    </cacheField>
    <cacheField name="Incident Command System 300 " numFmtId="0">
      <sharedItems containsString="0" containsBlank="1" containsNumber="1" containsInteger="1" minValue="1" maxValue="30"/>
    </cacheField>
    <cacheField name="Incident Command System 300 Refresher" numFmtId="0">
      <sharedItems containsString="0" containsBlank="1" containsNumber="1" containsInteger="1" minValue="0" maxValue="30"/>
    </cacheField>
    <cacheField name="Incident Command System 400 " numFmtId="0">
      <sharedItems containsString="0" containsBlank="1" containsNumber="1" containsInteger="1" minValue="1" maxValue="30"/>
    </cacheField>
    <cacheField name="Oil Hazardous Substance Spill Response Tabletop Exercise " numFmtId="0">
      <sharedItems containsString="0" containsBlank="1" containsNumber="1" containsInteger="1" minValue="1" maxValue="40"/>
    </cacheField>
    <cacheField name="Tank Managers Course" numFmtId="0">
      <sharedItems containsString="0" containsBlank="1" containsNumber="1" containsInteger="1" minValue="1" maxValue="30"/>
    </cacheField>
    <cacheField name="Totals" numFmtId="0">
      <sharedItems containsSemiMixedTypes="0" containsString="0" containsNumber="1" containsInteger="1" minValue="0" maxValue="2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00.589798032408" createdVersion="8" refreshedVersion="8" minRefreshableVersion="3" recordCount="695" xr:uid="{A661229F-714E-4194-B16C-0BD8AD5BB759}">
  <cacheSource type="worksheet">
    <worksheetSource name="Table14" r:id="rId2"/>
  </cacheSource>
  <cacheFields count="9">
    <cacheField name="Command Name" numFmtId="0">
      <sharedItems containsBlank="1" count="9">
        <s v="USFF"/>
        <s v="PACFLT"/>
        <s v="Naval History and Heritage Command"/>
        <s v="NAVSEA"/>
        <s v="Naval Air Systems Command"/>
        <s v="Marine Corps"/>
        <s v="NAVSUPSYSCOM HQ"/>
        <s v="All BSOs - Roll Up"/>
        <m/>
      </sharedItems>
    </cacheField>
    <cacheField name="Course Title/Preferred Time Zone" numFmtId="0">
      <sharedItems containsBlank="1" count="4">
        <s v="Afloat Environmental Protection Coordinator (Global Online)"/>
        <s v="Hazardous Substance Incident Response Management (HSIRM) Refresher"/>
        <m/>
        <s v="Hazardous Substance Incident Response Management (HSIRM)" u="1"/>
      </sharedItems>
    </cacheField>
    <cacheField name="AST" numFmtId="0">
      <sharedItems containsString="0" containsBlank="1" containsNumber="1" containsInteger="1" minValue="0" maxValue="20"/>
    </cacheField>
    <cacheField name="CET/CEST" numFmtId="0">
      <sharedItems containsString="0" containsBlank="1" containsNumber="1" containsInteger="1" minValue="0" maxValue="18"/>
    </cacheField>
    <cacheField name="EST/EDT" numFmtId="0">
      <sharedItems containsString="0" containsBlank="1" containsNumber="1" containsInteger="1" minValue="1" maxValue="69"/>
    </cacheField>
    <cacheField name="HST" numFmtId="0">
      <sharedItems containsString="0" containsBlank="1" containsNumber="1" containsInteger="1" minValue="1" maxValue="38"/>
    </cacheField>
    <cacheField name="JST" numFmtId="0">
      <sharedItems containsString="0" containsBlank="1" containsNumber="1" containsInteger="1" minValue="0" maxValue="22"/>
    </cacheField>
    <cacheField name="PST/PDT " numFmtId="0">
      <sharedItems containsString="0" containsBlank="1" containsNumber="1" containsInteger="1" minValue="1" maxValue="42"/>
    </cacheField>
    <cacheField name="Totals" numFmtId="0">
      <sharedItems containsSemiMixedTypes="0" containsString="0" containsNumber="1" containsInteger="1" minValue="0" maxValue="15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174.362049768519" createdVersion="6" refreshedVersion="8" minRefreshableVersion="3" recordCount="565" xr:uid="{00000000-000A-0000-FFFF-FFFF00000000}">
  <cacheSource type="worksheet">
    <worksheetSource name="Table2"/>
  </cacheSource>
  <cacheFields count="40">
    <cacheField name="Comments" numFmtId="0">
      <sharedItems containsBlank="1"/>
    </cacheField>
    <cacheField name="Course Title" numFmtId="0">
      <sharedItems containsBlank="1" count="59">
        <s v="Introduction to Naval Safety and Occupational Health (Global Online) "/>
        <s v="Fall Protection Program Manager Course (Global Online)"/>
        <s v="Oil Hazardous Substance Spill Response Tabletop Exercise (OHS TTX)"/>
        <s v="Respiratory Protection Program Management"/>
        <s v="Competent Person for Fall Protection Course (Resident)"/>
        <s v="General Industry Safety Standards (Global Online) "/>
        <s v="Hazardous Material Control and Management [HMC&amp;M] Technician (Global Online)"/>
        <s v="Mishap Investigation (Global Online) "/>
        <s v="Safety Programs Afloat (Global Online) "/>
        <s v="Safety Programs Afloat (Resident)"/>
        <s v="Hazardous Substance Incident Response Management (HSIRM) Refresher"/>
        <s v="Holiday"/>
        <s v="Introduction to Hazardous Materials [Ashore] (Global Online) "/>
        <s v="Facility Response Team (FRT) Five Day"/>
        <s v="Asbestos Supervisor Initial"/>
        <s v="Confined Space Safety"/>
        <s v="Safety Managers Course"/>
        <s v="Fire Protection and Life Safety"/>
        <s v="Risk Management Information: Investigations Module in RMI"/>
        <s v="Risk Management Information: Memorandum of Final Evaluation (MOFE) in RMI"/>
        <s v="Risk Management Information: Quality Assurance"/>
        <s v="Risk Management Information: User Administrator"/>
        <s v="Risk Management Information: Inspections- Program Assessment"/>
        <s v="Risk Management Information: Inspections- Workplace Inspection"/>
        <s v="Risk Management Information: Confined Space (non-maritime)"/>
        <s v="Risk Management Information: Hazard Management Module in RMI"/>
        <s v="Risk Management Information: OSHA Events Module in RMI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Supervisors Reporting"/>
        <s v="Risk Management Information: Data Analytics"/>
        <s v="Risk Management Information: Job Hazard Analysis"/>
        <s v="Risk Management Information: Motorcycle Unit Safety Tracking Tool (MUSTT)"/>
        <s v="Risk Management Information: Training"/>
        <s v="Aviation Safety Specialist (Global Online) "/>
        <s v="Asbestos Inspector Initial"/>
        <s v="Operational Risk Management Application &amp; Integration (Global Online)"/>
        <s v="Asbestos Management Planner Initial"/>
        <s v="Introduction to Industrial Hygiene for Safety Professionals (Global Online) "/>
        <s v="Submarine Safety Officer (Global Online) "/>
        <s v="Navy Ergonomics Program (Global Online)"/>
        <s v="Afloat Environmental Protection Coordinator (Global Online) "/>
        <s v="Command Function"/>
        <s v="Asbestos Supervisor Refresher"/>
        <s v="Asbestos Inspector Refresher"/>
        <s v="Asbestos Management Planner Refresher"/>
        <s v="Hazardous Substance Incident Response Management (HSIRM)"/>
        <s v="Facility Response Team (FRT) Three Day"/>
        <s v="Classroom Reserved"/>
        <s v="Industrial Noise"/>
        <s v="Emergency Asbestos Response Team"/>
        <s v="Tank Managers "/>
        <s v="Construction Safety Standards"/>
        <s v="Professional Development Symposium"/>
        <s v="Mishap Investigation (Resident) "/>
        <s v="Workplace Inspection "/>
        <m u="1"/>
      </sharedItems>
    </cacheField>
    <cacheField name="CIN" numFmtId="0">
      <sharedItems/>
    </cacheField>
    <cacheField name="CDP" numFmtId="0">
      <sharedItems containsMixedTypes="1" containsNumber="1" containsInteger="1" minValue="1228" maxValue="5891"/>
    </cacheField>
    <cacheField name="Location" numFmtId="0">
      <sharedItems containsBlank="1" count="84">
        <s v="Global Online"/>
        <s v="Beaufort, SC"/>
        <s v="Norfolk, VA Classroom 1"/>
        <s v="Rota, Spain"/>
        <s v="Norfolk, VA Classroom 2"/>
        <s v="Holiday"/>
        <s v="Mayport, FL"/>
        <s v="Norfolk, VA Other"/>
        <s v="Norfolk, VA Safety Command"/>
        <s v="San Diego, CA"/>
        <s v="Port Hueneme, CA"/>
        <s v="Kings Bay, GA"/>
        <s v="Gulfport, MS"/>
        <s v="Pearl Harbor, HI"/>
        <s v="Bremerton, WA"/>
        <s v="Guam"/>
        <s v="Pensacola, FL"/>
        <s v="Jacksonville, FL"/>
        <s v="Bahrain"/>
        <s v="Pax River, MD"/>
        <s v="PMRF Barking Sands"/>
        <s v="Andros, Bahamas"/>
        <s v="Sasebo, Japan"/>
        <s v="Diego Garcia"/>
        <s v="Okinawa, Japan"/>
        <s v="Yokosuka, Japan"/>
        <s v="Manchester, WA"/>
        <s v="Crane, IN"/>
        <s v="Everett, WA"/>
        <s v="New London, CT"/>
        <s v="Portsmouth, NH"/>
        <s v="Guantanamo Bay, Cuba"/>
        <s v="Atsugi, Japan"/>
        <s v="Panama City, FL"/>
        <s v="Norfolk, VA"/>
        <s v="Camp Lejeune, NC"/>
        <s v="Sigonella, Italy"/>
        <s v="Naples, Italy"/>
        <m/>
        <s v="Chinhae, Korea"/>
        <s v="Spangdahlem Air Base (SAB), Germany"/>
        <s v="Hakozaki, Japan"/>
        <s v="MCAS Miramar"/>
        <s v="Lemoore, CA"/>
        <s v="Tsurumi, Japan"/>
        <s v="MCAS Yuma, AZ"/>
        <s v="Hachinohe, Japan"/>
        <s v="Camp Butler, Japan"/>
        <s v="Seal Beach, CA"/>
        <s v="Whidbey Island, WA"/>
        <s v="Bangor, WA"/>
        <s v="Baltimore, MD"/>
        <s v="Virginia Beach, VA "/>
        <s v="Key West, FL" u="1"/>
        <s v="Souda Bay, Greece" u="1"/>
        <s v="Newport, RI" u="1"/>
        <s v="Great Lakes, IL" u="1"/>
        <s v="Yorktown, VA" u="1"/>
        <s v="Little Creek, VA" u="1"/>
        <s v="Coronado, CA" u="1"/>
        <s v="Fallon, NV" u="1"/>
        <s v="Indian Head, MD" u="1"/>
        <s v="Colts Neck, NJ" u="1"/>
        <s v="Annapolis, MD" u="1"/>
        <s v="Singapore" u="1"/>
        <s v="Point Loma, CA" u="1"/>
        <s v="Indian Island, WA" u="1"/>
        <s v="Redzikowo, Poland" u="1"/>
        <s v="Deveselu, Romania" u="1"/>
        <s v="Cherry Point, NC" u="1"/>
        <s v="Camp Pendleton, CA" u="1"/>
        <s v="Iwakuni, Japan" u="1"/>
        <s v="Marine Corps Base Hawaii" u="1"/>
        <s v="Washington, DC" u="1"/>
        <s v="Corpus Christi, TX" u="1"/>
        <s v="Quantico, VA" u="1"/>
        <s v="Twenty-nine Palms, CA" u="1"/>
        <s v="Groton, CT" u="1"/>
        <s v="Ownings Mills, MD" u="1"/>
        <s v="Norfolk Naval Shipyard" u="1"/>
        <s v=" Atsugi, Japan" u="1"/>
        <s v="Sasebo, Japan " u="1"/>
        <s v="Oceana, VA" u="1"/>
        <s v="New Orleans, LA" u="1"/>
      </sharedItems>
    </cacheField>
    <cacheField name="Start Date" numFmtId="14">
      <sharedItems containsSemiMixedTypes="0" containsNonDate="0" containsDate="1" containsString="0" minDate="2025-09-29T00:00:00" maxDate="2026-09-29T00:00:00"/>
    </cacheField>
    <cacheField name="End Date" numFmtId="14">
      <sharedItems containsSemiMixedTypes="0" containsNonDate="0" containsDate="1" containsString="0" minDate="2025-04-24T00:00:00" maxDate="2026-10-03T00:00:00"/>
    </cacheField>
    <cacheField name="Funding Status" numFmtId="0">
      <sharedItems/>
    </cacheField>
    <cacheField name="Resident Local Start Time of location" numFmtId="0">
      <sharedItems containsNonDate="0" containsDate="1" containsString="0" containsBlank="1" minDate="1899-12-30T07:30:00" maxDate="1903-07-23T12:00:00"/>
    </cacheField>
    <cacheField name="EST/EDT Local Live Session Start Time " numFmtId="0">
      <sharedItems containsNonDate="0" containsDate="1" containsString="0" containsBlank="1" minDate="1899-12-30T00:01:00" maxDate="1905-03-14T19:00:00"/>
    </cacheField>
    <cacheField name="PST/PDT Local Live Session Start Time " numFmtId="0">
      <sharedItems containsNonDate="0" containsDate="1" containsString="0" containsBlank="1" minDate="1899-12-30T05:00:00" maxDate="1899-12-30T23:00:00"/>
    </cacheField>
    <cacheField name="AST Local Live Session Start Time " numFmtId="0">
      <sharedItems containsDate="1" containsString="0" containsBlank="1" containsMixedTypes="1" minDate="1899-12-30T00:01:00" maxDate="1899-12-30T23:30:00"/>
    </cacheField>
    <cacheField name="CET/CEST Local Live Session Start Time " numFmtId="0">
      <sharedItems containsDate="1" containsString="0" containsBlank="1" containsMixedTypes="1" minDate="1899-12-30T00:00:00" maxDate="1899-12-30T23:45:00"/>
    </cacheField>
    <cacheField name="HST Local Live Session Start Time " numFmtId="0">
      <sharedItems containsNonDate="0" containsDate="1" containsString="0" containsBlank="1" minDate="1899-12-30T01:00:00" maxDate="1899-12-30T21:00:00"/>
    </cacheField>
    <cacheField name="JST Local Live Session Start Time " numFmtId="0">
      <sharedItems containsDate="1" containsString="0" containsBlank="1" containsMixedTypes="1" minDate="1899-12-30T00:01:00" maxDate="1899-12-30T23:30:00"/>
    </cacheField>
    <cacheField name="Primary Instructor" numFmtId="0">
      <sharedItems containsBlank="1"/>
    </cacheField>
    <cacheField name="Instructor 2" numFmtId="0">
      <sharedItems containsBlank="1"/>
    </cacheField>
    <cacheField name=" Support" numFmtId="0">
      <sharedItems containsBlank="1"/>
    </cacheField>
    <cacheField name="Quotas" numFmtId="0">
      <sharedItems containsSemiMixedTypes="0" containsString="0" containsNumber="1" containsInteger="1" minValue="0" maxValue="1000"/>
    </cacheField>
    <cacheField name="Course Length (Hours)" numFmtId="0">
      <sharedItems containsSemiMixedTypes="0" containsString="0" containsNumber="1" minValue="0" maxValue="40"/>
    </cacheField>
    <cacheField name="Course Length (Days)" numFmtId="1">
      <sharedItems containsSemiMixedTypes="0" containsString="0" containsNumber="1" minValue="0" maxValue="5"/>
    </cacheField>
    <cacheField name="FY26 Need" numFmtId="0">
      <sharedItems containsString="0" containsBlank="1" containsNumber="1" containsInteger="1" minValue="0" maxValue="1882"/>
    </cacheField>
    <cacheField name="Registered" numFmtId="0">
      <sharedItems containsString="0" containsBlank="1" containsNumber="1" containsInteger="1" minValue="0" maxValue="138"/>
    </cacheField>
    <cacheField name="Waitlisted" numFmtId="0">
      <sharedItems containsString="0" containsBlank="1" containsNumber="1" containsInteger="1" minValue="0" maxValue="28"/>
    </cacheField>
    <cacheField name="Graduates" numFmtId="0">
      <sharedItems containsString="0" containsBlank="1" containsNumber="1" containsInteger="1" minValue="0" maxValue="84"/>
    </cacheField>
    <cacheField name="Fail" numFmtId="0">
      <sharedItems containsString="0" containsBlank="1" containsNumber="1" containsInteger="1" minValue="0" maxValue="7"/>
    </cacheField>
    <cacheField name="No Shows" numFmtId="0">
      <sharedItems containsString="0" containsBlank="1" containsNumber="1" containsInteger="1" minValue="0" maxValue="36"/>
    </cacheField>
    <cacheField name="Walk-ins" numFmtId="0">
      <sharedItems containsString="0" containsBlank="1" containsNumber="1" containsInteger="1" minValue="0" maxValue="38"/>
    </cacheField>
    <cacheField name="Foreign Grads" numFmtId="0">
      <sharedItems containsString="0" containsBlank="1" containsNumber="1" containsInteger="1" minValue="0" maxValue="36"/>
    </cacheField>
    <cacheField name="Roster Received by" numFmtId="0">
      <sharedItems containsBlank="1"/>
    </cacheField>
    <cacheField name="Roster Due" numFmtId="1">
      <sharedItems containsSemiMixedTypes="0" containsString="0" containsNumber="1" containsInteger="1" minValue="-401" maxValue="125"/>
    </cacheField>
    <cacheField name="Roster Status" numFmtId="0">
      <sharedItems containsSemiMixedTypes="0" containsString="0" containsNumber="1" containsInteger="1" minValue="0" maxValue="1"/>
    </cacheField>
    <cacheField name="Remaining Courses" numFmtId="0">
      <sharedItems containsSemiMixedTypes="0" containsString="0" containsNumber="1" containsInteger="1" minValue="0" maxValue="1"/>
    </cacheField>
    <cacheField name="1 Instructor" numFmtId="0">
      <sharedItems containsSemiMixedTypes="0" containsString="0" containsNumber="1" containsInteger="1" minValue="0" maxValue="1"/>
    </cacheField>
    <cacheField name="2 Instructors" numFmtId="0">
      <sharedItems containsSemiMixedTypes="0" containsString="0" containsNumber="1" containsInteger="1" minValue="0" maxValue="1"/>
    </cacheField>
    <cacheField name="Total" numFmtId="0">
      <sharedItems containsMixedTypes="1" containsNumber="1" containsInteger="1" minValue="0" maxValue="40"/>
    </cacheField>
    <cacheField name="Open Quotas" numFmtId="0">
      <sharedItems containsString="0" containsBlank="1" containsNumber="1" containsInteger="1" minValue="0" maxValue="999"/>
    </cacheField>
    <cacheField name="QTR" numFmtId="0">
      <sharedItems containsString="0" containsBlank="1" containsNumber="1" containsInteger="1" minValue="0" maxValue="32"/>
    </cacheField>
    <cacheField name="Department" numFmtId="0">
      <sharedItems/>
    </cacheField>
    <cacheField name="Unused quotas" numFmtId="1">
      <sharedItems containsSemiMixedTypes="0" containsString="0" containsNumber="1" containsInteger="1" minValue="-2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41.335172106483" createdVersion="8" refreshedVersion="8" minRefreshableVersion="3" recordCount="3023" xr:uid="{03946BD6-A26A-45F5-B8F8-EE9A96264FD0}">
  <cacheSource type="worksheet">
    <worksheetSource ref="C1:L1048576" sheet="Use Rate Data (2)" r:id="rId2"/>
  </cacheSource>
  <cacheFields count="10">
    <cacheField name="Course " numFmtId="0">
      <sharedItems containsBlank="1" count="55">
        <s v="Asbestos Inspector Initial"/>
        <s v="Asbestos Inspector Refresher"/>
        <s v="Asbestos Management Planner Initial"/>
        <s v="Asbestos Supervisor Initial"/>
        <s v="Asbestos Supervisor Refresher"/>
        <s v="Competent Person for Fall Protection Course (Resident)"/>
        <s v="Confined Space Safety "/>
        <s v="Construction Safety Standards"/>
        <s v="Emergency Asbestos Response Team"/>
        <s v="Fire Protection and Life Safety"/>
        <s v="Industrial Noise"/>
        <s v="Occupational Health Program Manager (In development)"/>
        <s v="Respiratory Protection Program Management"/>
        <s v="Workplace Inspection "/>
        <s v="Aviation Safety Specialist (Global Online) "/>
        <s v="Fall Protection Program Manager Course (Global Online)"/>
        <s v="General Industry Safety Standards (Global Online) "/>
        <s v="Hazardous Material Control and Management (HMC&amp;M) Technician  (Global Online)"/>
        <s v="Introduction to Hazardous Materials [Ashore] (Global Online) "/>
        <s v="Introduction to Industrial Hygiene for Safety Professionals (Global Online) "/>
        <s v="Introduction to Naval Safety and Occupational Health (Global Online)"/>
        <s v="Machinery &amp; Machine Guarding Standards  (Global Online)"/>
        <s v="Mishap Investigation (Global Online) "/>
        <s v="Navy Ergonomics Program (Global Online)"/>
        <s v="Operational Risk Management Application &amp; Integration (Global Online)"/>
        <s v="Safety Programs Afloat (Global Online) "/>
        <s v="Submarine Safety Officer (Global Online) "/>
        <s v="Hazardous Material Control and Management [HMC&amp;M] Technician (Global Online)"/>
        <s v="Asbestos Management Planner Refresher"/>
        <s v="Confined Space Safety"/>
        <s v="Introduction to Naval Safety and Occupational Health (Global Online) "/>
        <s v="Risk Management Information: Confined Space (non-maritime)"/>
        <s v="Risk Management Information: Data Analytics"/>
        <s v="Risk Management Information: Hazard Management Module in RMI"/>
        <s v="Risk Management Information: Inspections- Program Assessment"/>
        <s v="Risk Management Information: Inspections- Workplace Inspection"/>
        <s v="Risk Management Information: Investigations Module in RMI"/>
        <s v="Risk Management Information: Job Hazard Analysis"/>
        <s v="Risk Management Information: Manage Personnel (Core Plus Creator)"/>
        <s v="Risk Management Information: Manage Personnel (License Issuing Official)"/>
        <s v="Risk Management Information: Manage Personnel (Supervisor)"/>
        <s v="Risk Management Information: Medical Surveillance Coordinator"/>
        <s v="Risk Management Information: Memorandum of Final Evaluation (MOFE) in RMI"/>
        <s v="Risk Management Information: Motorcycle Unit Safety Tracking Tool (MUSTT)"/>
        <s v="Risk Management Information: OSHA Events Module in RMI"/>
        <s v="Risk Management Information: Quality Assurance"/>
        <s v="Risk Management Information: Respiratory Protection "/>
        <s v="Risk Management Information: SAFEREP (Entry) "/>
        <s v="Risk Management Information: SAFEREP (Triage) "/>
        <s v="Risk Management Information: Supervisors Reporting"/>
        <s v="Risk Management Information: Training"/>
        <s v="Risk Management Information: User Administrator"/>
        <s v="Safety Managers Course"/>
        <s v="Safety Programs Afloat (Resident)"/>
        <m/>
      </sharedItems>
    </cacheField>
    <cacheField name="Location" numFmtId="0">
      <sharedItems containsBlank="1" count="88">
        <s v="Atsugi, Japan"/>
        <s v="Guam"/>
        <s v="Indian Head, MD"/>
        <s v="Norfolk, VA"/>
        <s v="Okinawa, Japan"/>
        <s v="Patuxent River, MD"/>
        <s v="Pearl Harbor, HI"/>
        <s v="Sasebo, Japan"/>
        <s v="Yokosuka, Japan"/>
        <s v="Mechanicburg, PA"/>
        <s v="Philadelphia, PA"/>
        <s v="Portsmouth, NH"/>
        <s v="Ft. Worth, TX"/>
        <s v="Guantanamo Bay, Cuba"/>
        <s v="Gulfport, MS"/>
        <s v="Jacksonville, FL"/>
        <s v="Key West, FL"/>
        <s v="Kingsville, TX"/>
        <s v="Mayport, FL"/>
        <s v="Panama City, FL"/>
        <s v="Pensacola, FL"/>
        <s v="Bahrain "/>
        <s v="Camp Pendleton, CA"/>
        <s v="Quantico, VA"/>
        <s v="New Orleans, LA"/>
        <s v="MCAS Yuma"/>
        <s v="MCAS New River"/>
        <s v="Washington, DC"/>
        <s v="Bangor, WA"/>
        <s v="Keyport, WA "/>
        <s v="Newport, RI"/>
        <s v="WNY0 Chlinic-Washington, DC"/>
        <s v="Bremerton, WA"/>
        <s v="San Diego, CA"/>
        <s v="Coronado, CA"/>
        <s v="Fallon, NV "/>
        <s v="Lemoore, CA"/>
        <s v="New London, CT/Groton"/>
        <s v="Point Loma, CA"/>
        <s v="Seal Beach, CA"/>
        <s v="Ventura County, CA"/>
        <s v="Virginia Beach, VA "/>
        <s v="Whidbey Island, WA"/>
        <s v="Mechanicsburg, PA"/>
        <s v="China Lake, CA"/>
        <s v="Monterey, CA"/>
        <s v="El Centro, CA"/>
        <s v="Colts Neck, NJ"/>
        <s v="Mid South, TN"/>
        <s v="Camp Mujuk"/>
        <s v="Annapolis, MD"/>
        <s v="Naples, Italy"/>
        <s v="Rota, Spain"/>
        <s v="Sigonella, Italy"/>
        <s v="Souda Bay, Greece"/>
        <s v="MCSF Blount Island"/>
        <s v="Diego Garcia"/>
        <s v="Camp Lejeune, NC"/>
        <s v="Corpus Christi, TX"/>
        <s v="Great Lakes, IL"/>
        <s v="Kingsbay, GA"/>
        <s v="Albany, GA"/>
        <s v="MCAS Miramar"/>
        <s v="MCB Hawaii"/>
        <s v="Chinhae, Korea"/>
        <s v="Port Hueneme, CA"/>
        <s v="Singapore, SG"/>
        <s v="Everett, WA"/>
        <s v="Kekaha, HI"/>
        <s v="Crane, IN"/>
        <s v="MCAS Cherry Point"/>
        <s v="Camp Lemonnier, Dijbouti"/>
        <s v="Dalhgren, VA"/>
        <s v="Meridian, MS"/>
        <s v="MCAS Iwakuni"/>
        <s v="Quantico"/>
        <s v="Cherry Point, NC"/>
        <s v="Whiting Field, FL"/>
        <s v="ROICC Sally, Pensacola, FL"/>
        <s v="Global Online"/>
        <s v="Norfolk, VA Classroom 2"/>
        <s v="Norfolk, VA Other"/>
        <s v="Norfolk, VA Classroom 1"/>
        <s v="Pax River, MD"/>
        <s v="Camp Butler, Japan"/>
        <s v="MCAS Yuma, AZ"/>
        <s v="Norfolk, VA Safety Command"/>
        <m/>
      </sharedItems>
    </cacheField>
    <cacheField name="Quotas Needed" numFmtId="0">
      <sharedItems containsString="0" containsBlank="1" containsNumber="1" containsInteger="1" minValue="1" maxValue="782"/>
    </cacheField>
    <cacheField name="Planned Quotas" numFmtId="0">
      <sharedItems containsString="0" containsBlank="1" containsNumber="1" containsInteger="1" minValue="20" maxValue="1000"/>
    </cacheField>
    <cacheField name="Grads" numFmtId="0">
      <sharedItems containsString="0" containsBlank="1" containsNumber="1" containsInteger="1" minValue="1" maxValue="84"/>
    </cacheField>
    <cacheField name="Fails" numFmtId="0">
      <sharedItems containsString="0" containsBlank="1" containsNumber="1" containsInteger="1" minValue="0" maxValue="9"/>
    </cacheField>
    <cacheField name="No-Shows" numFmtId="0">
      <sharedItems containsString="0" containsBlank="1" containsNumber="1" containsInteger="1" minValue="0" maxValue="36"/>
    </cacheField>
    <cacheField name="Walk-ins" numFmtId="0">
      <sharedItems containsString="0" containsBlank="1" containsNumber="1" containsInteger="1" minValue="0" maxValue="7"/>
    </cacheField>
    <cacheField name="Foreign Grads" numFmtId="0">
      <sharedItems containsString="0" containsBlank="1" containsNumber="1" containsInteger="1" minValue="0" maxValue="14"/>
    </cacheField>
    <cacheField name="Unused Quotas" numFmtId="0">
      <sharedItems containsString="0" containsBlank="1" containsNumber="1" containsInteger="1" minValue="-2" maxValue="1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ter, Amanda R CIV USN NAVSAFENVTRACEN NOR (USA)" refreshedDate="46241.350841435182" createdVersion="8" refreshedVersion="8" minRefreshableVersion="3" recordCount="721" xr:uid="{5144F36C-C901-4CA9-A0D9-111653CF93A2}">
  <cacheSource type="worksheet">
    <worksheetSource ref="B3:L724" sheet="Use Data" r:id="rId2"/>
  </cacheSource>
  <cacheFields count="11">
    <cacheField name="Command Name" numFmtId="0">
      <sharedItems count="11">
        <s v="USFF"/>
        <s v="PACFLT"/>
        <s v="NAVSEA"/>
        <s v="USMC-SAF"/>
        <s v="CNIC"/>
        <s v="USMC- EEM "/>
        <s v="Naval History and Heritage Command"/>
        <s v="Naval Air Systems Command"/>
        <s v="NAVSUPSYSCOM HQ"/>
        <s v="Marine Corps"/>
        <s v="**Planned/Provided"/>
      </sharedItems>
    </cacheField>
    <cacheField name="Course " numFmtId="0">
      <sharedItems count="10">
        <s v="Facility Response Team (FRT) Five Day"/>
        <s v="Facility Response Team (FRT) Three Day"/>
        <s v="Hazardous Substance Incident Response Management (HSIRM)"/>
        <s v="Hazardous Substance Incident Response Management (HSIRM) Refresher"/>
        <s v="Incident Command System 300 (ICS 300)"/>
        <s v="Incident Command System 300 (ICS 300) Refresher"/>
        <s v="Incident Command System 400 (ICS 400)"/>
        <s v="Oil Hazardous Substance Spill Response Tabletop Exercise (OHS TTX)"/>
        <s v="Tank Managers "/>
        <s v="Afloat Environmental Protection Coordinator (Global Online) "/>
      </sharedItems>
    </cacheField>
    <cacheField name="Location" numFmtId="0">
      <sharedItems count="98">
        <s v="Norfolk, VA"/>
        <s v="Atsugi, Japan"/>
        <s v="Bahrain"/>
        <s v="Bremerton, WA"/>
        <s v="Coronado, CA"/>
        <s v="Corpus Christi, TX"/>
        <s v="Diego Garcia"/>
        <s v="Everett, WA"/>
        <s v="Guam"/>
        <s v="Lemoore, CA"/>
        <s v="Okinawa, Japan"/>
        <s v="Pearl Harbor, HI"/>
        <s v="Pensacola, FL"/>
        <s v="Point Loma, CA"/>
        <s v="San Diego, CA"/>
        <s v="Sasebo, Japan"/>
        <s v="Whidbey Island, WA"/>
        <s v="Yokosuka, Japan"/>
        <s v="Camp Lejeune, NC"/>
        <s v="Washington, DC"/>
        <s v="Camp Mujuk"/>
        <s v="MCB Camp Lejeune"/>
        <s v="MCLB Albany"/>
        <s v="MCAGCC Twentynine Palms"/>
        <s v="MCAS Iwakuni"/>
        <s v="MCAS Cherry Point"/>
        <s v="MCB Okinawa"/>
        <s v="MCB Hawaii"/>
        <s v="MCAS Miramar"/>
        <s v="MCRD San Diego"/>
        <s v="Annapolis, MD"/>
        <s v="Bangor, WA"/>
        <s v="Guantanamo Bay, Cuba"/>
        <s v="Kings Bay, GA"/>
        <s v="Mayport, FL"/>
        <s v="New London, CT"/>
        <s v="Port Hueneme, CA"/>
        <s v="Portsmouth, NH"/>
        <s v="Rota, Spain"/>
        <s v="Key West, FL"/>
        <s v="Singapore "/>
        <s v="Support Facilit Diego Garcia"/>
        <s v="MCAS Beaufort"/>
        <s v="MCB Camp Pendleton"/>
        <s v="Newport, RI"/>
        <s v="Colts Neck, NJ"/>
        <s v="Great Lakes, IL"/>
        <s v="Indian Head, MD"/>
        <s v="Indian Island, WA"/>
        <s v="Kekaha, HI"/>
        <s v="Naples, Italy"/>
        <s v="Panama City, FL"/>
        <s v="Pax River, MD"/>
        <s v="Souda Bay, Greece"/>
        <s v="Virginia Beach, VA "/>
        <s v="Andros, Bahamas"/>
        <s v="Hachinohe, Japan (NAVSUP FLCY)"/>
        <s v="Hakozaki, Japan (NAVSUP FLCY)"/>
        <s v="Tsurumi, Japan (NAVSUP FLCY)"/>
        <s v="Manchester, WA"/>
        <s v="MCB Quantico"/>
        <s v="MCB Butler"/>
        <s v="MCB Mujuk"/>
        <s v="MCLB 29 Palms"/>
        <s v="MCAS Yuma"/>
        <s v="MCAB Fuji"/>
        <s v="Jacksonville, FL"/>
        <s v="Chinhae, Korea"/>
        <s v="Crane, IN"/>
        <s v="MCAS New River"/>
        <s v="MCRD Parris Island"/>
        <s v="China Lake (Ridgecrest), CA"/>
        <s v="CLDJ, Djibouti"/>
        <s v="Deveselu, Romania"/>
        <s v="El Centro, CA"/>
        <s v="Fallon, NV "/>
        <s v="Fort Worth, TX"/>
        <s v="Monterey, CA"/>
        <s v="New Orleans, LA"/>
        <s v="Redzikowo, Poland"/>
        <s v="Sigonella, Italy"/>
        <s v="Ventura County, CA"/>
        <s v="Camp Lemonnier, Djibouti"/>
        <s v="Gulfport, MS"/>
        <s v="Kingsville, TX"/>
        <s v="Whiting Field, FL"/>
        <s v="Keyport, WA "/>
        <s v="MCSF Blount Island"/>
        <s v="Yorktown, Va"/>
        <s v="Global Online"/>
        <s v="Hakozaki, Japan"/>
        <s v="Tsurumi, Japan"/>
        <s v="Hachinohe, Japan"/>
        <s v="Virginia Beach, VA"/>
        <s v="Beaufort, SC"/>
        <s v="PMRF Barking Sands"/>
        <s v="Spangdahlem Air Base (SAB), Germany"/>
        <s v="Baltimore, MD"/>
      </sharedItems>
    </cacheField>
    <cacheField name="Quotas Needed" numFmtId="0">
      <sharedItems containsString="0" containsBlank="1" containsNumber="1" containsInteger="1" minValue="1" maxValue="152"/>
    </cacheField>
    <cacheField name="Planned Quotas" numFmtId="0">
      <sharedItems containsString="0" containsBlank="1" containsNumber="1" containsInteger="1" minValue="25" maxValue="45"/>
    </cacheField>
    <cacheField name="Grads" numFmtId="0">
      <sharedItems containsString="0" containsBlank="1" containsNumber="1" containsInteger="1" minValue="0" maxValue="40"/>
    </cacheField>
    <cacheField name="Fails" numFmtId="0">
      <sharedItems containsString="0" containsBlank="1" containsNumber="1" containsInteger="1" minValue="0" maxValue="4"/>
    </cacheField>
    <cacheField name="No-Shows" numFmtId="0">
      <sharedItems containsString="0" containsBlank="1" containsNumber="1" containsInteger="1" minValue="0" maxValue="12"/>
    </cacheField>
    <cacheField name="Walk-ins" numFmtId="0">
      <sharedItems containsString="0" containsBlank="1" containsNumber="1" containsInteger="1" minValue="0" maxValue="38"/>
    </cacheField>
    <cacheField name="Foreign Grads" numFmtId="0">
      <sharedItems containsString="0" containsBlank="1" containsNumber="1" containsInteger="1" minValue="0" maxValue="36"/>
    </cacheField>
    <cacheField name="Unused Quotas" numFmtId="0">
      <sharedItems containsString="0" containsBlank="1" containsNumber="1" containsInteger="1" minValue="0" maxValue="4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55">
  <r>
    <x v="0"/>
    <x v="0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"/>
    <n v="1"/>
    <n v="0"/>
    <n v="1"/>
    <n v="0"/>
    <n v="1"/>
    <n v="0"/>
    <n v="0"/>
    <n v="0"/>
    <n v="0"/>
    <n v="0"/>
    <n v="0"/>
    <n v="3"/>
    <n v="0"/>
    <n v="1"/>
    <n v="0"/>
    <n v="0"/>
    <m/>
  </r>
  <r>
    <x v="0"/>
    <x v="2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3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"/>
    <n v="0"/>
    <n v="0"/>
    <n v="0"/>
    <n v="0"/>
    <n v="0"/>
    <n v="0"/>
    <n v="0"/>
    <n v="0"/>
    <n v="0"/>
    <n v="0"/>
    <n v="0"/>
    <n v="2"/>
    <n v="0"/>
    <n v="3"/>
    <n v="0"/>
    <n v="0"/>
    <m/>
  </r>
  <r>
    <x v="0"/>
    <x v="5"/>
    <n v="0"/>
    <n v="0"/>
    <n v="0"/>
    <n v="0"/>
    <n v="0"/>
    <n v="0"/>
    <n v="2"/>
    <n v="4"/>
    <n v="2"/>
    <n v="0"/>
    <n v="4"/>
    <n v="2"/>
    <n v="2"/>
    <n v="0"/>
    <n v="1"/>
    <n v="0"/>
    <m/>
  </r>
  <r>
    <x v="0"/>
    <x v="6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8"/>
    <n v="0"/>
    <n v="0"/>
    <n v="0"/>
    <n v="0"/>
    <n v="0"/>
    <n v="0"/>
    <n v="0"/>
    <n v="2"/>
    <n v="0"/>
    <n v="0"/>
    <n v="0"/>
    <n v="6"/>
    <n v="0"/>
    <n v="6"/>
    <n v="0"/>
    <n v="0"/>
    <m/>
  </r>
  <r>
    <x v="0"/>
    <x v="9"/>
    <n v="0"/>
    <n v="0"/>
    <n v="0"/>
    <n v="0"/>
    <n v="0"/>
    <n v="0"/>
    <n v="1"/>
    <n v="0"/>
    <n v="0"/>
    <n v="0"/>
    <n v="1"/>
    <n v="0"/>
    <n v="1"/>
    <n v="1"/>
    <n v="1"/>
    <n v="1"/>
    <m/>
  </r>
  <r>
    <x v="0"/>
    <x v="10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1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2"/>
    <n v="0"/>
    <n v="0"/>
    <n v="0"/>
    <n v="0"/>
    <n v="0"/>
    <n v="0"/>
    <n v="0"/>
    <n v="0"/>
    <n v="0"/>
    <n v="0"/>
    <n v="0"/>
    <n v="2"/>
    <n v="0"/>
    <n v="2"/>
    <n v="0"/>
    <n v="0"/>
    <m/>
  </r>
  <r>
    <x v="0"/>
    <x v="13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4"/>
    <n v="0"/>
    <n v="0"/>
    <n v="0"/>
    <n v="0"/>
    <n v="0"/>
    <n v="0"/>
    <n v="0"/>
    <n v="0"/>
    <n v="0"/>
    <n v="0"/>
    <n v="0"/>
    <n v="1"/>
    <n v="0"/>
    <n v="1"/>
    <n v="0"/>
    <n v="0"/>
    <m/>
  </r>
  <r>
    <x v="0"/>
    <x v="15"/>
    <n v="7"/>
    <n v="0"/>
    <n v="5"/>
    <n v="0"/>
    <n v="5"/>
    <n v="0"/>
    <n v="0"/>
    <n v="0"/>
    <n v="0"/>
    <n v="0"/>
    <n v="0"/>
    <n v="7"/>
    <n v="0"/>
    <n v="4"/>
    <n v="0"/>
    <n v="0"/>
    <m/>
  </r>
  <r>
    <x v="0"/>
    <x v="16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18"/>
    <n v="5"/>
    <n v="0"/>
    <n v="0"/>
    <n v="0"/>
    <n v="0"/>
    <n v="0"/>
    <n v="0"/>
    <n v="0"/>
    <n v="0"/>
    <n v="0"/>
    <n v="0"/>
    <n v="1"/>
    <n v="0"/>
    <n v="0"/>
    <n v="0"/>
    <n v="0"/>
    <m/>
  </r>
  <r>
    <x v="0"/>
    <x v="19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0"/>
    <n v="0"/>
    <n v="0"/>
    <n v="0"/>
    <n v="0"/>
    <n v="0"/>
    <n v="0"/>
    <n v="0"/>
    <n v="4"/>
    <n v="1"/>
    <n v="4"/>
    <n v="5"/>
    <n v="8"/>
    <n v="1"/>
    <n v="9"/>
    <n v="3"/>
    <n v="2"/>
    <m/>
  </r>
  <r>
    <x v="0"/>
    <x v="21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2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3"/>
    <n v="0"/>
    <n v="0"/>
    <n v="0"/>
    <n v="0"/>
    <n v="0"/>
    <n v="0"/>
    <n v="0"/>
    <n v="4"/>
    <n v="0"/>
    <n v="4"/>
    <n v="0"/>
    <n v="8"/>
    <n v="0"/>
    <n v="4"/>
    <n v="0"/>
    <n v="0"/>
    <m/>
  </r>
  <r>
    <x v="0"/>
    <x v="24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5"/>
    <n v="0"/>
    <n v="0"/>
    <n v="0"/>
    <n v="0"/>
    <n v="0"/>
    <n v="0"/>
    <n v="0"/>
    <n v="0"/>
    <n v="0"/>
    <n v="0"/>
    <n v="0"/>
    <n v="1"/>
    <n v="1"/>
    <n v="1"/>
    <n v="1"/>
    <n v="0"/>
    <m/>
  </r>
  <r>
    <x v="0"/>
    <x v="26"/>
    <n v="0"/>
    <n v="0"/>
    <n v="0"/>
    <n v="0"/>
    <n v="0"/>
    <n v="0"/>
    <n v="0"/>
    <n v="4"/>
    <n v="0"/>
    <n v="4"/>
    <n v="0"/>
    <n v="8"/>
    <n v="0"/>
    <n v="4"/>
    <n v="0"/>
    <n v="0"/>
    <m/>
  </r>
  <r>
    <x v="0"/>
    <x v="2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28"/>
    <n v="0"/>
    <n v="0"/>
    <n v="0"/>
    <n v="0"/>
    <n v="0"/>
    <n v="0"/>
    <n v="0"/>
    <n v="0"/>
    <n v="0"/>
    <n v="0"/>
    <n v="3"/>
    <n v="2"/>
    <n v="3"/>
    <n v="2"/>
    <n v="2"/>
    <n v="3"/>
    <m/>
  </r>
  <r>
    <x v="0"/>
    <x v="29"/>
    <n v="0"/>
    <n v="0"/>
    <n v="0"/>
    <n v="0"/>
    <n v="0"/>
    <n v="0"/>
    <n v="3"/>
    <n v="0"/>
    <n v="5"/>
    <n v="0"/>
    <n v="3"/>
    <n v="5"/>
    <n v="1"/>
    <n v="3"/>
    <n v="0"/>
    <n v="8"/>
    <m/>
  </r>
  <r>
    <x v="0"/>
    <x v="30"/>
    <n v="0"/>
    <n v="0"/>
    <n v="0"/>
    <n v="0"/>
    <n v="0"/>
    <n v="0"/>
    <n v="4"/>
    <n v="0"/>
    <n v="5"/>
    <n v="0"/>
    <n v="4"/>
    <n v="5"/>
    <n v="0"/>
    <n v="4"/>
    <n v="0"/>
    <n v="4"/>
    <m/>
  </r>
  <r>
    <x v="0"/>
    <x v="31"/>
    <n v="44"/>
    <n v="0"/>
    <n v="1"/>
    <n v="0"/>
    <n v="0"/>
    <n v="0"/>
    <n v="38"/>
    <n v="37"/>
    <n v="1"/>
    <n v="0"/>
    <n v="6"/>
    <n v="21"/>
    <n v="6"/>
    <n v="16"/>
    <n v="6"/>
    <n v="12"/>
    <m/>
  </r>
  <r>
    <x v="0"/>
    <x v="32"/>
    <n v="11"/>
    <n v="11"/>
    <n v="11"/>
    <n v="11"/>
    <n v="4"/>
    <n v="4"/>
    <n v="0"/>
    <n v="0"/>
    <n v="0"/>
    <n v="2"/>
    <n v="0"/>
    <n v="11"/>
    <n v="12"/>
    <n v="2"/>
    <n v="0"/>
    <n v="12"/>
    <m/>
  </r>
  <r>
    <x v="0"/>
    <x v="33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34"/>
    <n v="4"/>
    <n v="0"/>
    <n v="0"/>
    <n v="0"/>
    <n v="0"/>
    <n v="0"/>
    <n v="0"/>
    <n v="0"/>
    <n v="0"/>
    <n v="0"/>
    <n v="0"/>
    <n v="1"/>
    <n v="1"/>
    <n v="0"/>
    <n v="0"/>
    <n v="0"/>
    <m/>
  </r>
  <r>
    <x v="0"/>
    <x v="35"/>
    <n v="7"/>
    <n v="11"/>
    <n v="2"/>
    <n v="10"/>
    <n v="2"/>
    <n v="0"/>
    <n v="2"/>
    <n v="3"/>
    <n v="2"/>
    <n v="2"/>
    <n v="5"/>
    <n v="8"/>
    <n v="2"/>
    <n v="8"/>
    <n v="2"/>
    <n v="8"/>
    <m/>
  </r>
  <r>
    <x v="0"/>
    <x v="36"/>
    <n v="0"/>
    <n v="0"/>
    <n v="0"/>
    <n v="0"/>
    <n v="0"/>
    <n v="0"/>
    <n v="4"/>
    <n v="2"/>
    <n v="1"/>
    <n v="0"/>
    <n v="2"/>
    <n v="6"/>
    <n v="1"/>
    <n v="6"/>
    <n v="1"/>
    <n v="1"/>
    <m/>
  </r>
  <r>
    <x v="0"/>
    <x v="3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38"/>
    <n v="0"/>
    <n v="0"/>
    <n v="0"/>
    <n v="0"/>
    <n v="0"/>
    <n v="0"/>
    <n v="0"/>
    <n v="1"/>
    <n v="3"/>
    <n v="0"/>
    <n v="0"/>
    <n v="2"/>
    <n v="0"/>
    <n v="2"/>
    <n v="0"/>
    <n v="0"/>
    <m/>
  </r>
  <r>
    <x v="0"/>
    <x v="39"/>
    <n v="0"/>
    <n v="0"/>
    <n v="0"/>
    <n v="0"/>
    <n v="0"/>
    <n v="0"/>
    <n v="3"/>
    <n v="0"/>
    <n v="5"/>
    <n v="0"/>
    <n v="2"/>
    <n v="5"/>
    <n v="1"/>
    <n v="2"/>
    <n v="0"/>
    <n v="7"/>
    <m/>
  </r>
  <r>
    <x v="0"/>
    <x v="40"/>
    <n v="0"/>
    <n v="0"/>
    <n v="0"/>
    <n v="0"/>
    <n v="0"/>
    <n v="0"/>
    <n v="0"/>
    <n v="0"/>
    <n v="0"/>
    <n v="0"/>
    <n v="2"/>
    <n v="0"/>
    <n v="0"/>
    <n v="2"/>
    <n v="1"/>
    <n v="0"/>
    <m/>
  </r>
  <r>
    <x v="0"/>
    <x v="41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2"/>
    <n v="0"/>
    <n v="0"/>
    <n v="0"/>
    <n v="0"/>
    <n v="0"/>
    <n v="0"/>
    <n v="1"/>
    <n v="2"/>
    <n v="0"/>
    <n v="0"/>
    <n v="0"/>
    <n v="10"/>
    <n v="0"/>
    <n v="10"/>
    <n v="1"/>
    <n v="0"/>
    <m/>
  </r>
  <r>
    <x v="0"/>
    <x v="43"/>
    <n v="2"/>
    <n v="0"/>
    <n v="2"/>
    <n v="0"/>
    <n v="2"/>
    <n v="0"/>
    <n v="2"/>
    <n v="0"/>
    <n v="0"/>
    <n v="0"/>
    <n v="0"/>
    <n v="3"/>
    <n v="0"/>
    <n v="1"/>
    <n v="0"/>
    <n v="0"/>
    <m/>
  </r>
  <r>
    <x v="0"/>
    <x v="44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5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6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7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8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49"/>
    <n v="0"/>
    <n v="0"/>
    <n v="0"/>
    <n v="0"/>
    <n v="0"/>
    <n v="0"/>
    <n v="0"/>
    <n v="0"/>
    <n v="0"/>
    <n v="0"/>
    <n v="0"/>
    <n v="2"/>
    <n v="1"/>
    <n v="2"/>
    <n v="1"/>
    <n v="1"/>
    <m/>
  </r>
  <r>
    <x v="0"/>
    <x v="50"/>
    <n v="0"/>
    <n v="0"/>
    <n v="0"/>
    <n v="0"/>
    <n v="0"/>
    <n v="0"/>
    <n v="0"/>
    <n v="0"/>
    <n v="0"/>
    <n v="0"/>
    <n v="0"/>
    <n v="0"/>
    <n v="0"/>
    <n v="0"/>
    <n v="0"/>
    <n v="0"/>
    <m/>
  </r>
  <r>
    <x v="0"/>
    <x v="51"/>
    <n v="3"/>
    <n v="0"/>
    <n v="3"/>
    <n v="0"/>
    <n v="3"/>
    <n v="0"/>
    <n v="3"/>
    <n v="0"/>
    <n v="0"/>
    <n v="0"/>
    <n v="0"/>
    <n v="7"/>
    <n v="0"/>
    <n v="2"/>
    <n v="0"/>
    <n v="0"/>
    <m/>
  </r>
  <r>
    <x v="1"/>
    <x v="0"/>
    <m/>
    <m/>
    <m/>
    <m/>
    <m/>
    <m/>
    <m/>
    <m/>
    <m/>
    <m/>
    <m/>
    <m/>
    <m/>
    <m/>
    <m/>
    <m/>
    <m/>
  </r>
  <r>
    <x v="1"/>
    <x v="1"/>
    <m/>
    <m/>
    <m/>
    <m/>
    <m/>
    <m/>
    <m/>
    <m/>
    <m/>
    <m/>
    <m/>
    <m/>
    <m/>
    <m/>
    <m/>
    <m/>
    <m/>
  </r>
  <r>
    <x v="1"/>
    <x v="2"/>
    <m/>
    <m/>
    <m/>
    <m/>
    <m/>
    <m/>
    <m/>
    <m/>
    <m/>
    <m/>
    <m/>
    <m/>
    <m/>
    <m/>
    <m/>
    <m/>
    <m/>
  </r>
  <r>
    <x v="1"/>
    <x v="3"/>
    <m/>
    <m/>
    <m/>
    <m/>
    <m/>
    <m/>
    <m/>
    <m/>
    <m/>
    <m/>
    <m/>
    <m/>
    <m/>
    <m/>
    <m/>
    <m/>
    <m/>
  </r>
  <r>
    <x v="1"/>
    <x v="4"/>
    <m/>
    <m/>
    <m/>
    <m/>
    <m/>
    <m/>
    <m/>
    <m/>
    <m/>
    <m/>
    <m/>
    <m/>
    <m/>
    <m/>
    <m/>
    <m/>
    <m/>
  </r>
  <r>
    <x v="1"/>
    <x v="5"/>
    <m/>
    <m/>
    <m/>
    <m/>
    <m/>
    <m/>
    <m/>
    <m/>
    <m/>
    <m/>
    <m/>
    <m/>
    <m/>
    <m/>
    <m/>
    <m/>
    <m/>
  </r>
  <r>
    <x v="1"/>
    <x v="6"/>
    <m/>
    <m/>
    <m/>
    <m/>
    <m/>
    <m/>
    <m/>
    <m/>
    <m/>
    <m/>
    <m/>
    <m/>
    <m/>
    <m/>
    <m/>
    <m/>
    <m/>
  </r>
  <r>
    <x v="1"/>
    <x v="7"/>
    <m/>
    <m/>
    <m/>
    <m/>
    <m/>
    <m/>
    <m/>
    <m/>
    <m/>
    <m/>
    <m/>
    <m/>
    <m/>
    <m/>
    <m/>
    <m/>
    <m/>
  </r>
  <r>
    <x v="1"/>
    <x v="8"/>
    <m/>
    <m/>
    <m/>
    <m/>
    <m/>
    <m/>
    <m/>
    <m/>
    <m/>
    <m/>
    <m/>
    <m/>
    <m/>
    <m/>
    <m/>
    <m/>
    <m/>
  </r>
  <r>
    <x v="1"/>
    <x v="9"/>
    <m/>
    <m/>
    <m/>
    <m/>
    <m/>
    <m/>
    <m/>
    <m/>
    <m/>
    <m/>
    <m/>
    <m/>
    <m/>
    <m/>
    <m/>
    <m/>
    <m/>
  </r>
  <r>
    <x v="1"/>
    <x v="10"/>
    <m/>
    <m/>
    <m/>
    <m/>
    <m/>
    <m/>
    <m/>
    <m/>
    <m/>
    <m/>
    <m/>
    <m/>
    <m/>
    <m/>
    <m/>
    <m/>
    <m/>
  </r>
  <r>
    <x v="1"/>
    <x v="11"/>
    <m/>
    <m/>
    <m/>
    <m/>
    <m/>
    <m/>
    <m/>
    <m/>
    <m/>
    <m/>
    <m/>
    <m/>
    <m/>
    <m/>
    <m/>
    <m/>
    <m/>
  </r>
  <r>
    <x v="1"/>
    <x v="12"/>
    <m/>
    <m/>
    <m/>
    <m/>
    <m/>
    <m/>
    <m/>
    <m/>
    <m/>
    <m/>
    <m/>
    <m/>
    <m/>
    <m/>
    <m/>
    <m/>
    <m/>
  </r>
  <r>
    <x v="1"/>
    <x v="13"/>
    <m/>
    <m/>
    <m/>
    <m/>
    <m/>
    <m/>
    <m/>
    <m/>
    <m/>
    <m/>
    <m/>
    <m/>
    <m/>
    <m/>
    <m/>
    <m/>
    <m/>
  </r>
  <r>
    <x v="1"/>
    <x v="14"/>
    <m/>
    <m/>
    <m/>
    <m/>
    <m/>
    <m/>
    <m/>
    <m/>
    <m/>
    <m/>
    <m/>
    <m/>
    <m/>
    <m/>
    <m/>
    <m/>
    <m/>
  </r>
  <r>
    <x v="1"/>
    <x v="15"/>
    <m/>
    <m/>
    <m/>
    <m/>
    <m/>
    <m/>
    <m/>
    <m/>
    <m/>
    <m/>
    <m/>
    <m/>
    <m/>
    <m/>
    <m/>
    <m/>
    <m/>
  </r>
  <r>
    <x v="1"/>
    <x v="16"/>
    <m/>
    <m/>
    <m/>
    <m/>
    <m/>
    <m/>
    <m/>
    <m/>
    <m/>
    <m/>
    <m/>
    <m/>
    <m/>
    <m/>
    <m/>
    <m/>
    <m/>
  </r>
  <r>
    <x v="1"/>
    <x v="17"/>
    <m/>
    <m/>
    <m/>
    <m/>
    <m/>
    <m/>
    <m/>
    <m/>
    <m/>
    <m/>
    <m/>
    <m/>
    <m/>
    <m/>
    <m/>
    <m/>
    <m/>
  </r>
  <r>
    <x v="1"/>
    <x v="18"/>
    <m/>
    <m/>
    <m/>
    <m/>
    <m/>
    <m/>
    <m/>
    <m/>
    <m/>
    <m/>
    <m/>
    <m/>
    <m/>
    <m/>
    <m/>
    <m/>
    <m/>
  </r>
  <r>
    <x v="1"/>
    <x v="19"/>
    <m/>
    <m/>
    <m/>
    <m/>
    <m/>
    <m/>
    <m/>
    <m/>
    <m/>
    <m/>
    <m/>
    <m/>
    <m/>
    <m/>
    <m/>
    <m/>
    <m/>
  </r>
  <r>
    <x v="1"/>
    <x v="20"/>
    <m/>
    <m/>
    <m/>
    <m/>
    <m/>
    <m/>
    <m/>
    <m/>
    <m/>
    <m/>
    <m/>
    <m/>
    <m/>
    <m/>
    <m/>
    <m/>
    <m/>
  </r>
  <r>
    <x v="1"/>
    <x v="21"/>
    <m/>
    <m/>
    <m/>
    <m/>
    <m/>
    <m/>
    <m/>
    <m/>
    <m/>
    <m/>
    <m/>
    <m/>
    <m/>
    <m/>
    <m/>
    <m/>
    <m/>
  </r>
  <r>
    <x v="1"/>
    <x v="22"/>
    <m/>
    <m/>
    <m/>
    <m/>
    <m/>
    <m/>
    <m/>
    <m/>
    <m/>
    <m/>
    <m/>
    <m/>
    <m/>
    <m/>
    <m/>
    <m/>
    <m/>
  </r>
  <r>
    <x v="1"/>
    <x v="23"/>
    <m/>
    <m/>
    <m/>
    <m/>
    <m/>
    <m/>
    <m/>
    <m/>
    <m/>
    <m/>
    <m/>
    <m/>
    <m/>
    <m/>
    <m/>
    <m/>
    <m/>
  </r>
  <r>
    <x v="1"/>
    <x v="24"/>
    <m/>
    <m/>
    <m/>
    <m/>
    <m/>
    <m/>
    <m/>
    <m/>
    <m/>
    <m/>
    <m/>
    <m/>
    <m/>
    <m/>
    <m/>
    <m/>
    <m/>
  </r>
  <r>
    <x v="1"/>
    <x v="25"/>
    <m/>
    <m/>
    <m/>
    <m/>
    <m/>
    <m/>
    <m/>
    <m/>
    <m/>
    <m/>
    <m/>
    <m/>
    <m/>
    <m/>
    <m/>
    <m/>
    <m/>
  </r>
  <r>
    <x v="1"/>
    <x v="26"/>
    <m/>
    <m/>
    <m/>
    <m/>
    <m/>
    <m/>
    <m/>
    <m/>
    <m/>
    <m/>
    <m/>
    <m/>
    <m/>
    <m/>
    <m/>
    <m/>
    <m/>
  </r>
  <r>
    <x v="1"/>
    <x v="27"/>
    <m/>
    <m/>
    <m/>
    <m/>
    <m/>
    <m/>
    <m/>
    <m/>
    <m/>
    <m/>
    <m/>
    <m/>
    <m/>
    <m/>
    <m/>
    <m/>
    <m/>
  </r>
  <r>
    <x v="1"/>
    <x v="28"/>
    <m/>
    <m/>
    <m/>
    <m/>
    <m/>
    <m/>
    <m/>
    <m/>
    <m/>
    <m/>
    <m/>
    <m/>
    <m/>
    <m/>
    <m/>
    <m/>
    <m/>
  </r>
  <r>
    <x v="1"/>
    <x v="29"/>
    <m/>
    <m/>
    <m/>
    <m/>
    <m/>
    <m/>
    <m/>
    <m/>
    <m/>
    <m/>
    <m/>
    <m/>
    <m/>
    <m/>
    <m/>
    <m/>
    <m/>
  </r>
  <r>
    <x v="1"/>
    <x v="30"/>
    <m/>
    <m/>
    <m/>
    <m/>
    <m/>
    <m/>
    <m/>
    <m/>
    <m/>
    <m/>
    <m/>
    <m/>
    <m/>
    <m/>
    <m/>
    <m/>
    <m/>
  </r>
  <r>
    <x v="1"/>
    <x v="31"/>
    <m/>
    <m/>
    <m/>
    <m/>
    <m/>
    <m/>
    <m/>
    <m/>
    <m/>
    <m/>
    <m/>
    <m/>
    <m/>
    <m/>
    <m/>
    <m/>
    <m/>
  </r>
  <r>
    <x v="1"/>
    <x v="32"/>
    <m/>
    <m/>
    <m/>
    <m/>
    <m/>
    <m/>
    <m/>
    <m/>
    <m/>
    <m/>
    <m/>
    <m/>
    <m/>
    <m/>
    <m/>
    <m/>
    <m/>
  </r>
  <r>
    <x v="1"/>
    <x v="33"/>
    <m/>
    <m/>
    <m/>
    <m/>
    <m/>
    <m/>
    <m/>
    <m/>
    <m/>
    <m/>
    <m/>
    <m/>
    <m/>
    <m/>
    <m/>
    <m/>
    <m/>
  </r>
  <r>
    <x v="1"/>
    <x v="34"/>
    <m/>
    <m/>
    <m/>
    <m/>
    <m/>
    <m/>
    <m/>
    <m/>
    <m/>
    <m/>
    <m/>
    <m/>
    <m/>
    <m/>
    <m/>
    <m/>
    <m/>
  </r>
  <r>
    <x v="1"/>
    <x v="35"/>
    <m/>
    <m/>
    <m/>
    <m/>
    <m/>
    <m/>
    <m/>
    <m/>
    <m/>
    <m/>
    <m/>
    <m/>
    <m/>
    <m/>
    <m/>
    <m/>
    <m/>
  </r>
  <r>
    <x v="1"/>
    <x v="36"/>
    <m/>
    <m/>
    <m/>
    <m/>
    <m/>
    <m/>
    <m/>
    <m/>
    <m/>
    <m/>
    <m/>
    <m/>
    <m/>
    <m/>
    <m/>
    <m/>
    <m/>
  </r>
  <r>
    <x v="1"/>
    <x v="37"/>
    <m/>
    <m/>
    <m/>
    <m/>
    <m/>
    <m/>
    <m/>
    <m/>
    <m/>
    <m/>
    <m/>
    <m/>
    <m/>
    <m/>
    <m/>
    <m/>
    <m/>
  </r>
  <r>
    <x v="1"/>
    <x v="38"/>
    <m/>
    <m/>
    <m/>
    <m/>
    <m/>
    <m/>
    <m/>
    <m/>
    <m/>
    <m/>
    <m/>
    <m/>
    <m/>
    <m/>
    <m/>
    <m/>
    <m/>
  </r>
  <r>
    <x v="1"/>
    <x v="39"/>
    <m/>
    <m/>
    <m/>
    <m/>
    <m/>
    <m/>
    <m/>
    <m/>
    <m/>
    <m/>
    <m/>
    <m/>
    <m/>
    <m/>
    <m/>
    <m/>
    <m/>
  </r>
  <r>
    <x v="1"/>
    <x v="40"/>
    <m/>
    <m/>
    <m/>
    <m/>
    <m/>
    <m/>
    <m/>
    <m/>
    <m/>
    <m/>
    <m/>
    <m/>
    <m/>
    <m/>
    <m/>
    <m/>
    <m/>
  </r>
  <r>
    <x v="1"/>
    <x v="41"/>
    <m/>
    <m/>
    <m/>
    <m/>
    <m/>
    <m/>
    <m/>
    <m/>
    <m/>
    <m/>
    <m/>
    <m/>
    <m/>
    <m/>
    <m/>
    <m/>
    <m/>
  </r>
  <r>
    <x v="1"/>
    <x v="42"/>
    <m/>
    <m/>
    <m/>
    <m/>
    <m/>
    <m/>
    <m/>
    <m/>
    <m/>
    <m/>
    <m/>
    <m/>
    <m/>
    <m/>
    <m/>
    <m/>
    <m/>
  </r>
  <r>
    <x v="1"/>
    <x v="43"/>
    <m/>
    <m/>
    <m/>
    <m/>
    <m/>
    <m/>
    <m/>
    <m/>
    <m/>
    <m/>
    <m/>
    <m/>
    <m/>
    <m/>
    <m/>
    <m/>
    <m/>
  </r>
  <r>
    <x v="1"/>
    <x v="44"/>
    <m/>
    <m/>
    <m/>
    <m/>
    <m/>
    <m/>
    <m/>
    <m/>
    <m/>
    <m/>
    <m/>
    <m/>
    <m/>
    <m/>
    <m/>
    <m/>
    <m/>
  </r>
  <r>
    <x v="1"/>
    <x v="45"/>
    <m/>
    <m/>
    <m/>
    <m/>
    <m/>
    <m/>
    <m/>
    <m/>
    <m/>
    <m/>
    <m/>
    <m/>
    <m/>
    <m/>
    <m/>
    <m/>
    <m/>
  </r>
  <r>
    <x v="1"/>
    <x v="46"/>
    <m/>
    <m/>
    <m/>
    <m/>
    <m/>
    <m/>
    <m/>
    <m/>
    <m/>
    <m/>
    <m/>
    <m/>
    <m/>
    <m/>
    <m/>
    <m/>
    <m/>
  </r>
  <r>
    <x v="1"/>
    <x v="47"/>
    <m/>
    <m/>
    <m/>
    <m/>
    <m/>
    <m/>
    <m/>
    <m/>
    <m/>
    <m/>
    <m/>
    <m/>
    <m/>
    <m/>
    <m/>
    <m/>
    <m/>
  </r>
  <r>
    <x v="1"/>
    <x v="48"/>
    <m/>
    <m/>
    <m/>
    <m/>
    <m/>
    <m/>
    <m/>
    <m/>
    <m/>
    <m/>
    <m/>
    <m/>
    <m/>
    <m/>
    <m/>
    <m/>
    <m/>
  </r>
  <r>
    <x v="1"/>
    <x v="49"/>
    <m/>
    <m/>
    <m/>
    <m/>
    <m/>
    <m/>
    <m/>
    <m/>
    <m/>
    <m/>
    <m/>
    <m/>
    <m/>
    <m/>
    <m/>
    <m/>
    <m/>
  </r>
  <r>
    <x v="1"/>
    <x v="50"/>
    <m/>
    <m/>
    <m/>
    <m/>
    <m/>
    <m/>
    <m/>
    <m/>
    <m/>
    <m/>
    <m/>
    <m/>
    <m/>
    <m/>
    <m/>
    <m/>
    <m/>
  </r>
  <r>
    <x v="1"/>
    <x v="51"/>
    <m/>
    <m/>
    <m/>
    <m/>
    <m/>
    <m/>
    <m/>
    <m/>
    <m/>
    <m/>
    <m/>
    <m/>
    <m/>
    <m/>
    <m/>
    <m/>
    <m/>
  </r>
  <r>
    <x v="2"/>
    <x v="0"/>
    <m/>
    <m/>
    <m/>
    <m/>
    <m/>
    <m/>
    <m/>
    <m/>
    <m/>
    <m/>
    <m/>
    <m/>
    <m/>
    <m/>
    <m/>
    <m/>
    <m/>
  </r>
  <r>
    <x v="2"/>
    <x v="1"/>
    <m/>
    <m/>
    <m/>
    <m/>
    <m/>
    <m/>
    <m/>
    <m/>
    <m/>
    <m/>
    <m/>
    <m/>
    <m/>
    <m/>
    <m/>
    <m/>
    <m/>
  </r>
  <r>
    <x v="2"/>
    <x v="2"/>
    <m/>
    <m/>
    <m/>
    <m/>
    <m/>
    <m/>
    <m/>
    <m/>
    <m/>
    <m/>
    <m/>
    <m/>
    <m/>
    <m/>
    <m/>
    <m/>
    <m/>
  </r>
  <r>
    <x v="2"/>
    <x v="3"/>
    <m/>
    <m/>
    <m/>
    <m/>
    <m/>
    <m/>
    <m/>
    <m/>
    <m/>
    <m/>
    <m/>
    <m/>
    <m/>
    <m/>
    <m/>
    <m/>
    <m/>
  </r>
  <r>
    <x v="2"/>
    <x v="4"/>
    <m/>
    <m/>
    <m/>
    <m/>
    <m/>
    <m/>
    <m/>
    <m/>
    <m/>
    <m/>
    <m/>
    <m/>
    <m/>
    <m/>
    <m/>
    <m/>
    <m/>
  </r>
  <r>
    <x v="2"/>
    <x v="5"/>
    <m/>
    <m/>
    <m/>
    <m/>
    <m/>
    <m/>
    <m/>
    <m/>
    <m/>
    <m/>
    <m/>
    <m/>
    <m/>
    <m/>
    <m/>
    <m/>
    <m/>
  </r>
  <r>
    <x v="2"/>
    <x v="6"/>
    <m/>
    <m/>
    <m/>
    <m/>
    <m/>
    <m/>
    <m/>
    <m/>
    <m/>
    <m/>
    <m/>
    <m/>
    <m/>
    <m/>
    <m/>
    <m/>
    <m/>
  </r>
  <r>
    <x v="2"/>
    <x v="7"/>
    <m/>
    <m/>
    <m/>
    <m/>
    <m/>
    <m/>
    <m/>
    <m/>
    <m/>
    <m/>
    <m/>
    <m/>
    <m/>
    <m/>
    <m/>
    <m/>
    <m/>
  </r>
  <r>
    <x v="2"/>
    <x v="8"/>
    <m/>
    <m/>
    <m/>
    <m/>
    <m/>
    <m/>
    <m/>
    <m/>
    <m/>
    <m/>
    <m/>
    <m/>
    <m/>
    <m/>
    <m/>
    <m/>
    <m/>
  </r>
  <r>
    <x v="2"/>
    <x v="9"/>
    <m/>
    <m/>
    <m/>
    <m/>
    <m/>
    <m/>
    <m/>
    <m/>
    <m/>
    <m/>
    <m/>
    <m/>
    <m/>
    <m/>
    <m/>
    <m/>
    <m/>
  </r>
  <r>
    <x v="2"/>
    <x v="10"/>
    <m/>
    <m/>
    <m/>
    <m/>
    <m/>
    <m/>
    <m/>
    <m/>
    <m/>
    <m/>
    <m/>
    <m/>
    <m/>
    <m/>
    <m/>
    <m/>
    <m/>
  </r>
  <r>
    <x v="2"/>
    <x v="11"/>
    <m/>
    <m/>
    <m/>
    <m/>
    <m/>
    <m/>
    <m/>
    <m/>
    <m/>
    <m/>
    <m/>
    <m/>
    <m/>
    <m/>
    <m/>
    <m/>
    <m/>
  </r>
  <r>
    <x v="2"/>
    <x v="12"/>
    <m/>
    <m/>
    <m/>
    <m/>
    <m/>
    <m/>
    <m/>
    <m/>
    <m/>
    <m/>
    <m/>
    <m/>
    <m/>
    <m/>
    <m/>
    <m/>
    <m/>
  </r>
  <r>
    <x v="2"/>
    <x v="13"/>
    <m/>
    <m/>
    <m/>
    <m/>
    <m/>
    <m/>
    <m/>
    <m/>
    <m/>
    <m/>
    <m/>
    <m/>
    <m/>
    <m/>
    <m/>
    <m/>
    <m/>
  </r>
  <r>
    <x v="2"/>
    <x v="14"/>
    <m/>
    <m/>
    <m/>
    <m/>
    <m/>
    <m/>
    <m/>
    <m/>
    <m/>
    <m/>
    <m/>
    <m/>
    <m/>
    <m/>
    <m/>
    <m/>
    <m/>
  </r>
  <r>
    <x v="2"/>
    <x v="15"/>
    <m/>
    <m/>
    <m/>
    <m/>
    <m/>
    <m/>
    <m/>
    <m/>
    <m/>
    <m/>
    <m/>
    <m/>
    <m/>
    <m/>
    <m/>
    <m/>
    <m/>
  </r>
  <r>
    <x v="2"/>
    <x v="16"/>
    <m/>
    <m/>
    <m/>
    <m/>
    <m/>
    <m/>
    <m/>
    <m/>
    <m/>
    <m/>
    <m/>
    <m/>
    <m/>
    <m/>
    <m/>
    <m/>
    <m/>
  </r>
  <r>
    <x v="2"/>
    <x v="17"/>
    <m/>
    <m/>
    <m/>
    <m/>
    <m/>
    <m/>
    <m/>
    <m/>
    <m/>
    <m/>
    <m/>
    <m/>
    <m/>
    <m/>
    <m/>
    <m/>
    <m/>
  </r>
  <r>
    <x v="2"/>
    <x v="18"/>
    <m/>
    <m/>
    <m/>
    <m/>
    <m/>
    <m/>
    <m/>
    <m/>
    <m/>
    <m/>
    <m/>
    <m/>
    <m/>
    <m/>
    <m/>
    <m/>
    <m/>
  </r>
  <r>
    <x v="2"/>
    <x v="19"/>
    <m/>
    <m/>
    <m/>
    <m/>
    <m/>
    <m/>
    <m/>
    <m/>
    <m/>
    <m/>
    <m/>
    <m/>
    <m/>
    <m/>
    <m/>
    <m/>
    <m/>
  </r>
  <r>
    <x v="2"/>
    <x v="20"/>
    <m/>
    <m/>
    <m/>
    <m/>
    <m/>
    <m/>
    <n v="2"/>
    <m/>
    <m/>
    <m/>
    <n v="2"/>
    <n v="2"/>
    <n v="2"/>
    <n v="1"/>
    <n v="2"/>
    <n v="2"/>
    <m/>
  </r>
  <r>
    <x v="2"/>
    <x v="21"/>
    <m/>
    <m/>
    <m/>
    <m/>
    <m/>
    <m/>
    <m/>
    <m/>
    <m/>
    <m/>
    <m/>
    <m/>
    <m/>
    <m/>
    <m/>
    <m/>
    <m/>
  </r>
  <r>
    <x v="2"/>
    <x v="22"/>
    <m/>
    <m/>
    <m/>
    <m/>
    <m/>
    <m/>
    <m/>
    <m/>
    <m/>
    <m/>
    <m/>
    <m/>
    <m/>
    <m/>
    <m/>
    <m/>
    <m/>
  </r>
  <r>
    <x v="2"/>
    <x v="23"/>
    <m/>
    <m/>
    <m/>
    <m/>
    <m/>
    <m/>
    <m/>
    <m/>
    <m/>
    <m/>
    <m/>
    <m/>
    <m/>
    <m/>
    <m/>
    <m/>
    <m/>
  </r>
  <r>
    <x v="2"/>
    <x v="24"/>
    <m/>
    <m/>
    <m/>
    <m/>
    <m/>
    <m/>
    <m/>
    <m/>
    <m/>
    <m/>
    <m/>
    <m/>
    <m/>
    <m/>
    <m/>
    <m/>
    <m/>
  </r>
  <r>
    <x v="2"/>
    <x v="25"/>
    <m/>
    <m/>
    <m/>
    <m/>
    <m/>
    <m/>
    <m/>
    <m/>
    <m/>
    <m/>
    <m/>
    <m/>
    <m/>
    <m/>
    <m/>
    <m/>
    <m/>
  </r>
  <r>
    <x v="2"/>
    <x v="26"/>
    <m/>
    <m/>
    <m/>
    <m/>
    <m/>
    <m/>
    <m/>
    <m/>
    <m/>
    <m/>
    <m/>
    <m/>
    <m/>
    <m/>
    <m/>
    <m/>
    <m/>
  </r>
  <r>
    <x v="2"/>
    <x v="27"/>
    <m/>
    <m/>
    <m/>
    <m/>
    <m/>
    <m/>
    <m/>
    <m/>
    <m/>
    <m/>
    <m/>
    <m/>
    <m/>
    <m/>
    <m/>
    <m/>
    <m/>
  </r>
  <r>
    <x v="2"/>
    <x v="28"/>
    <m/>
    <m/>
    <m/>
    <m/>
    <m/>
    <m/>
    <m/>
    <m/>
    <m/>
    <m/>
    <m/>
    <m/>
    <m/>
    <m/>
    <m/>
    <m/>
    <m/>
  </r>
  <r>
    <x v="2"/>
    <x v="29"/>
    <m/>
    <m/>
    <m/>
    <m/>
    <m/>
    <m/>
    <m/>
    <m/>
    <m/>
    <m/>
    <m/>
    <m/>
    <m/>
    <m/>
    <m/>
    <m/>
    <m/>
  </r>
  <r>
    <x v="2"/>
    <x v="30"/>
    <m/>
    <m/>
    <m/>
    <m/>
    <m/>
    <m/>
    <m/>
    <m/>
    <m/>
    <m/>
    <m/>
    <m/>
    <m/>
    <m/>
    <m/>
    <m/>
    <m/>
  </r>
  <r>
    <x v="2"/>
    <x v="31"/>
    <m/>
    <m/>
    <m/>
    <m/>
    <m/>
    <m/>
    <n v="2"/>
    <m/>
    <m/>
    <m/>
    <n v="3"/>
    <n v="2"/>
    <n v="3"/>
    <n v="3"/>
    <n v="3"/>
    <n v="5"/>
    <m/>
  </r>
  <r>
    <x v="2"/>
    <x v="32"/>
    <m/>
    <m/>
    <m/>
    <m/>
    <m/>
    <m/>
    <m/>
    <m/>
    <m/>
    <m/>
    <m/>
    <m/>
    <m/>
    <m/>
    <m/>
    <m/>
    <m/>
  </r>
  <r>
    <x v="2"/>
    <x v="33"/>
    <m/>
    <m/>
    <m/>
    <m/>
    <m/>
    <m/>
    <m/>
    <m/>
    <m/>
    <m/>
    <m/>
    <m/>
    <m/>
    <m/>
    <m/>
    <m/>
    <m/>
  </r>
  <r>
    <x v="2"/>
    <x v="34"/>
    <m/>
    <m/>
    <m/>
    <m/>
    <m/>
    <m/>
    <n v="1"/>
    <m/>
    <m/>
    <m/>
    <m/>
    <n v="1"/>
    <m/>
    <n v="1"/>
    <n v="1"/>
    <m/>
    <m/>
  </r>
  <r>
    <x v="2"/>
    <x v="35"/>
    <m/>
    <m/>
    <m/>
    <m/>
    <m/>
    <m/>
    <m/>
    <m/>
    <m/>
    <m/>
    <m/>
    <m/>
    <m/>
    <m/>
    <m/>
    <m/>
    <m/>
  </r>
  <r>
    <x v="2"/>
    <x v="36"/>
    <m/>
    <m/>
    <m/>
    <m/>
    <m/>
    <m/>
    <m/>
    <m/>
    <m/>
    <m/>
    <m/>
    <m/>
    <m/>
    <m/>
    <m/>
    <m/>
    <m/>
  </r>
  <r>
    <x v="2"/>
    <x v="37"/>
    <m/>
    <m/>
    <m/>
    <m/>
    <m/>
    <m/>
    <m/>
    <m/>
    <m/>
    <m/>
    <m/>
    <m/>
    <m/>
    <m/>
    <m/>
    <m/>
    <m/>
  </r>
  <r>
    <x v="2"/>
    <x v="38"/>
    <m/>
    <m/>
    <m/>
    <m/>
    <m/>
    <m/>
    <m/>
    <m/>
    <m/>
    <m/>
    <m/>
    <m/>
    <m/>
    <m/>
    <m/>
    <m/>
    <m/>
  </r>
  <r>
    <x v="2"/>
    <x v="39"/>
    <m/>
    <m/>
    <m/>
    <m/>
    <m/>
    <m/>
    <m/>
    <m/>
    <m/>
    <m/>
    <m/>
    <m/>
    <m/>
    <m/>
    <m/>
    <m/>
    <m/>
  </r>
  <r>
    <x v="2"/>
    <x v="40"/>
    <m/>
    <m/>
    <m/>
    <m/>
    <m/>
    <m/>
    <m/>
    <m/>
    <m/>
    <m/>
    <m/>
    <m/>
    <m/>
    <m/>
    <m/>
    <m/>
    <m/>
  </r>
  <r>
    <x v="2"/>
    <x v="41"/>
    <m/>
    <m/>
    <m/>
    <m/>
    <m/>
    <m/>
    <m/>
    <m/>
    <m/>
    <m/>
    <m/>
    <m/>
    <m/>
    <m/>
    <m/>
    <m/>
    <m/>
  </r>
  <r>
    <x v="2"/>
    <x v="42"/>
    <m/>
    <m/>
    <m/>
    <m/>
    <m/>
    <m/>
    <n v="3"/>
    <n v="10"/>
    <m/>
    <m/>
    <n v="10"/>
    <n v="5"/>
    <n v="5"/>
    <n v="5"/>
    <n v="2"/>
    <n v="10"/>
    <m/>
  </r>
  <r>
    <x v="2"/>
    <x v="43"/>
    <m/>
    <m/>
    <m/>
    <m/>
    <m/>
    <m/>
    <m/>
    <m/>
    <m/>
    <m/>
    <m/>
    <m/>
    <m/>
    <m/>
    <m/>
    <m/>
    <m/>
  </r>
  <r>
    <x v="2"/>
    <x v="44"/>
    <m/>
    <m/>
    <m/>
    <m/>
    <m/>
    <m/>
    <m/>
    <m/>
    <m/>
    <m/>
    <m/>
    <m/>
    <m/>
    <m/>
    <m/>
    <m/>
    <m/>
  </r>
  <r>
    <x v="2"/>
    <x v="45"/>
    <m/>
    <m/>
    <m/>
    <m/>
    <m/>
    <m/>
    <m/>
    <m/>
    <m/>
    <m/>
    <m/>
    <m/>
    <m/>
    <m/>
    <m/>
    <m/>
    <m/>
  </r>
  <r>
    <x v="2"/>
    <x v="46"/>
    <m/>
    <m/>
    <m/>
    <m/>
    <m/>
    <m/>
    <m/>
    <m/>
    <m/>
    <m/>
    <m/>
    <m/>
    <m/>
    <m/>
    <m/>
    <m/>
    <m/>
  </r>
  <r>
    <x v="2"/>
    <x v="47"/>
    <m/>
    <m/>
    <m/>
    <m/>
    <m/>
    <m/>
    <m/>
    <m/>
    <m/>
    <m/>
    <m/>
    <m/>
    <m/>
    <m/>
    <m/>
    <m/>
    <m/>
  </r>
  <r>
    <x v="2"/>
    <x v="48"/>
    <m/>
    <m/>
    <m/>
    <m/>
    <m/>
    <m/>
    <m/>
    <m/>
    <m/>
    <m/>
    <m/>
    <m/>
    <m/>
    <m/>
    <m/>
    <m/>
    <m/>
  </r>
  <r>
    <x v="2"/>
    <x v="49"/>
    <m/>
    <m/>
    <m/>
    <m/>
    <m/>
    <m/>
    <m/>
    <m/>
    <m/>
    <m/>
    <m/>
    <m/>
    <m/>
    <m/>
    <m/>
    <m/>
    <m/>
  </r>
  <r>
    <x v="2"/>
    <x v="50"/>
    <m/>
    <m/>
    <m/>
    <m/>
    <m/>
    <m/>
    <n v="6"/>
    <m/>
    <m/>
    <m/>
    <n v="2"/>
    <n v="2"/>
    <n v="2"/>
    <n v="2"/>
    <n v="2"/>
    <n v="2"/>
    <m/>
  </r>
  <r>
    <x v="2"/>
    <x v="51"/>
    <m/>
    <m/>
    <m/>
    <m/>
    <m/>
    <m/>
    <m/>
    <m/>
    <m/>
    <m/>
    <m/>
    <m/>
    <m/>
    <m/>
    <m/>
    <m/>
    <m/>
  </r>
  <r>
    <x v="3"/>
    <x v="0"/>
    <m/>
    <m/>
    <m/>
    <m/>
    <m/>
    <m/>
    <m/>
    <m/>
    <m/>
    <m/>
    <m/>
    <m/>
    <m/>
    <m/>
    <m/>
    <m/>
    <m/>
  </r>
  <r>
    <x v="3"/>
    <x v="1"/>
    <m/>
    <m/>
    <m/>
    <m/>
    <m/>
    <m/>
    <m/>
    <m/>
    <m/>
    <m/>
    <m/>
    <m/>
    <m/>
    <m/>
    <m/>
    <m/>
    <m/>
  </r>
  <r>
    <x v="3"/>
    <x v="2"/>
    <m/>
    <m/>
    <m/>
    <m/>
    <m/>
    <m/>
    <m/>
    <m/>
    <m/>
    <m/>
    <m/>
    <m/>
    <m/>
    <m/>
    <m/>
    <m/>
    <m/>
  </r>
  <r>
    <x v="3"/>
    <x v="3"/>
    <m/>
    <m/>
    <m/>
    <m/>
    <m/>
    <m/>
    <m/>
    <m/>
    <m/>
    <m/>
    <m/>
    <m/>
    <m/>
    <m/>
    <m/>
    <m/>
    <m/>
  </r>
  <r>
    <x v="3"/>
    <x v="4"/>
    <m/>
    <m/>
    <m/>
    <m/>
    <m/>
    <m/>
    <m/>
    <m/>
    <m/>
    <m/>
    <m/>
    <m/>
    <m/>
    <m/>
    <m/>
    <m/>
    <m/>
  </r>
  <r>
    <x v="3"/>
    <x v="5"/>
    <m/>
    <m/>
    <m/>
    <m/>
    <m/>
    <m/>
    <m/>
    <m/>
    <m/>
    <m/>
    <m/>
    <m/>
    <m/>
    <m/>
    <m/>
    <m/>
    <m/>
  </r>
  <r>
    <x v="3"/>
    <x v="6"/>
    <m/>
    <m/>
    <m/>
    <m/>
    <m/>
    <m/>
    <m/>
    <m/>
    <m/>
    <m/>
    <m/>
    <m/>
    <m/>
    <m/>
    <m/>
    <m/>
    <m/>
  </r>
  <r>
    <x v="3"/>
    <x v="7"/>
    <m/>
    <m/>
    <m/>
    <m/>
    <m/>
    <m/>
    <m/>
    <m/>
    <m/>
    <m/>
    <m/>
    <m/>
    <m/>
    <m/>
    <m/>
    <m/>
    <m/>
  </r>
  <r>
    <x v="3"/>
    <x v="8"/>
    <m/>
    <m/>
    <m/>
    <m/>
    <m/>
    <m/>
    <m/>
    <m/>
    <m/>
    <m/>
    <m/>
    <m/>
    <m/>
    <m/>
    <m/>
    <m/>
    <m/>
  </r>
  <r>
    <x v="3"/>
    <x v="9"/>
    <m/>
    <m/>
    <m/>
    <m/>
    <m/>
    <m/>
    <m/>
    <m/>
    <m/>
    <m/>
    <m/>
    <m/>
    <m/>
    <m/>
    <m/>
    <m/>
    <m/>
  </r>
  <r>
    <x v="3"/>
    <x v="10"/>
    <m/>
    <m/>
    <m/>
    <m/>
    <m/>
    <m/>
    <m/>
    <m/>
    <m/>
    <m/>
    <m/>
    <m/>
    <m/>
    <m/>
    <m/>
    <m/>
    <m/>
  </r>
  <r>
    <x v="3"/>
    <x v="11"/>
    <m/>
    <m/>
    <m/>
    <m/>
    <m/>
    <m/>
    <m/>
    <m/>
    <m/>
    <m/>
    <m/>
    <m/>
    <m/>
    <m/>
    <m/>
    <m/>
    <m/>
  </r>
  <r>
    <x v="3"/>
    <x v="12"/>
    <m/>
    <m/>
    <m/>
    <m/>
    <m/>
    <m/>
    <m/>
    <m/>
    <m/>
    <m/>
    <m/>
    <m/>
    <m/>
    <m/>
    <m/>
    <m/>
    <m/>
  </r>
  <r>
    <x v="3"/>
    <x v="13"/>
    <m/>
    <m/>
    <m/>
    <m/>
    <m/>
    <m/>
    <m/>
    <m/>
    <m/>
    <m/>
    <m/>
    <m/>
    <m/>
    <m/>
    <m/>
    <m/>
    <m/>
  </r>
  <r>
    <x v="3"/>
    <x v="14"/>
    <m/>
    <m/>
    <m/>
    <m/>
    <m/>
    <m/>
    <m/>
    <m/>
    <m/>
    <m/>
    <m/>
    <m/>
    <m/>
    <m/>
    <m/>
    <m/>
    <m/>
  </r>
  <r>
    <x v="3"/>
    <x v="15"/>
    <m/>
    <m/>
    <m/>
    <m/>
    <m/>
    <m/>
    <m/>
    <m/>
    <m/>
    <m/>
    <m/>
    <m/>
    <m/>
    <m/>
    <m/>
    <m/>
    <m/>
  </r>
  <r>
    <x v="3"/>
    <x v="16"/>
    <m/>
    <m/>
    <m/>
    <m/>
    <m/>
    <m/>
    <m/>
    <m/>
    <m/>
    <m/>
    <m/>
    <m/>
    <m/>
    <m/>
    <m/>
    <m/>
    <m/>
  </r>
  <r>
    <x v="3"/>
    <x v="17"/>
    <m/>
    <m/>
    <m/>
    <m/>
    <m/>
    <m/>
    <m/>
    <m/>
    <m/>
    <m/>
    <m/>
    <m/>
    <m/>
    <m/>
    <m/>
    <m/>
    <m/>
  </r>
  <r>
    <x v="3"/>
    <x v="18"/>
    <m/>
    <m/>
    <m/>
    <m/>
    <m/>
    <m/>
    <m/>
    <m/>
    <m/>
    <m/>
    <m/>
    <m/>
    <m/>
    <m/>
    <m/>
    <m/>
    <m/>
  </r>
  <r>
    <x v="3"/>
    <x v="19"/>
    <m/>
    <m/>
    <m/>
    <m/>
    <m/>
    <m/>
    <m/>
    <m/>
    <m/>
    <m/>
    <m/>
    <m/>
    <m/>
    <m/>
    <m/>
    <m/>
    <m/>
  </r>
  <r>
    <x v="3"/>
    <x v="20"/>
    <m/>
    <m/>
    <m/>
    <m/>
    <m/>
    <m/>
    <m/>
    <m/>
    <n v="1"/>
    <m/>
    <n v="1"/>
    <m/>
    <n v="1"/>
    <n v="1"/>
    <n v="1"/>
    <n v="1"/>
    <m/>
  </r>
  <r>
    <x v="3"/>
    <x v="21"/>
    <m/>
    <m/>
    <m/>
    <m/>
    <m/>
    <m/>
    <m/>
    <m/>
    <m/>
    <m/>
    <m/>
    <m/>
    <m/>
    <m/>
    <m/>
    <m/>
    <m/>
  </r>
  <r>
    <x v="3"/>
    <x v="22"/>
    <m/>
    <m/>
    <m/>
    <m/>
    <m/>
    <m/>
    <m/>
    <m/>
    <m/>
    <m/>
    <m/>
    <m/>
    <m/>
    <m/>
    <m/>
    <m/>
    <m/>
  </r>
  <r>
    <x v="3"/>
    <x v="23"/>
    <m/>
    <m/>
    <m/>
    <m/>
    <m/>
    <m/>
    <m/>
    <m/>
    <m/>
    <m/>
    <m/>
    <m/>
    <m/>
    <m/>
    <m/>
    <m/>
    <m/>
  </r>
  <r>
    <x v="3"/>
    <x v="24"/>
    <m/>
    <m/>
    <m/>
    <m/>
    <m/>
    <m/>
    <m/>
    <m/>
    <m/>
    <m/>
    <m/>
    <m/>
    <m/>
    <m/>
    <m/>
    <m/>
    <m/>
  </r>
  <r>
    <x v="3"/>
    <x v="25"/>
    <m/>
    <m/>
    <m/>
    <m/>
    <m/>
    <m/>
    <m/>
    <m/>
    <m/>
    <m/>
    <m/>
    <m/>
    <m/>
    <m/>
    <m/>
    <m/>
    <m/>
  </r>
  <r>
    <x v="3"/>
    <x v="26"/>
    <m/>
    <m/>
    <m/>
    <m/>
    <m/>
    <m/>
    <m/>
    <m/>
    <m/>
    <m/>
    <m/>
    <m/>
    <m/>
    <m/>
    <m/>
    <m/>
    <m/>
  </r>
  <r>
    <x v="3"/>
    <x v="27"/>
    <m/>
    <m/>
    <m/>
    <m/>
    <m/>
    <m/>
    <m/>
    <m/>
    <m/>
    <m/>
    <m/>
    <m/>
    <m/>
    <m/>
    <m/>
    <m/>
    <m/>
  </r>
  <r>
    <x v="3"/>
    <x v="28"/>
    <m/>
    <m/>
    <m/>
    <m/>
    <m/>
    <m/>
    <m/>
    <m/>
    <m/>
    <m/>
    <m/>
    <m/>
    <m/>
    <m/>
    <m/>
    <m/>
    <m/>
  </r>
  <r>
    <x v="3"/>
    <x v="29"/>
    <m/>
    <m/>
    <m/>
    <m/>
    <m/>
    <m/>
    <m/>
    <m/>
    <m/>
    <m/>
    <m/>
    <m/>
    <m/>
    <m/>
    <m/>
    <m/>
    <m/>
  </r>
  <r>
    <x v="3"/>
    <x v="30"/>
    <m/>
    <m/>
    <m/>
    <m/>
    <m/>
    <m/>
    <m/>
    <m/>
    <m/>
    <m/>
    <m/>
    <m/>
    <m/>
    <m/>
    <m/>
    <m/>
    <m/>
  </r>
  <r>
    <x v="3"/>
    <x v="31"/>
    <m/>
    <m/>
    <m/>
    <m/>
    <m/>
    <m/>
    <m/>
    <m/>
    <m/>
    <m/>
    <m/>
    <m/>
    <m/>
    <m/>
    <m/>
    <m/>
    <m/>
  </r>
  <r>
    <x v="3"/>
    <x v="32"/>
    <m/>
    <m/>
    <m/>
    <m/>
    <m/>
    <m/>
    <m/>
    <m/>
    <m/>
    <m/>
    <m/>
    <m/>
    <m/>
    <m/>
    <m/>
    <m/>
    <m/>
  </r>
  <r>
    <x v="3"/>
    <x v="33"/>
    <m/>
    <m/>
    <m/>
    <m/>
    <m/>
    <m/>
    <m/>
    <m/>
    <m/>
    <m/>
    <m/>
    <m/>
    <m/>
    <m/>
    <m/>
    <m/>
    <m/>
  </r>
  <r>
    <x v="3"/>
    <x v="34"/>
    <m/>
    <m/>
    <m/>
    <m/>
    <m/>
    <m/>
    <m/>
    <m/>
    <m/>
    <m/>
    <m/>
    <m/>
    <m/>
    <m/>
    <m/>
    <m/>
    <m/>
  </r>
  <r>
    <x v="3"/>
    <x v="35"/>
    <m/>
    <m/>
    <m/>
    <m/>
    <m/>
    <m/>
    <m/>
    <m/>
    <m/>
    <m/>
    <m/>
    <m/>
    <m/>
    <m/>
    <m/>
    <m/>
    <m/>
  </r>
  <r>
    <x v="3"/>
    <x v="36"/>
    <m/>
    <m/>
    <m/>
    <m/>
    <m/>
    <m/>
    <m/>
    <m/>
    <m/>
    <m/>
    <m/>
    <m/>
    <m/>
    <m/>
    <m/>
    <m/>
    <m/>
  </r>
  <r>
    <x v="3"/>
    <x v="37"/>
    <m/>
    <m/>
    <m/>
    <m/>
    <m/>
    <m/>
    <m/>
    <m/>
    <m/>
    <m/>
    <m/>
    <m/>
    <m/>
    <m/>
    <m/>
    <m/>
    <m/>
  </r>
  <r>
    <x v="3"/>
    <x v="38"/>
    <m/>
    <m/>
    <m/>
    <m/>
    <m/>
    <m/>
    <m/>
    <m/>
    <m/>
    <m/>
    <m/>
    <m/>
    <m/>
    <m/>
    <m/>
    <m/>
    <m/>
  </r>
  <r>
    <x v="3"/>
    <x v="39"/>
    <m/>
    <m/>
    <m/>
    <m/>
    <m/>
    <m/>
    <m/>
    <m/>
    <m/>
    <m/>
    <m/>
    <m/>
    <m/>
    <m/>
    <m/>
    <m/>
    <m/>
  </r>
  <r>
    <x v="3"/>
    <x v="40"/>
    <m/>
    <m/>
    <m/>
    <m/>
    <m/>
    <m/>
    <m/>
    <m/>
    <m/>
    <m/>
    <m/>
    <m/>
    <m/>
    <m/>
    <m/>
    <m/>
    <m/>
  </r>
  <r>
    <x v="3"/>
    <x v="41"/>
    <m/>
    <m/>
    <m/>
    <m/>
    <m/>
    <m/>
    <m/>
    <m/>
    <m/>
    <m/>
    <m/>
    <m/>
    <m/>
    <m/>
    <m/>
    <m/>
    <m/>
  </r>
  <r>
    <x v="3"/>
    <x v="42"/>
    <m/>
    <m/>
    <m/>
    <m/>
    <m/>
    <m/>
    <m/>
    <m/>
    <m/>
    <m/>
    <m/>
    <m/>
    <m/>
    <m/>
    <m/>
    <m/>
    <m/>
  </r>
  <r>
    <x v="3"/>
    <x v="43"/>
    <m/>
    <m/>
    <m/>
    <m/>
    <m/>
    <m/>
    <m/>
    <m/>
    <m/>
    <m/>
    <m/>
    <m/>
    <m/>
    <m/>
    <m/>
    <m/>
    <m/>
  </r>
  <r>
    <x v="3"/>
    <x v="44"/>
    <m/>
    <m/>
    <m/>
    <m/>
    <m/>
    <m/>
    <m/>
    <m/>
    <m/>
    <m/>
    <m/>
    <m/>
    <m/>
    <m/>
    <m/>
    <m/>
    <m/>
  </r>
  <r>
    <x v="3"/>
    <x v="45"/>
    <m/>
    <m/>
    <m/>
    <m/>
    <m/>
    <m/>
    <m/>
    <m/>
    <m/>
    <m/>
    <m/>
    <m/>
    <m/>
    <m/>
    <m/>
    <m/>
    <m/>
  </r>
  <r>
    <x v="3"/>
    <x v="46"/>
    <m/>
    <m/>
    <m/>
    <m/>
    <m/>
    <m/>
    <m/>
    <m/>
    <m/>
    <m/>
    <m/>
    <m/>
    <m/>
    <m/>
    <m/>
    <m/>
    <m/>
  </r>
  <r>
    <x v="3"/>
    <x v="47"/>
    <m/>
    <m/>
    <m/>
    <m/>
    <m/>
    <m/>
    <m/>
    <m/>
    <m/>
    <m/>
    <m/>
    <m/>
    <m/>
    <m/>
    <m/>
    <m/>
    <m/>
  </r>
  <r>
    <x v="3"/>
    <x v="48"/>
    <m/>
    <m/>
    <m/>
    <m/>
    <m/>
    <m/>
    <m/>
    <m/>
    <m/>
    <m/>
    <m/>
    <m/>
    <m/>
    <m/>
    <m/>
    <m/>
    <m/>
  </r>
  <r>
    <x v="3"/>
    <x v="49"/>
    <m/>
    <m/>
    <m/>
    <m/>
    <m/>
    <m/>
    <m/>
    <m/>
    <m/>
    <m/>
    <m/>
    <m/>
    <m/>
    <m/>
    <m/>
    <m/>
    <m/>
  </r>
  <r>
    <x v="3"/>
    <x v="50"/>
    <m/>
    <m/>
    <m/>
    <m/>
    <m/>
    <m/>
    <m/>
    <m/>
    <m/>
    <m/>
    <m/>
    <m/>
    <m/>
    <m/>
    <m/>
    <m/>
    <m/>
  </r>
  <r>
    <x v="3"/>
    <x v="51"/>
    <m/>
    <m/>
    <m/>
    <m/>
    <m/>
    <m/>
    <m/>
    <m/>
    <m/>
    <m/>
    <m/>
    <m/>
    <m/>
    <m/>
    <m/>
    <m/>
    <m/>
  </r>
  <r>
    <x v="4"/>
    <x v="0"/>
    <m/>
    <m/>
    <m/>
    <m/>
    <m/>
    <m/>
    <m/>
    <m/>
    <m/>
    <m/>
    <m/>
    <m/>
    <m/>
    <m/>
    <m/>
    <m/>
    <m/>
  </r>
  <r>
    <x v="4"/>
    <x v="1"/>
    <m/>
    <m/>
    <m/>
    <m/>
    <m/>
    <m/>
    <m/>
    <m/>
    <m/>
    <m/>
    <m/>
    <m/>
    <m/>
    <m/>
    <m/>
    <m/>
    <m/>
  </r>
  <r>
    <x v="4"/>
    <x v="2"/>
    <m/>
    <m/>
    <m/>
    <m/>
    <m/>
    <m/>
    <m/>
    <m/>
    <m/>
    <m/>
    <m/>
    <m/>
    <m/>
    <m/>
    <m/>
    <m/>
    <m/>
  </r>
  <r>
    <x v="4"/>
    <x v="3"/>
    <m/>
    <m/>
    <m/>
    <m/>
    <m/>
    <m/>
    <m/>
    <m/>
    <m/>
    <m/>
    <m/>
    <m/>
    <m/>
    <m/>
    <m/>
    <m/>
    <m/>
  </r>
  <r>
    <x v="4"/>
    <x v="4"/>
    <m/>
    <m/>
    <m/>
    <m/>
    <m/>
    <m/>
    <m/>
    <m/>
    <m/>
    <m/>
    <m/>
    <m/>
    <m/>
    <m/>
    <m/>
    <m/>
    <m/>
  </r>
  <r>
    <x v="4"/>
    <x v="5"/>
    <m/>
    <m/>
    <m/>
    <m/>
    <m/>
    <m/>
    <m/>
    <m/>
    <m/>
    <m/>
    <m/>
    <m/>
    <m/>
    <m/>
    <m/>
    <m/>
    <m/>
  </r>
  <r>
    <x v="4"/>
    <x v="6"/>
    <m/>
    <m/>
    <m/>
    <m/>
    <m/>
    <m/>
    <m/>
    <m/>
    <m/>
    <m/>
    <m/>
    <m/>
    <m/>
    <m/>
    <m/>
    <m/>
    <m/>
  </r>
  <r>
    <x v="4"/>
    <x v="7"/>
    <m/>
    <m/>
    <m/>
    <m/>
    <m/>
    <m/>
    <m/>
    <m/>
    <m/>
    <m/>
    <m/>
    <m/>
    <m/>
    <m/>
    <m/>
    <m/>
    <m/>
  </r>
  <r>
    <x v="4"/>
    <x v="8"/>
    <m/>
    <m/>
    <m/>
    <m/>
    <m/>
    <m/>
    <m/>
    <m/>
    <m/>
    <m/>
    <m/>
    <m/>
    <m/>
    <m/>
    <m/>
    <m/>
    <m/>
  </r>
  <r>
    <x v="4"/>
    <x v="9"/>
    <m/>
    <m/>
    <m/>
    <m/>
    <m/>
    <m/>
    <m/>
    <m/>
    <m/>
    <m/>
    <m/>
    <m/>
    <m/>
    <m/>
    <m/>
    <m/>
    <m/>
  </r>
  <r>
    <x v="4"/>
    <x v="10"/>
    <m/>
    <m/>
    <m/>
    <m/>
    <m/>
    <m/>
    <m/>
    <m/>
    <m/>
    <m/>
    <m/>
    <m/>
    <m/>
    <m/>
    <m/>
    <m/>
    <m/>
  </r>
  <r>
    <x v="4"/>
    <x v="11"/>
    <m/>
    <m/>
    <m/>
    <m/>
    <m/>
    <m/>
    <m/>
    <m/>
    <m/>
    <m/>
    <m/>
    <m/>
    <m/>
    <m/>
    <m/>
    <m/>
    <m/>
  </r>
  <r>
    <x v="4"/>
    <x v="12"/>
    <m/>
    <m/>
    <m/>
    <m/>
    <m/>
    <m/>
    <m/>
    <m/>
    <m/>
    <m/>
    <m/>
    <m/>
    <m/>
    <m/>
    <m/>
    <m/>
    <m/>
  </r>
  <r>
    <x v="4"/>
    <x v="13"/>
    <m/>
    <m/>
    <m/>
    <m/>
    <m/>
    <m/>
    <m/>
    <m/>
    <m/>
    <m/>
    <m/>
    <m/>
    <m/>
    <m/>
    <m/>
    <m/>
    <m/>
  </r>
  <r>
    <x v="4"/>
    <x v="14"/>
    <m/>
    <m/>
    <m/>
    <m/>
    <m/>
    <m/>
    <m/>
    <m/>
    <m/>
    <m/>
    <m/>
    <m/>
    <m/>
    <m/>
    <m/>
    <m/>
    <m/>
  </r>
  <r>
    <x v="4"/>
    <x v="15"/>
    <m/>
    <m/>
    <m/>
    <m/>
    <m/>
    <m/>
    <m/>
    <m/>
    <m/>
    <m/>
    <m/>
    <m/>
    <m/>
    <m/>
    <m/>
    <m/>
    <m/>
  </r>
  <r>
    <x v="4"/>
    <x v="16"/>
    <m/>
    <m/>
    <m/>
    <m/>
    <m/>
    <m/>
    <m/>
    <m/>
    <m/>
    <m/>
    <m/>
    <m/>
    <m/>
    <m/>
    <m/>
    <m/>
    <m/>
  </r>
  <r>
    <x v="4"/>
    <x v="17"/>
    <m/>
    <m/>
    <m/>
    <m/>
    <m/>
    <m/>
    <m/>
    <m/>
    <m/>
    <m/>
    <m/>
    <m/>
    <m/>
    <m/>
    <m/>
    <m/>
    <m/>
  </r>
  <r>
    <x v="4"/>
    <x v="18"/>
    <m/>
    <m/>
    <m/>
    <m/>
    <m/>
    <m/>
    <m/>
    <m/>
    <m/>
    <m/>
    <m/>
    <m/>
    <m/>
    <m/>
    <m/>
    <m/>
    <m/>
  </r>
  <r>
    <x v="4"/>
    <x v="19"/>
    <m/>
    <m/>
    <m/>
    <m/>
    <m/>
    <m/>
    <m/>
    <m/>
    <m/>
    <m/>
    <m/>
    <m/>
    <m/>
    <m/>
    <m/>
    <m/>
    <m/>
  </r>
  <r>
    <x v="4"/>
    <x v="20"/>
    <m/>
    <m/>
    <m/>
    <m/>
    <m/>
    <m/>
    <m/>
    <m/>
    <m/>
    <m/>
    <m/>
    <m/>
    <m/>
    <m/>
    <n v="1"/>
    <m/>
    <m/>
  </r>
  <r>
    <x v="4"/>
    <x v="21"/>
    <m/>
    <m/>
    <m/>
    <m/>
    <m/>
    <m/>
    <m/>
    <m/>
    <m/>
    <m/>
    <m/>
    <m/>
    <m/>
    <m/>
    <m/>
    <m/>
    <m/>
  </r>
  <r>
    <x v="4"/>
    <x v="22"/>
    <m/>
    <m/>
    <m/>
    <m/>
    <m/>
    <m/>
    <m/>
    <m/>
    <m/>
    <m/>
    <m/>
    <m/>
    <m/>
    <m/>
    <m/>
    <m/>
    <m/>
  </r>
  <r>
    <x v="4"/>
    <x v="23"/>
    <m/>
    <m/>
    <m/>
    <m/>
    <m/>
    <m/>
    <m/>
    <m/>
    <m/>
    <m/>
    <m/>
    <m/>
    <m/>
    <m/>
    <m/>
    <m/>
    <m/>
  </r>
  <r>
    <x v="4"/>
    <x v="24"/>
    <m/>
    <m/>
    <m/>
    <m/>
    <m/>
    <m/>
    <m/>
    <m/>
    <m/>
    <m/>
    <m/>
    <m/>
    <m/>
    <m/>
    <m/>
    <m/>
    <m/>
  </r>
  <r>
    <x v="4"/>
    <x v="25"/>
    <m/>
    <m/>
    <m/>
    <m/>
    <m/>
    <m/>
    <m/>
    <m/>
    <m/>
    <m/>
    <m/>
    <m/>
    <m/>
    <m/>
    <m/>
    <m/>
    <m/>
  </r>
  <r>
    <x v="4"/>
    <x v="26"/>
    <m/>
    <m/>
    <m/>
    <m/>
    <m/>
    <m/>
    <m/>
    <m/>
    <m/>
    <m/>
    <m/>
    <m/>
    <m/>
    <m/>
    <m/>
    <m/>
    <m/>
  </r>
  <r>
    <x v="4"/>
    <x v="27"/>
    <m/>
    <m/>
    <m/>
    <m/>
    <m/>
    <m/>
    <m/>
    <m/>
    <m/>
    <m/>
    <m/>
    <m/>
    <m/>
    <m/>
    <m/>
    <m/>
    <m/>
  </r>
  <r>
    <x v="4"/>
    <x v="28"/>
    <m/>
    <m/>
    <m/>
    <m/>
    <m/>
    <m/>
    <m/>
    <m/>
    <m/>
    <m/>
    <m/>
    <m/>
    <m/>
    <m/>
    <m/>
    <m/>
    <m/>
  </r>
  <r>
    <x v="4"/>
    <x v="29"/>
    <m/>
    <m/>
    <m/>
    <m/>
    <m/>
    <m/>
    <m/>
    <m/>
    <m/>
    <m/>
    <m/>
    <m/>
    <m/>
    <m/>
    <m/>
    <m/>
    <m/>
  </r>
  <r>
    <x v="4"/>
    <x v="30"/>
    <m/>
    <m/>
    <m/>
    <m/>
    <m/>
    <m/>
    <m/>
    <m/>
    <m/>
    <m/>
    <m/>
    <m/>
    <m/>
    <m/>
    <m/>
    <m/>
    <m/>
  </r>
  <r>
    <x v="4"/>
    <x v="31"/>
    <m/>
    <m/>
    <m/>
    <m/>
    <m/>
    <m/>
    <m/>
    <m/>
    <m/>
    <m/>
    <m/>
    <m/>
    <m/>
    <m/>
    <m/>
    <m/>
    <m/>
  </r>
  <r>
    <x v="4"/>
    <x v="32"/>
    <m/>
    <m/>
    <m/>
    <m/>
    <m/>
    <m/>
    <m/>
    <m/>
    <m/>
    <m/>
    <m/>
    <m/>
    <m/>
    <m/>
    <m/>
    <m/>
    <m/>
  </r>
  <r>
    <x v="4"/>
    <x v="33"/>
    <m/>
    <m/>
    <m/>
    <m/>
    <m/>
    <m/>
    <m/>
    <m/>
    <m/>
    <m/>
    <m/>
    <m/>
    <m/>
    <m/>
    <m/>
    <m/>
    <m/>
  </r>
  <r>
    <x v="4"/>
    <x v="34"/>
    <m/>
    <m/>
    <m/>
    <m/>
    <m/>
    <m/>
    <m/>
    <m/>
    <m/>
    <m/>
    <m/>
    <m/>
    <m/>
    <m/>
    <m/>
    <m/>
    <m/>
  </r>
  <r>
    <x v="4"/>
    <x v="35"/>
    <m/>
    <m/>
    <m/>
    <m/>
    <m/>
    <m/>
    <m/>
    <m/>
    <m/>
    <m/>
    <m/>
    <m/>
    <m/>
    <m/>
    <m/>
    <m/>
    <m/>
  </r>
  <r>
    <x v="4"/>
    <x v="36"/>
    <m/>
    <m/>
    <m/>
    <m/>
    <m/>
    <m/>
    <m/>
    <m/>
    <m/>
    <m/>
    <m/>
    <m/>
    <m/>
    <m/>
    <m/>
    <m/>
    <m/>
  </r>
  <r>
    <x v="4"/>
    <x v="37"/>
    <m/>
    <m/>
    <m/>
    <m/>
    <m/>
    <m/>
    <m/>
    <m/>
    <m/>
    <m/>
    <m/>
    <m/>
    <m/>
    <m/>
    <m/>
    <m/>
    <m/>
  </r>
  <r>
    <x v="4"/>
    <x v="38"/>
    <m/>
    <m/>
    <m/>
    <m/>
    <m/>
    <m/>
    <m/>
    <m/>
    <m/>
    <m/>
    <m/>
    <m/>
    <m/>
    <m/>
    <m/>
    <m/>
    <m/>
  </r>
  <r>
    <x v="4"/>
    <x v="39"/>
    <m/>
    <m/>
    <m/>
    <m/>
    <m/>
    <m/>
    <m/>
    <m/>
    <m/>
    <m/>
    <m/>
    <m/>
    <m/>
    <m/>
    <m/>
    <m/>
    <m/>
  </r>
  <r>
    <x v="4"/>
    <x v="40"/>
    <m/>
    <m/>
    <m/>
    <m/>
    <m/>
    <m/>
    <m/>
    <m/>
    <m/>
    <m/>
    <m/>
    <m/>
    <m/>
    <m/>
    <m/>
    <m/>
    <m/>
  </r>
  <r>
    <x v="4"/>
    <x v="41"/>
    <m/>
    <m/>
    <m/>
    <m/>
    <m/>
    <m/>
    <m/>
    <m/>
    <m/>
    <m/>
    <m/>
    <m/>
    <m/>
    <m/>
    <m/>
    <m/>
    <m/>
  </r>
  <r>
    <x v="4"/>
    <x v="42"/>
    <m/>
    <m/>
    <m/>
    <m/>
    <m/>
    <m/>
    <m/>
    <m/>
    <m/>
    <m/>
    <m/>
    <m/>
    <m/>
    <m/>
    <m/>
    <m/>
    <m/>
  </r>
  <r>
    <x v="4"/>
    <x v="43"/>
    <m/>
    <m/>
    <m/>
    <m/>
    <m/>
    <m/>
    <m/>
    <m/>
    <m/>
    <m/>
    <m/>
    <m/>
    <m/>
    <m/>
    <m/>
    <m/>
    <m/>
  </r>
  <r>
    <x v="4"/>
    <x v="44"/>
    <m/>
    <m/>
    <m/>
    <m/>
    <m/>
    <m/>
    <m/>
    <m/>
    <m/>
    <m/>
    <m/>
    <m/>
    <m/>
    <m/>
    <m/>
    <m/>
    <m/>
  </r>
  <r>
    <x v="4"/>
    <x v="45"/>
    <m/>
    <m/>
    <m/>
    <m/>
    <m/>
    <m/>
    <m/>
    <m/>
    <m/>
    <m/>
    <m/>
    <m/>
    <m/>
    <m/>
    <m/>
    <m/>
    <m/>
  </r>
  <r>
    <x v="4"/>
    <x v="46"/>
    <m/>
    <m/>
    <m/>
    <m/>
    <m/>
    <m/>
    <m/>
    <m/>
    <m/>
    <m/>
    <m/>
    <m/>
    <m/>
    <m/>
    <m/>
    <m/>
    <m/>
  </r>
  <r>
    <x v="4"/>
    <x v="47"/>
    <m/>
    <m/>
    <m/>
    <m/>
    <m/>
    <m/>
    <m/>
    <m/>
    <m/>
    <m/>
    <m/>
    <m/>
    <m/>
    <m/>
    <m/>
    <m/>
    <m/>
  </r>
  <r>
    <x v="4"/>
    <x v="48"/>
    <m/>
    <m/>
    <m/>
    <m/>
    <m/>
    <m/>
    <m/>
    <m/>
    <m/>
    <m/>
    <m/>
    <m/>
    <m/>
    <m/>
    <m/>
    <m/>
    <m/>
  </r>
  <r>
    <x v="4"/>
    <x v="49"/>
    <m/>
    <m/>
    <m/>
    <m/>
    <m/>
    <m/>
    <m/>
    <m/>
    <m/>
    <m/>
    <m/>
    <m/>
    <m/>
    <m/>
    <m/>
    <m/>
    <m/>
  </r>
  <r>
    <x v="4"/>
    <x v="50"/>
    <m/>
    <m/>
    <m/>
    <m/>
    <m/>
    <m/>
    <m/>
    <m/>
    <m/>
    <m/>
    <m/>
    <m/>
    <m/>
    <m/>
    <m/>
    <m/>
    <m/>
  </r>
  <r>
    <x v="4"/>
    <x v="51"/>
    <m/>
    <m/>
    <m/>
    <m/>
    <m/>
    <m/>
    <m/>
    <m/>
    <m/>
    <m/>
    <m/>
    <m/>
    <m/>
    <m/>
    <m/>
    <m/>
    <m/>
  </r>
  <r>
    <x v="5"/>
    <x v="0"/>
    <m/>
    <m/>
    <m/>
    <m/>
    <m/>
    <n v="0"/>
    <n v="1"/>
    <n v="1"/>
    <m/>
    <m/>
    <m/>
    <m/>
    <m/>
    <m/>
    <m/>
    <n v="1"/>
    <m/>
  </r>
  <r>
    <x v="5"/>
    <x v="1"/>
    <m/>
    <m/>
    <m/>
    <m/>
    <m/>
    <m/>
    <m/>
    <m/>
    <m/>
    <m/>
    <m/>
    <m/>
    <m/>
    <m/>
    <m/>
    <m/>
    <m/>
  </r>
  <r>
    <x v="5"/>
    <x v="2"/>
    <m/>
    <m/>
    <m/>
    <m/>
    <m/>
    <m/>
    <m/>
    <m/>
    <m/>
    <m/>
    <m/>
    <m/>
    <m/>
    <m/>
    <m/>
    <m/>
    <m/>
  </r>
  <r>
    <x v="5"/>
    <x v="3"/>
    <m/>
    <m/>
    <m/>
    <m/>
    <m/>
    <m/>
    <m/>
    <m/>
    <m/>
    <m/>
    <m/>
    <m/>
    <m/>
    <m/>
    <m/>
    <m/>
    <m/>
  </r>
  <r>
    <x v="5"/>
    <x v="4"/>
    <m/>
    <m/>
    <m/>
    <m/>
    <m/>
    <m/>
    <m/>
    <m/>
    <m/>
    <m/>
    <m/>
    <m/>
    <m/>
    <m/>
    <m/>
    <m/>
    <m/>
  </r>
  <r>
    <x v="5"/>
    <x v="5"/>
    <m/>
    <m/>
    <m/>
    <m/>
    <m/>
    <m/>
    <m/>
    <m/>
    <m/>
    <m/>
    <m/>
    <m/>
    <m/>
    <m/>
    <m/>
    <m/>
    <m/>
  </r>
  <r>
    <x v="5"/>
    <x v="6"/>
    <m/>
    <m/>
    <m/>
    <m/>
    <m/>
    <m/>
    <m/>
    <m/>
    <m/>
    <m/>
    <m/>
    <m/>
    <m/>
    <m/>
    <m/>
    <m/>
    <m/>
  </r>
  <r>
    <x v="5"/>
    <x v="7"/>
    <m/>
    <m/>
    <m/>
    <m/>
    <m/>
    <m/>
    <m/>
    <m/>
    <m/>
    <m/>
    <m/>
    <m/>
    <m/>
    <m/>
    <m/>
    <m/>
    <m/>
  </r>
  <r>
    <x v="5"/>
    <x v="8"/>
    <m/>
    <m/>
    <m/>
    <m/>
    <m/>
    <m/>
    <m/>
    <m/>
    <m/>
    <m/>
    <m/>
    <m/>
    <m/>
    <m/>
    <m/>
    <m/>
    <m/>
  </r>
  <r>
    <x v="5"/>
    <x v="9"/>
    <m/>
    <m/>
    <m/>
    <m/>
    <m/>
    <m/>
    <m/>
    <m/>
    <m/>
    <m/>
    <m/>
    <m/>
    <m/>
    <m/>
    <m/>
    <m/>
    <m/>
  </r>
  <r>
    <x v="5"/>
    <x v="10"/>
    <m/>
    <m/>
    <m/>
    <m/>
    <m/>
    <m/>
    <m/>
    <m/>
    <m/>
    <m/>
    <m/>
    <m/>
    <m/>
    <m/>
    <m/>
    <m/>
    <m/>
  </r>
  <r>
    <x v="5"/>
    <x v="11"/>
    <m/>
    <m/>
    <m/>
    <m/>
    <m/>
    <m/>
    <m/>
    <m/>
    <m/>
    <m/>
    <m/>
    <m/>
    <m/>
    <m/>
    <m/>
    <m/>
    <m/>
  </r>
  <r>
    <x v="5"/>
    <x v="12"/>
    <m/>
    <m/>
    <m/>
    <m/>
    <m/>
    <m/>
    <m/>
    <m/>
    <m/>
    <m/>
    <m/>
    <m/>
    <m/>
    <m/>
    <m/>
    <m/>
    <m/>
  </r>
  <r>
    <x v="5"/>
    <x v="13"/>
    <m/>
    <m/>
    <m/>
    <m/>
    <m/>
    <m/>
    <m/>
    <m/>
    <m/>
    <m/>
    <m/>
    <m/>
    <m/>
    <m/>
    <m/>
    <m/>
    <m/>
  </r>
  <r>
    <x v="5"/>
    <x v="14"/>
    <m/>
    <m/>
    <m/>
    <m/>
    <m/>
    <m/>
    <m/>
    <m/>
    <m/>
    <m/>
    <m/>
    <m/>
    <m/>
    <m/>
    <m/>
    <m/>
    <m/>
  </r>
  <r>
    <x v="5"/>
    <x v="15"/>
    <m/>
    <m/>
    <m/>
    <m/>
    <m/>
    <m/>
    <m/>
    <m/>
    <m/>
    <m/>
    <m/>
    <m/>
    <m/>
    <m/>
    <m/>
    <m/>
    <m/>
  </r>
  <r>
    <x v="5"/>
    <x v="16"/>
    <m/>
    <m/>
    <m/>
    <m/>
    <m/>
    <m/>
    <m/>
    <m/>
    <m/>
    <m/>
    <m/>
    <m/>
    <m/>
    <m/>
    <m/>
    <m/>
    <m/>
  </r>
  <r>
    <x v="5"/>
    <x v="17"/>
    <m/>
    <m/>
    <m/>
    <m/>
    <m/>
    <m/>
    <m/>
    <m/>
    <m/>
    <m/>
    <m/>
    <m/>
    <m/>
    <m/>
    <m/>
    <m/>
    <m/>
  </r>
  <r>
    <x v="5"/>
    <x v="18"/>
    <m/>
    <m/>
    <m/>
    <m/>
    <m/>
    <m/>
    <m/>
    <m/>
    <m/>
    <m/>
    <m/>
    <m/>
    <m/>
    <m/>
    <m/>
    <m/>
    <m/>
  </r>
  <r>
    <x v="5"/>
    <x v="19"/>
    <m/>
    <m/>
    <m/>
    <m/>
    <m/>
    <m/>
    <m/>
    <m/>
    <m/>
    <m/>
    <m/>
    <m/>
    <m/>
    <m/>
    <m/>
    <m/>
    <m/>
  </r>
  <r>
    <x v="5"/>
    <x v="20"/>
    <m/>
    <m/>
    <m/>
    <m/>
    <m/>
    <m/>
    <m/>
    <m/>
    <m/>
    <m/>
    <m/>
    <m/>
    <m/>
    <m/>
    <m/>
    <m/>
    <m/>
  </r>
  <r>
    <x v="5"/>
    <x v="21"/>
    <m/>
    <m/>
    <m/>
    <m/>
    <m/>
    <m/>
    <m/>
    <m/>
    <m/>
    <m/>
    <m/>
    <m/>
    <m/>
    <m/>
    <m/>
    <m/>
    <m/>
  </r>
  <r>
    <x v="5"/>
    <x v="22"/>
    <m/>
    <m/>
    <m/>
    <m/>
    <m/>
    <m/>
    <m/>
    <m/>
    <m/>
    <m/>
    <m/>
    <m/>
    <m/>
    <m/>
    <m/>
    <m/>
    <m/>
  </r>
  <r>
    <x v="5"/>
    <x v="23"/>
    <m/>
    <m/>
    <m/>
    <m/>
    <m/>
    <m/>
    <m/>
    <m/>
    <m/>
    <m/>
    <m/>
    <m/>
    <m/>
    <m/>
    <m/>
    <m/>
    <m/>
  </r>
  <r>
    <x v="5"/>
    <x v="24"/>
    <m/>
    <m/>
    <m/>
    <m/>
    <m/>
    <m/>
    <m/>
    <m/>
    <m/>
    <m/>
    <m/>
    <m/>
    <m/>
    <m/>
    <m/>
    <m/>
    <m/>
  </r>
  <r>
    <x v="5"/>
    <x v="25"/>
    <m/>
    <m/>
    <m/>
    <m/>
    <m/>
    <m/>
    <m/>
    <m/>
    <m/>
    <m/>
    <m/>
    <m/>
    <m/>
    <m/>
    <m/>
    <m/>
    <m/>
  </r>
  <r>
    <x v="5"/>
    <x v="26"/>
    <m/>
    <m/>
    <m/>
    <m/>
    <m/>
    <m/>
    <m/>
    <m/>
    <m/>
    <m/>
    <m/>
    <m/>
    <m/>
    <m/>
    <m/>
    <m/>
    <m/>
  </r>
  <r>
    <x v="5"/>
    <x v="27"/>
    <m/>
    <m/>
    <m/>
    <m/>
    <m/>
    <m/>
    <m/>
    <m/>
    <m/>
    <m/>
    <m/>
    <m/>
    <m/>
    <m/>
    <m/>
    <m/>
    <m/>
  </r>
  <r>
    <x v="5"/>
    <x v="28"/>
    <m/>
    <m/>
    <m/>
    <m/>
    <m/>
    <m/>
    <m/>
    <m/>
    <m/>
    <m/>
    <m/>
    <m/>
    <m/>
    <m/>
    <m/>
    <m/>
    <m/>
  </r>
  <r>
    <x v="5"/>
    <x v="29"/>
    <m/>
    <m/>
    <m/>
    <m/>
    <m/>
    <m/>
    <m/>
    <m/>
    <m/>
    <m/>
    <m/>
    <m/>
    <m/>
    <m/>
    <m/>
    <m/>
    <m/>
  </r>
  <r>
    <x v="5"/>
    <x v="30"/>
    <m/>
    <m/>
    <m/>
    <m/>
    <m/>
    <m/>
    <m/>
    <m/>
    <m/>
    <m/>
    <m/>
    <m/>
    <m/>
    <m/>
    <m/>
    <m/>
    <m/>
  </r>
  <r>
    <x v="5"/>
    <x v="31"/>
    <m/>
    <m/>
    <m/>
    <m/>
    <m/>
    <m/>
    <m/>
    <m/>
    <m/>
    <m/>
    <m/>
    <m/>
    <m/>
    <m/>
    <m/>
    <m/>
    <m/>
  </r>
  <r>
    <x v="5"/>
    <x v="32"/>
    <m/>
    <m/>
    <m/>
    <m/>
    <m/>
    <m/>
    <m/>
    <m/>
    <m/>
    <m/>
    <m/>
    <m/>
    <m/>
    <m/>
    <m/>
    <m/>
    <m/>
  </r>
  <r>
    <x v="5"/>
    <x v="33"/>
    <m/>
    <m/>
    <m/>
    <m/>
    <m/>
    <m/>
    <m/>
    <m/>
    <m/>
    <m/>
    <m/>
    <m/>
    <m/>
    <m/>
    <m/>
    <m/>
    <m/>
  </r>
  <r>
    <x v="5"/>
    <x v="34"/>
    <m/>
    <m/>
    <m/>
    <m/>
    <m/>
    <m/>
    <m/>
    <m/>
    <m/>
    <m/>
    <m/>
    <m/>
    <m/>
    <m/>
    <m/>
    <m/>
    <m/>
  </r>
  <r>
    <x v="5"/>
    <x v="35"/>
    <m/>
    <m/>
    <m/>
    <m/>
    <m/>
    <m/>
    <m/>
    <m/>
    <m/>
    <m/>
    <m/>
    <m/>
    <m/>
    <m/>
    <m/>
    <m/>
    <m/>
  </r>
  <r>
    <x v="5"/>
    <x v="36"/>
    <m/>
    <m/>
    <m/>
    <m/>
    <m/>
    <m/>
    <m/>
    <m/>
    <m/>
    <m/>
    <m/>
    <m/>
    <m/>
    <m/>
    <m/>
    <m/>
    <m/>
  </r>
  <r>
    <x v="5"/>
    <x v="37"/>
    <m/>
    <m/>
    <m/>
    <m/>
    <m/>
    <m/>
    <m/>
    <m/>
    <m/>
    <m/>
    <m/>
    <m/>
    <m/>
    <m/>
    <m/>
    <m/>
    <m/>
  </r>
  <r>
    <x v="5"/>
    <x v="38"/>
    <m/>
    <m/>
    <m/>
    <m/>
    <m/>
    <m/>
    <m/>
    <m/>
    <m/>
    <m/>
    <m/>
    <m/>
    <m/>
    <m/>
    <m/>
    <m/>
    <m/>
  </r>
  <r>
    <x v="5"/>
    <x v="39"/>
    <m/>
    <m/>
    <m/>
    <m/>
    <m/>
    <m/>
    <m/>
    <m/>
    <m/>
    <m/>
    <m/>
    <m/>
    <m/>
    <m/>
    <m/>
    <m/>
    <m/>
  </r>
  <r>
    <x v="5"/>
    <x v="40"/>
    <m/>
    <m/>
    <m/>
    <m/>
    <m/>
    <m/>
    <m/>
    <m/>
    <m/>
    <m/>
    <m/>
    <m/>
    <m/>
    <m/>
    <m/>
    <m/>
    <m/>
  </r>
  <r>
    <x v="5"/>
    <x v="41"/>
    <m/>
    <m/>
    <m/>
    <m/>
    <m/>
    <m/>
    <m/>
    <m/>
    <m/>
    <m/>
    <m/>
    <m/>
    <m/>
    <m/>
    <m/>
    <m/>
    <m/>
  </r>
  <r>
    <x v="5"/>
    <x v="42"/>
    <m/>
    <m/>
    <m/>
    <m/>
    <m/>
    <m/>
    <m/>
    <m/>
    <m/>
    <m/>
    <m/>
    <m/>
    <m/>
    <m/>
    <m/>
    <m/>
    <m/>
  </r>
  <r>
    <x v="5"/>
    <x v="43"/>
    <m/>
    <m/>
    <m/>
    <m/>
    <m/>
    <m/>
    <m/>
    <m/>
    <m/>
    <m/>
    <m/>
    <m/>
    <m/>
    <m/>
    <m/>
    <m/>
    <m/>
  </r>
  <r>
    <x v="5"/>
    <x v="44"/>
    <m/>
    <m/>
    <m/>
    <m/>
    <m/>
    <m/>
    <m/>
    <m/>
    <m/>
    <m/>
    <m/>
    <m/>
    <m/>
    <m/>
    <m/>
    <m/>
    <m/>
  </r>
  <r>
    <x v="5"/>
    <x v="45"/>
    <m/>
    <m/>
    <m/>
    <m/>
    <m/>
    <m/>
    <m/>
    <m/>
    <m/>
    <m/>
    <m/>
    <m/>
    <m/>
    <m/>
    <m/>
    <m/>
    <m/>
  </r>
  <r>
    <x v="5"/>
    <x v="46"/>
    <m/>
    <m/>
    <m/>
    <m/>
    <m/>
    <m/>
    <m/>
    <m/>
    <m/>
    <m/>
    <m/>
    <m/>
    <m/>
    <m/>
    <m/>
    <m/>
    <m/>
  </r>
  <r>
    <x v="5"/>
    <x v="47"/>
    <m/>
    <m/>
    <m/>
    <m/>
    <m/>
    <m/>
    <m/>
    <m/>
    <m/>
    <m/>
    <m/>
    <m/>
    <m/>
    <m/>
    <m/>
    <m/>
    <m/>
  </r>
  <r>
    <x v="5"/>
    <x v="48"/>
    <m/>
    <m/>
    <m/>
    <m/>
    <m/>
    <m/>
    <m/>
    <m/>
    <m/>
    <m/>
    <m/>
    <m/>
    <m/>
    <m/>
    <m/>
    <m/>
    <m/>
  </r>
  <r>
    <x v="5"/>
    <x v="49"/>
    <m/>
    <m/>
    <m/>
    <m/>
    <m/>
    <m/>
    <m/>
    <m/>
    <m/>
    <m/>
    <m/>
    <m/>
    <m/>
    <m/>
    <m/>
    <m/>
    <m/>
  </r>
  <r>
    <x v="5"/>
    <x v="50"/>
    <m/>
    <m/>
    <m/>
    <m/>
    <m/>
    <m/>
    <m/>
    <m/>
    <m/>
    <m/>
    <m/>
    <m/>
    <m/>
    <m/>
    <m/>
    <m/>
    <m/>
  </r>
  <r>
    <x v="5"/>
    <x v="51"/>
    <m/>
    <m/>
    <m/>
    <m/>
    <m/>
    <m/>
    <m/>
    <m/>
    <m/>
    <m/>
    <m/>
    <m/>
    <m/>
    <m/>
    <m/>
    <m/>
    <m/>
  </r>
  <r>
    <x v="6"/>
    <x v="0"/>
    <m/>
    <m/>
    <m/>
    <m/>
    <m/>
    <m/>
    <m/>
    <m/>
    <m/>
    <m/>
    <m/>
    <m/>
    <m/>
    <m/>
    <m/>
    <m/>
    <m/>
  </r>
  <r>
    <x v="6"/>
    <x v="1"/>
    <m/>
    <m/>
    <m/>
    <m/>
    <m/>
    <m/>
    <m/>
    <m/>
    <m/>
    <m/>
    <m/>
    <m/>
    <m/>
    <m/>
    <m/>
    <m/>
    <m/>
  </r>
  <r>
    <x v="6"/>
    <x v="2"/>
    <m/>
    <m/>
    <m/>
    <m/>
    <m/>
    <m/>
    <m/>
    <m/>
    <m/>
    <m/>
    <m/>
    <m/>
    <m/>
    <m/>
    <m/>
    <m/>
    <m/>
  </r>
  <r>
    <x v="6"/>
    <x v="3"/>
    <m/>
    <m/>
    <m/>
    <m/>
    <m/>
    <m/>
    <m/>
    <m/>
    <m/>
    <m/>
    <m/>
    <m/>
    <m/>
    <m/>
    <m/>
    <m/>
    <m/>
  </r>
  <r>
    <x v="6"/>
    <x v="4"/>
    <m/>
    <m/>
    <m/>
    <m/>
    <m/>
    <m/>
    <m/>
    <m/>
    <m/>
    <m/>
    <m/>
    <m/>
    <m/>
    <m/>
    <m/>
    <m/>
    <m/>
  </r>
  <r>
    <x v="6"/>
    <x v="5"/>
    <m/>
    <m/>
    <m/>
    <m/>
    <m/>
    <m/>
    <m/>
    <m/>
    <m/>
    <m/>
    <m/>
    <m/>
    <m/>
    <m/>
    <m/>
    <m/>
    <m/>
  </r>
  <r>
    <x v="6"/>
    <x v="6"/>
    <m/>
    <m/>
    <m/>
    <m/>
    <m/>
    <m/>
    <m/>
    <m/>
    <m/>
    <m/>
    <m/>
    <m/>
    <m/>
    <m/>
    <m/>
    <m/>
    <m/>
  </r>
  <r>
    <x v="6"/>
    <x v="7"/>
    <m/>
    <n v="1"/>
    <m/>
    <n v="1"/>
    <m/>
    <n v="1"/>
    <m/>
    <m/>
    <m/>
    <m/>
    <n v="1"/>
    <m/>
    <m/>
    <m/>
    <m/>
    <m/>
    <m/>
  </r>
  <r>
    <x v="6"/>
    <x v="8"/>
    <m/>
    <m/>
    <m/>
    <m/>
    <m/>
    <m/>
    <m/>
    <m/>
    <m/>
    <m/>
    <m/>
    <m/>
    <m/>
    <m/>
    <m/>
    <m/>
    <m/>
  </r>
  <r>
    <x v="6"/>
    <x v="9"/>
    <m/>
    <m/>
    <m/>
    <m/>
    <m/>
    <m/>
    <m/>
    <m/>
    <m/>
    <m/>
    <m/>
    <m/>
    <m/>
    <m/>
    <m/>
    <m/>
    <m/>
  </r>
  <r>
    <x v="6"/>
    <x v="10"/>
    <m/>
    <m/>
    <m/>
    <m/>
    <m/>
    <m/>
    <m/>
    <m/>
    <m/>
    <m/>
    <m/>
    <m/>
    <m/>
    <m/>
    <m/>
    <m/>
    <m/>
  </r>
  <r>
    <x v="6"/>
    <x v="11"/>
    <m/>
    <m/>
    <m/>
    <m/>
    <m/>
    <m/>
    <m/>
    <m/>
    <m/>
    <m/>
    <m/>
    <m/>
    <m/>
    <m/>
    <m/>
    <m/>
    <m/>
  </r>
  <r>
    <x v="6"/>
    <x v="12"/>
    <m/>
    <m/>
    <m/>
    <m/>
    <m/>
    <m/>
    <m/>
    <m/>
    <m/>
    <m/>
    <m/>
    <m/>
    <m/>
    <m/>
    <m/>
    <m/>
    <m/>
  </r>
  <r>
    <x v="6"/>
    <x v="13"/>
    <m/>
    <m/>
    <m/>
    <m/>
    <m/>
    <m/>
    <m/>
    <m/>
    <m/>
    <m/>
    <m/>
    <m/>
    <m/>
    <m/>
    <m/>
    <m/>
    <m/>
  </r>
  <r>
    <x v="6"/>
    <x v="14"/>
    <m/>
    <m/>
    <m/>
    <m/>
    <m/>
    <m/>
    <n v="3"/>
    <n v="3"/>
    <m/>
    <m/>
    <m/>
    <m/>
    <n v="1"/>
    <m/>
    <n v="1"/>
    <n v="1"/>
    <m/>
  </r>
  <r>
    <x v="6"/>
    <x v="15"/>
    <m/>
    <m/>
    <m/>
    <m/>
    <m/>
    <m/>
    <m/>
    <m/>
    <m/>
    <m/>
    <m/>
    <m/>
    <m/>
    <m/>
    <m/>
    <m/>
    <m/>
  </r>
  <r>
    <x v="6"/>
    <x v="16"/>
    <m/>
    <m/>
    <m/>
    <m/>
    <m/>
    <m/>
    <m/>
    <m/>
    <m/>
    <m/>
    <m/>
    <m/>
    <m/>
    <m/>
    <m/>
    <m/>
    <m/>
  </r>
  <r>
    <x v="6"/>
    <x v="17"/>
    <m/>
    <m/>
    <m/>
    <m/>
    <m/>
    <m/>
    <m/>
    <m/>
    <m/>
    <m/>
    <m/>
    <m/>
    <m/>
    <m/>
    <m/>
    <m/>
    <m/>
  </r>
  <r>
    <x v="6"/>
    <x v="18"/>
    <m/>
    <m/>
    <m/>
    <m/>
    <m/>
    <m/>
    <m/>
    <m/>
    <m/>
    <m/>
    <m/>
    <m/>
    <m/>
    <m/>
    <m/>
    <m/>
    <m/>
  </r>
  <r>
    <x v="6"/>
    <x v="19"/>
    <m/>
    <m/>
    <m/>
    <m/>
    <m/>
    <m/>
    <m/>
    <m/>
    <m/>
    <m/>
    <m/>
    <m/>
    <m/>
    <m/>
    <m/>
    <m/>
    <m/>
  </r>
  <r>
    <x v="6"/>
    <x v="20"/>
    <m/>
    <m/>
    <m/>
    <m/>
    <m/>
    <m/>
    <m/>
    <m/>
    <m/>
    <m/>
    <m/>
    <m/>
    <m/>
    <m/>
    <m/>
    <m/>
    <m/>
  </r>
  <r>
    <x v="6"/>
    <x v="21"/>
    <m/>
    <m/>
    <m/>
    <m/>
    <m/>
    <m/>
    <m/>
    <m/>
    <m/>
    <m/>
    <m/>
    <m/>
    <m/>
    <m/>
    <m/>
    <m/>
    <m/>
  </r>
  <r>
    <x v="6"/>
    <x v="22"/>
    <m/>
    <m/>
    <m/>
    <m/>
    <m/>
    <m/>
    <m/>
    <m/>
    <m/>
    <m/>
    <m/>
    <m/>
    <m/>
    <m/>
    <m/>
    <m/>
    <m/>
  </r>
  <r>
    <x v="6"/>
    <x v="23"/>
    <m/>
    <m/>
    <m/>
    <m/>
    <m/>
    <m/>
    <m/>
    <m/>
    <m/>
    <m/>
    <m/>
    <m/>
    <m/>
    <m/>
    <m/>
    <m/>
    <m/>
  </r>
  <r>
    <x v="6"/>
    <x v="24"/>
    <m/>
    <m/>
    <m/>
    <m/>
    <m/>
    <m/>
    <m/>
    <m/>
    <m/>
    <m/>
    <m/>
    <m/>
    <m/>
    <m/>
    <m/>
    <m/>
    <m/>
  </r>
  <r>
    <x v="6"/>
    <x v="25"/>
    <m/>
    <m/>
    <m/>
    <m/>
    <m/>
    <m/>
    <m/>
    <m/>
    <m/>
    <m/>
    <m/>
    <m/>
    <m/>
    <m/>
    <m/>
    <m/>
    <m/>
  </r>
  <r>
    <x v="6"/>
    <x v="26"/>
    <m/>
    <m/>
    <m/>
    <m/>
    <m/>
    <m/>
    <m/>
    <m/>
    <m/>
    <m/>
    <m/>
    <m/>
    <m/>
    <m/>
    <m/>
    <m/>
    <m/>
  </r>
  <r>
    <x v="6"/>
    <x v="52"/>
    <n v="1"/>
    <m/>
    <n v="1"/>
    <m/>
    <n v="1"/>
    <m/>
    <n v="3"/>
    <n v="3"/>
    <m/>
    <m/>
    <n v="1"/>
    <n v="1"/>
    <n v="1"/>
    <m/>
    <n v="1"/>
    <n v="1"/>
    <m/>
  </r>
  <r>
    <x v="6"/>
    <x v="27"/>
    <m/>
    <m/>
    <m/>
    <m/>
    <m/>
    <m/>
    <m/>
    <m/>
    <m/>
    <m/>
    <m/>
    <m/>
    <m/>
    <m/>
    <m/>
    <m/>
    <m/>
  </r>
  <r>
    <x v="6"/>
    <x v="28"/>
    <m/>
    <m/>
    <m/>
    <m/>
    <m/>
    <m/>
    <m/>
    <m/>
    <m/>
    <m/>
    <m/>
    <m/>
    <m/>
    <m/>
    <m/>
    <m/>
    <m/>
  </r>
  <r>
    <x v="6"/>
    <x v="29"/>
    <m/>
    <m/>
    <m/>
    <m/>
    <m/>
    <m/>
    <n v="3"/>
    <n v="3"/>
    <m/>
    <m/>
    <m/>
    <m/>
    <n v="1"/>
    <m/>
    <n v="1"/>
    <n v="1"/>
    <m/>
  </r>
  <r>
    <x v="6"/>
    <x v="30"/>
    <m/>
    <m/>
    <m/>
    <m/>
    <m/>
    <m/>
    <n v="3"/>
    <n v="3"/>
    <m/>
    <m/>
    <m/>
    <m/>
    <n v="1"/>
    <m/>
    <n v="1"/>
    <n v="1"/>
    <m/>
  </r>
  <r>
    <x v="6"/>
    <x v="31"/>
    <n v="1"/>
    <n v="3"/>
    <n v="1"/>
    <n v="2"/>
    <n v="1"/>
    <n v="2"/>
    <n v="21"/>
    <n v="14"/>
    <m/>
    <n v="1"/>
    <n v="2"/>
    <n v="2"/>
    <n v="11"/>
    <n v="1"/>
    <n v="15"/>
    <n v="12"/>
    <m/>
  </r>
  <r>
    <x v="6"/>
    <x v="32"/>
    <m/>
    <m/>
    <m/>
    <m/>
    <m/>
    <m/>
    <m/>
    <m/>
    <m/>
    <m/>
    <m/>
    <m/>
    <m/>
    <m/>
    <m/>
    <m/>
    <m/>
  </r>
  <r>
    <x v="6"/>
    <x v="33"/>
    <m/>
    <m/>
    <m/>
    <m/>
    <m/>
    <m/>
    <m/>
    <m/>
    <m/>
    <m/>
    <m/>
    <m/>
    <m/>
    <m/>
    <m/>
    <m/>
    <m/>
  </r>
  <r>
    <x v="6"/>
    <x v="34"/>
    <m/>
    <m/>
    <m/>
    <m/>
    <m/>
    <m/>
    <m/>
    <m/>
    <m/>
    <m/>
    <m/>
    <m/>
    <m/>
    <m/>
    <m/>
    <m/>
    <m/>
  </r>
  <r>
    <x v="6"/>
    <x v="35"/>
    <m/>
    <m/>
    <m/>
    <m/>
    <m/>
    <m/>
    <m/>
    <m/>
    <m/>
    <m/>
    <m/>
    <m/>
    <m/>
    <m/>
    <m/>
    <m/>
    <m/>
  </r>
  <r>
    <x v="6"/>
    <x v="36"/>
    <m/>
    <m/>
    <m/>
    <m/>
    <m/>
    <m/>
    <m/>
    <m/>
    <m/>
    <m/>
    <m/>
    <m/>
    <m/>
    <m/>
    <m/>
    <m/>
    <m/>
  </r>
  <r>
    <x v="6"/>
    <x v="53"/>
    <n v="1"/>
    <n v="2"/>
    <m/>
    <n v="1"/>
    <n v="1"/>
    <n v="3"/>
    <n v="9"/>
    <n v="6"/>
    <n v="8"/>
    <m/>
    <n v="1"/>
    <m/>
    <n v="2"/>
    <n v="1"/>
    <n v="2"/>
    <n v="2"/>
    <m/>
  </r>
  <r>
    <x v="6"/>
    <x v="37"/>
    <m/>
    <m/>
    <m/>
    <m/>
    <m/>
    <m/>
    <m/>
    <m/>
    <m/>
    <m/>
    <m/>
    <m/>
    <m/>
    <m/>
    <m/>
    <m/>
    <m/>
  </r>
  <r>
    <x v="6"/>
    <x v="38"/>
    <m/>
    <m/>
    <m/>
    <m/>
    <m/>
    <m/>
    <m/>
    <m/>
    <m/>
    <m/>
    <m/>
    <m/>
    <m/>
    <m/>
    <m/>
    <m/>
    <m/>
  </r>
  <r>
    <x v="6"/>
    <x v="39"/>
    <n v="1"/>
    <m/>
    <n v="1"/>
    <m/>
    <n v="1"/>
    <m/>
    <n v="3"/>
    <n v="4"/>
    <m/>
    <m/>
    <n v="2"/>
    <m/>
    <m/>
    <n v="1"/>
    <n v="1"/>
    <m/>
    <m/>
  </r>
  <r>
    <x v="6"/>
    <x v="40"/>
    <m/>
    <m/>
    <m/>
    <m/>
    <m/>
    <m/>
    <m/>
    <m/>
    <m/>
    <m/>
    <m/>
    <m/>
    <m/>
    <m/>
    <m/>
    <m/>
    <m/>
  </r>
  <r>
    <x v="6"/>
    <x v="41"/>
    <m/>
    <m/>
    <m/>
    <m/>
    <m/>
    <m/>
    <m/>
    <m/>
    <m/>
    <m/>
    <m/>
    <m/>
    <m/>
    <m/>
    <m/>
    <m/>
    <m/>
  </r>
  <r>
    <x v="6"/>
    <x v="42"/>
    <m/>
    <m/>
    <m/>
    <m/>
    <m/>
    <m/>
    <m/>
    <m/>
    <m/>
    <m/>
    <m/>
    <m/>
    <m/>
    <m/>
    <m/>
    <m/>
    <m/>
  </r>
  <r>
    <x v="6"/>
    <x v="43"/>
    <m/>
    <m/>
    <m/>
    <m/>
    <m/>
    <m/>
    <m/>
    <m/>
    <m/>
    <m/>
    <m/>
    <m/>
    <m/>
    <m/>
    <m/>
    <m/>
    <m/>
  </r>
  <r>
    <x v="6"/>
    <x v="44"/>
    <m/>
    <m/>
    <m/>
    <m/>
    <m/>
    <m/>
    <m/>
    <m/>
    <m/>
    <m/>
    <m/>
    <m/>
    <m/>
    <m/>
    <m/>
    <m/>
    <m/>
  </r>
  <r>
    <x v="6"/>
    <x v="45"/>
    <m/>
    <m/>
    <m/>
    <m/>
    <m/>
    <m/>
    <m/>
    <m/>
    <m/>
    <m/>
    <m/>
    <m/>
    <m/>
    <m/>
    <m/>
    <m/>
    <m/>
  </r>
  <r>
    <x v="6"/>
    <x v="46"/>
    <m/>
    <m/>
    <m/>
    <m/>
    <m/>
    <m/>
    <m/>
    <m/>
    <m/>
    <m/>
    <m/>
    <m/>
    <m/>
    <m/>
    <m/>
    <m/>
    <m/>
  </r>
  <r>
    <x v="6"/>
    <x v="47"/>
    <m/>
    <m/>
    <m/>
    <m/>
    <m/>
    <m/>
    <m/>
    <m/>
    <m/>
    <m/>
    <m/>
    <m/>
    <m/>
    <m/>
    <m/>
    <m/>
    <m/>
  </r>
  <r>
    <x v="6"/>
    <x v="48"/>
    <m/>
    <m/>
    <m/>
    <m/>
    <m/>
    <m/>
    <m/>
    <m/>
    <m/>
    <m/>
    <m/>
    <m/>
    <m/>
    <m/>
    <m/>
    <m/>
    <m/>
  </r>
  <r>
    <x v="6"/>
    <x v="49"/>
    <m/>
    <m/>
    <m/>
    <m/>
    <m/>
    <m/>
    <m/>
    <m/>
    <m/>
    <m/>
    <m/>
    <m/>
    <m/>
    <m/>
    <m/>
    <m/>
    <m/>
  </r>
  <r>
    <x v="6"/>
    <x v="50"/>
    <m/>
    <m/>
    <m/>
    <m/>
    <m/>
    <m/>
    <m/>
    <m/>
    <m/>
    <m/>
    <m/>
    <m/>
    <m/>
    <m/>
    <m/>
    <m/>
    <m/>
  </r>
  <r>
    <x v="6"/>
    <x v="51"/>
    <m/>
    <m/>
    <m/>
    <m/>
    <m/>
    <m/>
    <m/>
    <m/>
    <m/>
    <m/>
    <m/>
    <m/>
    <m/>
    <m/>
    <m/>
    <m/>
    <m/>
  </r>
  <r>
    <x v="7"/>
    <x v="0"/>
    <m/>
    <m/>
    <m/>
    <m/>
    <m/>
    <m/>
    <m/>
    <m/>
    <m/>
    <m/>
    <m/>
    <m/>
    <m/>
    <m/>
    <m/>
    <m/>
    <m/>
  </r>
  <r>
    <x v="7"/>
    <x v="1"/>
    <m/>
    <m/>
    <m/>
    <m/>
    <m/>
    <m/>
    <m/>
    <m/>
    <m/>
    <m/>
    <m/>
    <m/>
    <m/>
    <m/>
    <m/>
    <m/>
    <m/>
  </r>
  <r>
    <x v="7"/>
    <x v="2"/>
    <m/>
    <m/>
    <m/>
    <m/>
    <m/>
    <m/>
    <m/>
    <m/>
    <m/>
    <m/>
    <m/>
    <m/>
    <m/>
    <m/>
    <m/>
    <m/>
    <m/>
  </r>
  <r>
    <x v="7"/>
    <x v="3"/>
    <m/>
    <m/>
    <m/>
    <m/>
    <m/>
    <m/>
    <m/>
    <m/>
    <m/>
    <m/>
    <m/>
    <m/>
    <m/>
    <m/>
    <m/>
    <m/>
    <m/>
  </r>
  <r>
    <x v="7"/>
    <x v="4"/>
    <m/>
    <m/>
    <m/>
    <m/>
    <m/>
    <m/>
    <m/>
    <m/>
    <m/>
    <m/>
    <m/>
    <m/>
    <m/>
    <m/>
    <m/>
    <m/>
    <m/>
  </r>
  <r>
    <x v="7"/>
    <x v="5"/>
    <m/>
    <m/>
    <m/>
    <m/>
    <m/>
    <m/>
    <n v="2"/>
    <n v="4"/>
    <n v="2"/>
    <m/>
    <n v="4"/>
    <n v="2"/>
    <n v="2"/>
    <m/>
    <n v="1"/>
    <m/>
    <m/>
  </r>
  <r>
    <x v="7"/>
    <x v="6"/>
    <m/>
    <m/>
    <m/>
    <m/>
    <m/>
    <m/>
    <m/>
    <m/>
    <m/>
    <m/>
    <m/>
    <m/>
    <m/>
    <m/>
    <m/>
    <m/>
    <m/>
  </r>
  <r>
    <x v="7"/>
    <x v="7"/>
    <m/>
    <m/>
    <m/>
    <m/>
    <m/>
    <m/>
    <m/>
    <m/>
    <m/>
    <m/>
    <m/>
    <m/>
    <m/>
    <m/>
    <m/>
    <m/>
    <m/>
  </r>
  <r>
    <x v="7"/>
    <x v="8"/>
    <m/>
    <m/>
    <m/>
    <m/>
    <m/>
    <m/>
    <m/>
    <m/>
    <m/>
    <m/>
    <m/>
    <m/>
    <m/>
    <m/>
    <m/>
    <m/>
    <m/>
  </r>
  <r>
    <x v="7"/>
    <x v="9"/>
    <m/>
    <m/>
    <m/>
    <m/>
    <m/>
    <m/>
    <n v="1"/>
    <m/>
    <m/>
    <m/>
    <n v="1"/>
    <m/>
    <n v="1"/>
    <n v="1"/>
    <n v="1"/>
    <n v="1"/>
    <m/>
  </r>
  <r>
    <x v="7"/>
    <x v="10"/>
    <m/>
    <m/>
    <m/>
    <m/>
    <m/>
    <m/>
    <m/>
    <m/>
    <m/>
    <m/>
    <m/>
    <m/>
    <m/>
    <m/>
    <m/>
    <m/>
    <m/>
  </r>
  <r>
    <x v="7"/>
    <x v="11"/>
    <m/>
    <m/>
    <m/>
    <m/>
    <m/>
    <m/>
    <m/>
    <m/>
    <m/>
    <m/>
    <m/>
    <m/>
    <m/>
    <m/>
    <m/>
    <m/>
    <m/>
  </r>
  <r>
    <x v="7"/>
    <x v="12"/>
    <m/>
    <m/>
    <m/>
    <m/>
    <m/>
    <m/>
    <m/>
    <m/>
    <m/>
    <m/>
    <m/>
    <m/>
    <m/>
    <m/>
    <m/>
    <m/>
    <m/>
  </r>
  <r>
    <x v="7"/>
    <x v="13"/>
    <m/>
    <m/>
    <m/>
    <m/>
    <m/>
    <m/>
    <m/>
    <m/>
    <m/>
    <m/>
    <m/>
    <m/>
    <m/>
    <m/>
    <m/>
    <m/>
    <m/>
  </r>
  <r>
    <x v="7"/>
    <x v="14"/>
    <m/>
    <m/>
    <m/>
    <m/>
    <m/>
    <m/>
    <m/>
    <m/>
    <m/>
    <m/>
    <m/>
    <n v="1"/>
    <m/>
    <n v="1"/>
    <m/>
    <m/>
    <m/>
  </r>
  <r>
    <x v="7"/>
    <x v="15"/>
    <m/>
    <m/>
    <m/>
    <m/>
    <m/>
    <m/>
    <m/>
    <m/>
    <m/>
    <m/>
    <m/>
    <m/>
    <m/>
    <m/>
    <m/>
    <m/>
    <m/>
  </r>
  <r>
    <x v="7"/>
    <x v="16"/>
    <m/>
    <m/>
    <m/>
    <m/>
    <m/>
    <m/>
    <m/>
    <m/>
    <m/>
    <m/>
    <m/>
    <m/>
    <m/>
    <m/>
    <m/>
    <m/>
    <m/>
  </r>
  <r>
    <x v="7"/>
    <x v="17"/>
    <m/>
    <m/>
    <m/>
    <m/>
    <m/>
    <m/>
    <m/>
    <m/>
    <m/>
    <m/>
    <m/>
    <m/>
    <m/>
    <m/>
    <m/>
    <m/>
    <m/>
  </r>
  <r>
    <x v="7"/>
    <x v="18"/>
    <n v="5"/>
    <m/>
    <m/>
    <m/>
    <m/>
    <m/>
    <m/>
    <m/>
    <m/>
    <m/>
    <m/>
    <n v="1"/>
    <m/>
    <m/>
    <m/>
    <m/>
    <m/>
  </r>
  <r>
    <x v="7"/>
    <x v="19"/>
    <m/>
    <m/>
    <m/>
    <m/>
    <m/>
    <m/>
    <m/>
    <m/>
    <m/>
    <m/>
    <m/>
    <m/>
    <m/>
    <m/>
    <m/>
    <m/>
    <m/>
  </r>
  <r>
    <x v="7"/>
    <x v="20"/>
    <m/>
    <m/>
    <m/>
    <m/>
    <m/>
    <m/>
    <m/>
    <n v="4"/>
    <n v="1"/>
    <n v="4"/>
    <n v="5"/>
    <n v="8"/>
    <n v="1"/>
    <n v="9"/>
    <n v="3"/>
    <n v="2"/>
    <m/>
  </r>
  <r>
    <x v="7"/>
    <x v="21"/>
    <m/>
    <m/>
    <m/>
    <m/>
    <m/>
    <m/>
    <m/>
    <m/>
    <m/>
    <m/>
    <m/>
    <m/>
    <m/>
    <m/>
    <m/>
    <m/>
    <m/>
  </r>
  <r>
    <x v="7"/>
    <x v="22"/>
    <m/>
    <m/>
    <m/>
    <m/>
    <m/>
    <m/>
    <m/>
    <m/>
    <m/>
    <m/>
    <m/>
    <m/>
    <m/>
    <m/>
    <m/>
    <m/>
    <m/>
  </r>
  <r>
    <x v="7"/>
    <x v="23"/>
    <m/>
    <m/>
    <m/>
    <m/>
    <m/>
    <m/>
    <m/>
    <n v="4"/>
    <m/>
    <n v="4"/>
    <m/>
    <n v="8"/>
    <m/>
    <n v="4"/>
    <m/>
    <m/>
    <m/>
  </r>
  <r>
    <x v="7"/>
    <x v="24"/>
    <m/>
    <m/>
    <m/>
    <m/>
    <m/>
    <m/>
    <m/>
    <m/>
    <m/>
    <m/>
    <m/>
    <m/>
    <m/>
    <m/>
    <m/>
    <m/>
    <m/>
  </r>
  <r>
    <x v="7"/>
    <x v="25"/>
    <m/>
    <m/>
    <m/>
    <m/>
    <m/>
    <m/>
    <m/>
    <m/>
    <m/>
    <m/>
    <m/>
    <m/>
    <m/>
    <m/>
    <m/>
    <m/>
    <m/>
  </r>
  <r>
    <x v="7"/>
    <x v="26"/>
    <m/>
    <m/>
    <m/>
    <m/>
    <m/>
    <m/>
    <m/>
    <n v="4"/>
    <m/>
    <n v="4"/>
    <m/>
    <n v="8"/>
    <m/>
    <n v="4"/>
    <m/>
    <m/>
    <m/>
  </r>
  <r>
    <x v="7"/>
    <x v="27"/>
    <m/>
    <m/>
    <m/>
    <m/>
    <m/>
    <m/>
    <m/>
    <m/>
    <m/>
    <m/>
    <m/>
    <m/>
    <m/>
    <m/>
    <m/>
    <m/>
    <m/>
  </r>
  <r>
    <x v="7"/>
    <x v="28"/>
    <m/>
    <m/>
    <m/>
    <m/>
    <m/>
    <m/>
    <m/>
    <m/>
    <m/>
    <m/>
    <n v="3"/>
    <n v="2"/>
    <n v="3"/>
    <n v="2"/>
    <n v="2"/>
    <n v="3"/>
    <m/>
  </r>
  <r>
    <x v="7"/>
    <x v="29"/>
    <m/>
    <m/>
    <m/>
    <m/>
    <m/>
    <m/>
    <n v="3"/>
    <m/>
    <n v="5"/>
    <m/>
    <n v="3"/>
    <n v="5"/>
    <n v="1"/>
    <n v="3"/>
    <m/>
    <n v="8"/>
    <m/>
  </r>
  <r>
    <x v="7"/>
    <x v="30"/>
    <m/>
    <m/>
    <m/>
    <m/>
    <m/>
    <m/>
    <n v="4"/>
    <m/>
    <n v="5"/>
    <m/>
    <n v="4"/>
    <n v="5"/>
    <m/>
    <n v="4"/>
    <m/>
    <n v="4"/>
    <m/>
  </r>
  <r>
    <x v="7"/>
    <x v="31"/>
    <n v="44"/>
    <m/>
    <n v="1"/>
    <m/>
    <m/>
    <m/>
    <n v="38"/>
    <n v="37"/>
    <n v="1"/>
    <m/>
    <n v="6"/>
    <n v="21"/>
    <n v="6"/>
    <n v="16"/>
    <n v="6"/>
    <n v="12"/>
    <m/>
  </r>
  <r>
    <x v="7"/>
    <x v="32"/>
    <m/>
    <m/>
    <m/>
    <m/>
    <m/>
    <m/>
    <m/>
    <m/>
    <m/>
    <m/>
    <m/>
    <m/>
    <m/>
    <m/>
    <m/>
    <m/>
    <m/>
  </r>
  <r>
    <x v="7"/>
    <x v="33"/>
    <m/>
    <m/>
    <m/>
    <m/>
    <m/>
    <m/>
    <m/>
    <m/>
    <m/>
    <m/>
    <m/>
    <m/>
    <m/>
    <m/>
    <m/>
    <m/>
    <m/>
  </r>
  <r>
    <x v="7"/>
    <x v="34"/>
    <n v="4"/>
    <m/>
    <m/>
    <m/>
    <m/>
    <m/>
    <m/>
    <m/>
    <m/>
    <m/>
    <m/>
    <n v="1"/>
    <n v="1"/>
    <m/>
    <m/>
    <m/>
    <m/>
  </r>
  <r>
    <x v="7"/>
    <x v="35"/>
    <n v="3"/>
    <m/>
    <m/>
    <m/>
    <m/>
    <m/>
    <n v="2"/>
    <n v="3"/>
    <n v="2"/>
    <n v="2"/>
    <n v="5"/>
    <n v="2"/>
    <n v="2"/>
    <n v="4"/>
    <n v="2"/>
    <n v="2"/>
    <m/>
  </r>
  <r>
    <x v="7"/>
    <x v="36"/>
    <m/>
    <m/>
    <m/>
    <m/>
    <m/>
    <m/>
    <n v="3"/>
    <n v="2"/>
    <n v="1"/>
    <m/>
    <n v="1"/>
    <n v="5"/>
    <m/>
    <n v="5"/>
    <m/>
    <m/>
    <m/>
  </r>
  <r>
    <x v="7"/>
    <x v="37"/>
    <m/>
    <m/>
    <m/>
    <m/>
    <m/>
    <m/>
    <m/>
    <m/>
    <m/>
    <m/>
    <m/>
    <m/>
    <m/>
    <m/>
    <m/>
    <m/>
    <m/>
  </r>
  <r>
    <x v="7"/>
    <x v="38"/>
    <m/>
    <m/>
    <m/>
    <m/>
    <m/>
    <m/>
    <m/>
    <m/>
    <m/>
    <m/>
    <m/>
    <m/>
    <m/>
    <m/>
    <m/>
    <m/>
    <m/>
  </r>
  <r>
    <x v="7"/>
    <x v="39"/>
    <m/>
    <m/>
    <m/>
    <m/>
    <m/>
    <m/>
    <n v="3"/>
    <m/>
    <n v="5"/>
    <m/>
    <n v="2"/>
    <n v="5"/>
    <n v="1"/>
    <n v="2"/>
    <m/>
    <n v="7"/>
    <m/>
  </r>
  <r>
    <x v="7"/>
    <x v="40"/>
    <m/>
    <m/>
    <m/>
    <m/>
    <m/>
    <m/>
    <m/>
    <m/>
    <m/>
    <m/>
    <n v="2"/>
    <m/>
    <m/>
    <n v="2"/>
    <n v="1"/>
    <m/>
    <m/>
  </r>
  <r>
    <x v="7"/>
    <x v="41"/>
    <m/>
    <m/>
    <m/>
    <m/>
    <m/>
    <m/>
    <m/>
    <m/>
    <m/>
    <m/>
    <m/>
    <m/>
    <m/>
    <m/>
    <m/>
    <m/>
    <m/>
  </r>
  <r>
    <x v="7"/>
    <x v="42"/>
    <m/>
    <m/>
    <m/>
    <m/>
    <m/>
    <m/>
    <m/>
    <m/>
    <m/>
    <m/>
    <m/>
    <n v="3"/>
    <m/>
    <n v="3"/>
    <m/>
    <m/>
    <m/>
  </r>
  <r>
    <x v="7"/>
    <x v="43"/>
    <m/>
    <m/>
    <m/>
    <m/>
    <m/>
    <m/>
    <m/>
    <m/>
    <m/>
    <m/>
    <m/>
    <m/>
    <m/>
    <m/>
    <m/>
    <m/>
    <m/>
  </r>
  <r>
    <x v="7"/>
    <x v="44"/>
    <m/>
    <m/>
    <m/>
    <m/>
    <m/>
    <m/>
    <m/>
    <m/>
    <m/>
    <m/>
    <m/>
    <m/>
    <m/>
    <m/>
    <m/>
    <m/>
    <m/>
  </r>
  <r>
    <x v="7"/>
    <x v="45"/>
    <m/>
    <m/>
    <m/>
    <m/>
    <m/>
    <m/>
    <m/>
    <m/>
    <m/>
    <m/>
    <m/>
    <m/>
    <m/>
    <m/>
    <m/>
    <m/>
    <m/>
  </r>
  <r>
    <x v="7"/>
    <x v="46"/>
    <m/>
    <m/>
    <m/>
    <m/>
    <m/>
    <m/>
    <m/>
    <m/>
    <m/>
    <m/>
    <m/>
    <m/>
    <m/>
    <m/>
    <m/>
    <m/>
    <m/>
  </r>
  <r>
    <x v="7"/>
    <x v="47"/>
    <m/>
    <m/>
    <m/>
    <m/>
    <m/>
    <m/>
    <m/>
    <m/>
    <m/>
    <m/>
    <m/>
    <m/>
    <m/>
    <m/>
    <m/>
    <m/>
    <m/>
  </r>
  <r>
    <x v="7"/>
    <x v="48"/>
    <m/>
    <m/>
    <m/>
    <m/>
    <m/>
    <m/>
    <m/>
    <m/>
    <m/>
    <m/>
    <m/>
    <m/>
    <m/>
    <m/>
    <m/>
    <m/>
    <m/>
  </r>
  <r>
    <x v="7"/>
    <x v="49"/>
    <m/>
    <m/>
    <m/>
    <m/>
    <m/>
    <m/>
    <m/>
    <m/>
    <m/>
    <m/>
    <m/>
    <n v="2"/>
    <m/>
    <n v="1"/>
    <m/>
    <m/>
    <m/>
  </r>
  <r>
    <x v="7"/>
    <x v="50"/>
    <m/>
    <m/>
    <m/>
    <m/>
    <m/>
    <m/>
    <m/>
    <m/>
    <m/>
    <m/>
    <m/>
    <m/>
    <m/>
    <m/>
    <m/>
    <m/>
    <m/>
  </r>
  <r>
    <x v="7"/>
    <x v="51"/>
    <m/>
    <m/>
    <m/>
    <m/>
    <m/>
    <m/>
    <m/>
    <m/>
    <m/>
    <m/>
    <m/>
    <m/>
    <m/>
    <m/>
    <m/>
    <m/>
    <m/>
  </r>
  <r>
    <x v="7"/>
    <x v="54"/>
    <m/>
    <m/>
    <m/>
    <m/>
    <m/>
    <m/>
    <m/>
    <m/>
    <m/>
    <m/>
    <m/>
    <n v="2"/>
    <m/>
    <n v="2"/>
    <m/>
    <m/>
    <m/>
  </r>
  <r>
    <x v="7"/>
    <x v="55"/>
    <m/>
    <m/>
    <m/>
    <m/>
    <m/>
    <m/>
    <m/>
    <m/>
    <m/>
    <m/>
    <m/>
    <n v="9"/>
    <m/>
    <n v="7"/>
    <m/>
    <n v="9"/>
    <m/>
  </r>
  <r>
    <x v="8"/>
    <x v="0"/>
    <m/>
    <m/>
    <m/>
    <m/>
    <m/>
    <m/>
    <m/>
    <m/>
    <m/>
    <m/>
    <m/>
    <m/>
    <m/>
    <m/>
    <m/>
    <m/>
    <m/>
  </r>
  <r>
    <x v="8"/>
    <x v="1"/>
    <m/>
    <m/>
    <m/>
    <m/>
    <m/>
    <m/>
    <m/>
    <m/>
    <m/>
    <m/>
    <m/>
    <m/>
    <m/>
    <m/>
    <m/>
    <m/>
    <m/>
  </r>
  <r>
    <x v="8"/>
    <x v="2"/>
    <m/>
    <m/>
    <m/>
    <m/>
    <m/>
    <m/>
    <m/>
    <m/>
    <m/>
    <m/>
    <m/>
    <m/>
    <m/>
    <m/>
    <m/>
    <m/>
    <m/>
  </r>
  <r>
    <x v="8"/>
    <x v="3"/>
    <m/>
    <m/>
    <m/>
    <m/>
    <m/>
    <m/>
    <n v="2"/>
    <m/>
    <m/>
    <m/>
    <m/>
    <m/>
    <n v="2"/>
    <n v="5"/>
    <n v="3"/>
    <m/>
    <m/>
  </r>
  <r>
    <x v="8"/>
    <x v="4"/>
    <m/>
    <m/>
    <m/>
    <m/>
    <m/>
    <m/>
    <m/>
    <m/>
    <m/>
    <m/>
    <m/>
    <m/>
    <m/>
    <m/>
    <m/>
    <m/>
    <m/>
  </r>
  <r>
    <x v="8"/>
    <x v="5"/>
    <m/>
    <m/>
    <m/>
    <m/>
    <m/>
    <m/>
    <m/>
    <m/>
    <m/>
    <m/>
    <m/>
    <m/>
    <m/>
    <m/>
    <m/>
    <m/>
    <m/>
  </r>
  <r>
    <x v="8"/>
    <x v="6"/>
    <m/>
    <m/>
    <m/>
    <m/>
    <m/>
    <m/>
    <m/>
    <m/>
    <m/>
    <m/>
    <m/>
    <m/>
    <m/>
    <m/>
    <m/>
    <m/>
    <m/>
  </r>
  <r>
    <x v="8"/>
    <x v="7"/>
    <m/>
    <m/>
    <m/>
    <m/>
    <m/>
    <m/>
    <m/>
    <m/>
    <m/>
    <m/>
    <m/>
    <m/>
    <m/>
    <m/>
    <m/>
    <m/>
    <m/>
  </r>
  <r>
    <x v="8"/>
    <x v="8"/>
    <m/>
    <m/>
    <m/>
    <m/>
    <m/>
    <m/>
    <m/>
    <m/>
    <m/>
    <m/>
    <m/>
    <m/>
    <m/>
    <m/>
    <m/>
    <m/>
    <m/>
  </r>
  <r>
    <x v="8"/>
    <x v="9"/>
    <m/>
    <m/>
    <m/>
    <m/>
    <m/>
    <m/>
    <m/>
    <m/>
    <m/>
    <m/>
    <m/>
    <m/>
    <m/>
    <m/>
    <m/>
    <m/>
    <m/>
  </r>
  <r>
    <x v="8"/>
    <x v="10"/>
    <m/>
    <m/>
    <m/>
    <m/>
    <m/>
    <m/>
    <m/>
    <m/>
    <m/>
    <m/>
    <m/>
    <m/>
    <m/>
    <m/>
    <m/>
    <m/>
    <m/>
  </r>
  <r>
    <x v="8"/>
    <x v="11"/>
    <m/>
    <m/>
    <m/>
    <m/>
    <m/>
    <m/>
    <m/>
    <m/>
    <m/>
    <m/>
    <m/>
    <m/>
    <m/>
    <m/>
    <m/>
    <m/>
    <m/>
  </r>
  <r>
    <x v="8"/>
    <x v="12"/>
    <m/>
    <m/>
    <m/>
    <m/>
    <m/>
    <m/>
    <m/>
    <m/>
    <m/>
    <m/>
    <n v="3"/>
    <m/>
    <m/>
    <m/>
    <m/>
    <m/>
    <m/>
  </r>
  <r>
    <x v="8"/>
    <x v="13"/>
    <m/>
    <m/>
    <m/>
    <m/>
    <m/>
    <m/>
    <m/>
    <m/>
    <m/>
    <m/>
    <m/>
    <m/>
    <m/>
    <m/>
    <m/>
    <m/>
    <m/>
  </r>
  <r>
    <x v="8"/>
    <x v="14"/>
    <m/>
    <m/>
    <m/>
    <m/>
    <m/>
    <m/>
    <m/>
    <m/>
    <m/>
    <m/>
    <n v="6"/>
    <n v="8"/>
    <m/>
    <n v="2"/>
    <n v="4"/>
    <m/>
    <m/>
  </r>
  <r>
    <x v="8"/>
    <x v="15"/>
    <m/>
    <m/>
    <m/>
    <m/>
    <m/>
    <m/>
    <m/>
    <m/>
    <m/>
    <m/>
    <m/>
    <m/>
    <m/>
    <n v="2"/>
    <m/>
    <m/>
    <m/>
  </r>
  <r>
    <x v="8"/>
    <x v="16"/>
    <m/>
    <m/>
    <m/>
    <m/>
    <m/>
    <m/>
    <m/>
    <m/>
    <m/>
    <m/>
    <m/>
    <m/>
    <m/>
    <m/>
    <m/>
    <m/>
    <m/>
  </r>
  <r>
    <x v="8"/>
    <x v="17"/>
    <m/>
    <m/>
    <m/>
    <m/>
    <m/>
    <m/>
    <m/>
    <m/>
    <m/>
    <m/>
    <m/>
    <m/>
    <m/>
    <m/>
    <m/>
    <m/>
    <m/>
  </r>
  <r>
    <x v="8"/>
    <x v="18"/>
    <m/>
    <m/>
    <m/>
    <m/>
    <m/>
    <m/>
    <m/>
    <m/>
    <m/>
    <m/>
    <m/>
    <m/>
    <m/>
    <m/>
    <m/>
    <m/>
    <m/>
  </r>
  <r>
    <x v="8"/>
    <x v="19"/>
    <m/>
    <m/>
    <m/>
    <m/>
    <m/>
    <m/>
    <m/>
    <m/>
    <m/>
    <m/>
    <m/>
    <m/>
    <m/>
    <m/>
    <m/>
    <m/>
    <m/>
  </r>
  <r>
    <x v="8"/>
    <x v="20"/>
    <m/>
    <m/>
    <m/>
    <m/>
    <m/>
    <m/>
    <n v="5"/>
    <m/>
    <m/>
    <m/>
    <m/>
    <m/>
    <m/>
    <m/>
    <m/>
    <m/>
    <m/>
  </r>
  <r>
    <x v="8"/>
    <x v="21"/>
    <m/>
    <m/>
    <m/>
    <m/>
    <m/>
    <m/>
    <m/>
    <m/>
    <m/>
    <m/>
    <m/>
    <m/>
    <m/>
    <m/>
    <m/>
    <m/>
    <m/>
  </r>
  <r>
    <x v="8"/>
    <x v="22"/>
    <m/>
    <m/>
    <m/>
    <m/>
    <m/>
    <m/>
    <m/>
    <m/>
    <m/>
    <m/>
    <m/>
    <m/>
    <m/>
    <m/>
    <m/>
    <m/>
    <m/>
  </r>
  <r>
    <x v="8"/>
    <x v="23"/>
    <m/>
    <m/>
    <m/>
    <m/>
    <m/>
    <m/>
    <m/>
    <m/>
    <m/>
    <m/>
    <m/>
    <m/>
    <n v="2"/>
    <n v="4"/>
    <m/>
    <m/>
    <m/>
  </r>
  <r>
    <x v="8"/>
    <x v="24"/>
    <m/>
    <m/>
    <m/>
    <m/>
    <m/>
    <m/>
    <m/>
    <m/>
    <m/>
    <m/>
    <m/>
    <m/>
    <m/>
    <m/>
    <m/>
    <m/>
    <m/>
  </r>
  <r>
    <x v="8"/>
    <x v="25"/>
    <m/>
    <m/>
    <m/>
    <m/>
    <m/>
    <m/>
    <n v="5"/>
    <m/>
    <m/>
    <m/>
    <m/>
    <m/>
    <m/>
    <m/>
    <m/>
    <n v="5"/>
    <m/>
  </r>
  <r>
    <x v="8"/>
    <x v="26"/>
    <m/>
    <m/>
    <m/>
    <m/>
    <m/>
    <m/>
    <n v="15"/>
    <m/>
    <m/>
    <m/>
    <n v="6"/>
    <m/>
    <m/>
    <m/>
    <m/>
    <n v="5"/>
    <m/>
  </r>
  <r>
    <x v="8"/>
    <x v="27"/>
    <m/>
    <m/>
    <m/>
    <m/>
    <m/>
    <m/>
    <m/>
    <m/>
    <m/>
    <m/>
    <m/>
    <m/>
    <m/>
    <m/>
    <m/>
    <m/>
    <m/>
  </r>
  <r>
    <x v="8"/>
    <x v="28"/>
    <m/>
    <m/>
    <m/>
    <m/>
    <m/>
    <m/>
    <m/>
    <m/>
    <m/>
    <m/>
    <m/>
    <m/>
    <m/>
    <m/>
    <m/>
    <m/>
    <m/>
  </r>
  <r>
    <x v="8"/>
    <x v="29"/>
    <m/>
    <m/>
    <m/>
    <m/>
    <m/>
    <m/>
    <m/>
    <m/>
    <m/>
    <m/>
    <m/>
    <m/>
    <n v="2"/>
    <n v="4"/>
    <m/>
    <m/>
    <m/>
  </r>
  <r>
    <x v="8"/>
    <x v="30"/>
    <m/>
    <m/>
    <m/>
    <m/>
    <m/>
    <m/>
    <m/>
    <m/>
    <m/>
    <m/>
    <n v="2"/>
    <m/>
    <m/>
    <m/>
    <m/>
    <m/>
    <m/>
  </r>
  <r>
    <x v="8"/>
    <x v="31"/>
    <m/>
    <m/>
    <m/>
    <m/>
    <m/>
    <m/>
    <n v="58"/>
    <m/>
    <n v="3"/>
    <m/>
    <n v="8"/>
    <n v="13"/>
    <m/>
    <n v="1"/>
    <n v="34"/>
    <n v="38"/>
    <m/>
  </r>
  <r>
    <x v="8"/>
    <x v="32"/>
    <m/>
    <m/>
    <m/>
    <m/>
    <m/>
    <m/>
    <m/>
    <m/>
    <m/>
    <m/>
    <m/>
    <m/>
    <m/>
    <m/>
    <m/>
    <m/>
    <m/>
  </r>
  <r>
    <x v="8"/>
    <x v="33"/>
    <m/>
    <m/>
    <m/>
    <m/>
    <m/>
    <m/>
    <m/>
    <m/>
    <m/>
    <m/>
    <m/>
    <m/>
    <m/>
    <m/>
    <m/>
    <m/>
    <m/>
  </r>
  <r>
    <x v="8"/>
    <x v="34"/>
    <m/>
    <m/>
    <m/>
    <m/>
    <m/>
    <m/>
    <m/>
    <m/>
    <m/>
    <m/>
    <m/>
    <m/>
    <m/>
    <m/>
    <m/>
    <m/>
    <m/>
  </r>
  <r>
    <x v="8"/>
    <x v="35"/>
    <m/>
    <m/>
    <m/>
    <m/>
    <m/>
    <m/>
    <n v="6"/>
    <m/>
    <m/>
    <m/>
    <n v="5"/>
    <m/>
    <n v="2"/>
    <n v="2"/>
    <n v="2"/>
    <m/>
    <m/>
  </r>
  <r>
    <x v="8"/>
    <x v="36"/>
    <m/>
    <m/>
    <m/>
    <m/>
    <m/>
    <m/>
    <n v="5"/>
    <m/>
    <m/>
    <m/>
    <m/>
    <m/>
    <n v="1"/>
    <m/>
    <n v="1"/>
    <n v="5"/>
    <m/>
  </r>
  <r>
    <x v="8"/>
    <x v="37"/>
    <m/>
    <m/>
    <m/>
    <m/>
    <m/>
    <m/>
    <m/>
    <m/>
    <m/>
    <m/>
    <m/>
    <m/>
    <m/>
    <m/>
    <m/>
    <m/>
    <m/>
  </r>
  <r>
    <x v="8"/>
    <x v="38"/>
    <m/>
    <m/>
    <m/>
    <m/>
    <m/>
    <m/>
    <m/>
    <m/>
    <m/>
    <m/>
    <m/>
    <m/>
    <m/>
    <m/>
    <m/>
    <m/>
    <m/>
  </r>
  <r>
    <x v="8"/>
    <x v="39"/>
    <m/>
    <m/>
    <m/>
    <m/>
    <m/>
    <m/>
    <m/>
    <m/>
    <m/>
    <m/>
    <m/>
    <m/>
    <m/>
    <m/>
    <m/>
    <m/>
    <m/>
  </r>
  <r>
    <x v="8"/>
    <x v="40"/>
    <m/>
    <m/>
    <m/>
    <m/>
    <m/>
    <m/>
    <m/>
    <m/>
    <m/>
    <m/>
    <m/>
    <m/>
    <m/>
    <m/>
    <m/>
    <m/>
    <m/>
  </r>
  <r>
    <x v="8"/>
    <x v="41"/>
    <m/>
    <m/>
    <m/>
    <m/>
    <m/>
    <m/>
    <m/>
    <m/>
    <m/>
    <m/>
    <m/>
    <m/>
    <m/>
    <m/>
    <m/>
    <m/>
    <m/>
  </r>
  <r>
    <x v="8"/>
    <x v="42"/>
    <m/>
    <m/>
    <m/>
    <m/>
    <m/>
    <m/>
    <n v="65"/>
    <m/>
    <m/>
    <m/>
    <n v="12"/>
    <n v="9"/>
    <m/>
    <n v="5"/>
    <n v="2"/>
    <n v="5"/>
    <m/>
  </r>
  <r>
    <x v="8"/>
    <x v="43"/>
    <m/>
    <m/>
    <m/>
    <m/>
    <m/>
    <m/>
    <m/>
    <m/>
    <m/>
    <m/>
    <m/>
    <m/>
    <m/>
    <m/>
    <m/>
    <m/>
    <m/>
  </r>
  <r>
    <x v="8"/>
    <x v="44"/>
    <m/>
    <m/>
    <m/>
    <m/>
    <m/>
    <m/>
    <m/>
    <m/>
    <m/>
    <m/>
    <m/>
    <m/>
    <m/>
    <m/>
    <m/>
    <m/>
    <m/>
  </r>
  <r>
    <x v="8"/>
    <x v="45"/>
    <m/>
    <m/>
    <m/>
    <m/>
    <m/>
    <m/>
    <m/>
    <m/>
    <m/>
    <m/>
    <m/>
    <m/>
    <m/>
    <m/>
    <m/>
    <m/>
    <m/>
  </r>
  <r>
    <x v="8"/>
    <x v="46"/>
    <m/>
    <m/>
    <m/>
    <m/>
    <m/>
    <m/>
    <m/>
    <m/>
    <m/>
    <m/>
    <m/>
    <m/>
    <m/>
    <m/>
    <m/>
    <m/>
    <m/>
  </r>
  <r>
    <x v="8"/>
    <x v="47"/>
    <m/>
    <m/>
    <m/>
    <m/>
    <m/>
    <m/>
    <n v="2"/>
    <m/>
    <n v="2"/>
    <m/>
    <m/>
    <m/>
    <n v="2"/>
    <n v="1"/>
    <m/>
    <n v="2"/>
    <m/>
  </r>
  <r>
    <x v="8"/>
    <x v="48"/>
    <m/>
    <m/>
    <m/>
    <m/>
    <m/>
    <m/>
    <m/>
    <m/>
    <m/>
    <m/>
    <m/>
    <m/>
    <m/>
    <m/>
    <m/>
    <m/>
    <m/>
  </r>
  <r>
    <x v="8"/>
    <x v="49"/>
    <m/>
    <m/>
    <m/>
    <m/>
    <m/>
    <m/>
    <m/>
    <m/>
    <m/>
    <m/>
    <m/>
    <m/>
    <m/>
    <m/>
    <m/>
    <m/>
    <m/>
  </r>
  <r>
    <x v="8"/>
    <x v="50"/>
    <m/>
    <m/>
    <m/>
    <m/>
    <m/>
    <m/>
    <n v="5"/>
    <m/>
    <m/>
    <m/>
    <m/>
    <m/>
    <m/>
    <m/>
    <m/>
    <n v="5"/>
    <m/>
  </r>
  <r>
    <x v="8"/>
    <x v="51"/>
    <m/>
    <m/>
    <m/>
    <m/>
    <m/>
    <m/>
    <n v="1"/>
    <m/>
    <m/>
    <n v="2"/>
    <n v="4"/>
    <n v="6"/>
    <m/>
    <n v="1"/>
    <n v="1"/>
    <m/>
    <m/>
  </r>
  <r>
    <x v="9"/>
    <x v="0"/>
    <m/>
    <m/>
    <m/>
    <m/>
    <m/>
    <m/>
    <m/>
    <m/>
    <m/>
    <m/>
    <m/>
    <m/>
    <m/>
    <m/>
    <m/>
    <m/>
    <m/>
  </r>
  <r>
    <x v="9"/>
    <x v="1"/>
    <m/>
    <m/>
    <m/>
    <m/>
    <m/>
    <m/>
    <m/>
    <m/>
    <m/>
    <m/>
    <m/>
    <m/>
    <m/>
    <m/>
    <m/>
    <m/>
    <m/>
  </r>
  <r>
    <x v="9"/>
    <x v="2"/>
    <m/>
    <m/>
    <m/>
    <m/>
    <m/>
    <m/>
    <m/>
    <m/>
    <m/>
    <m/>
    <m/>
    <m/>
    <m/>
    <m/>
    <m/>
    <m/>
    <m/>
  </r>
  <r>
    <x v="9"/>
    <x v="3"/>
    <m/>
    <m/>
    <m/>
    <m/>
    <m/>
    <m/>
    <m/>
    <m/>
    <m/>
    <m/>
    <m/>
    <m/>
    <m/>
    <m/>
    <m/>
    <m/>
    <m/>
  </r>
  <r>
    <x v="9"/>
    <x v="4"/>
    <m/>
    <m/>
    <m/>
    <m/>
    <m/>
    <m/>
    <m/>
    <m/>
    <m/>
    <m/>
    <m/>
    <m/>
    <m/>
    <m/>
    <m/>
    <m/>
    <m/>
  </r>
  <r>
    <x v="9"/>
    <x v="5"/>
    <m/>
    <m/>
    <m/>
    <m/>
    <m/>
    <m/>
    <m/>
    <m/>
    <m/>
    <m/>
    <m/>
    <m/>
    <m/>
    <m/>
    <m/>
    <m/>
    <m/>
  </r>
  <r>
    <x v="9"/>
    <x v="6"/>
    <m/>
    <m/>
    <m/>
    <m/>
    <m/>
    <m/>
    <m/>
    <m/>
    <m/>
    <m/>
    <m/>
    <m/>
    <m/>
    <m/>
    <m/>
    <m/>
    <m/>
  </r>
  <r>
    <x v="9"/>
    <x v="7"/>
    <m/>
    <m/>
    <m/>
    <m/>
    <m/>
    <m/>
    <m/>
    <m/>
    <m/>
    <m/>
    <m/>
    <m/>
    <m/>
    <m/>
    <m/>
    <m/>
    <m/>
  </r>
  <r>
    <x v="9"/>
    <x v="8"/>
    <m/>
    <m/>
    <m/>
    <m/>
    <m/>
    <m/>
    <m/>
    <m/>
    <m/>
    <m/>
    <m/>
    <m/>
    <m/>
    <m/>
    <m/>
    <m/>
    <m/>
  </r>
  <r>
    <x v="9"/>
    <x v="9"/>
    <m/>
    <m/>
    <m/>
    <m/>
    <m/>
    <m/>
    <m/>
    <m/>
    <m/>
    <m/>
    <m/>
    <m/>
    <m/>
    <m/>
    <m/>
    <m/>
    <m/>
  </r>
  <r>
    <x v="9"/>
    <x v="10"/>
    <m/>
    <m/>
    <m/>
    <m/>
    <m/>
    <m/>
    <m/>
    <m/>
    <m/>
    <m/>
    <m/>
    <m/>
    <m/>
    <m/>
    <m/>
    <m/>
    <m/>
  </r>
  <r>
    <x v="9"/>
    <x v="11"/>
    <m/>
    <m/>
    <m/>
    <m/>
    <m/>
    <m/>
    <m/>
    <m/>
    <m/>
    <m/>
    <m/>
    <m/>
    <m/>
    <m/>
    <m/>
    <m/>
    <m/>
  </r>
  <r>
    <x v="9"/>
    <x v="12"/>
    <m/>
    <m/>
    <m/>
    <m/>
    <m/>
    <m/>
    <m/>
    <m/>
    <m/>
    <m/>
    <m/>
    <m/>
    <m/>
    <m/>
    <m/>
    <m/>
    <m/>
  </r>
  <r>
    <x v="9"/>
    <x v="13"/>
    <m/>
    <m/>
    <m/>
    <m/>
    <m/>
    <m/>
    <m/>
    <m/>
    <m/>
    <m/>
    <m/>
    <m/>
    <m/>
    <m/>
    <m/>
    <m/>
    <m/>
  </r>
  <r>
    <x v="9"/>
    <x v="14"/>
    <m/>
    <m/>
    <m/>
    <m/>
    <m/>
    <m/>
    <m/>
    <m/>
    <m/>
    <m/>
    <m/>
    <m/>
    <m/>
    <m/>
    <m/>
    <m/>
    <m/>
  </r>
  <r>
    <x v="9"/>
    <x v="15"/>
    <m/>
    <m/>
    <m/>
    <m/>
    <m/>
    <m/>
    <m/>
    <m/>
    <m/>
    <m/>
    <m/>
    <m/>
    <m/>
    <m/>
    <m/>
    <m/>
    <m/>
  </r>
  <r>
    <x v="9"/>
    <x v="16"/>
    <m/>
    <m/>
    <m/>
    <m/>
    <m/>
    <m/>
    <m/>
    <m/>
    <m/>
    <m/>
    <m/>
    <m/>
    <m/>
    <m/>
    <m/>
    <m/>
    <m/>
  </r>
  <r>
    <x v="9"/>
    <x v="17"/>
    <m/>
    <m/>
    <m/>
    <m/>
    <m/>
    <m/>
    <m/>
    <m/>
    <m/>
    <m/>
    <m/>
    <m/>
    <m/>
    <m/>
    <m/>
    <m/>
    <m/>
  </r>
  <r>
    <x v="9"/>
    <x v="18"/>
    <m/>
    <m/>
    <m/>
    <m/>
    <m/>
    <m/>
    <m/>
    <m/>
    <m/>
    <m/>
    <m/>
    <m/>
    <m/>
    <m/>
    <m/>
    <m/>
    <m/>
  </r>
  <r>
    <x v="9"/>
    <x v="19"/>
    <m/>
    <m/>
    <m/>
    <m/>
    <m/>
    <m/>
    <m/>
    <m/>
    <m/>
    <m/>
    <m/>
    <m/>
    <m/>
    <m/>
    <m/>
    <m/>
    <m/>
  </r>
  <r>
    <x v="9"/>
    <x v="20"/>
    <m/>
    <m/>
    <m/>
    <m/>
    <m/>
    <m/>
    <m/>
    <m/>
    <m/>
    <m/>
    <m/>
    <m/>
    <m/>
    <m/>
    <m/>
    <m/>
    <m/>
  </r>
  <r>
    <x v="9"/>
    <x v="21"/>
    <m/>
    <m/>
    <m/>
    <m/>
    <m/>
    <m/>
    <m/>
    <m/>
    <m/>
    <m/>
    <m/>
    <m/>
    <m/>
    <m/>
    <m/>
    <m/>
    <m/>
  </r>
  <r>
    <x v="9"/>
    <x v="22"/>
    <m/>
    <m/>
    <m/>
    <m/>
    <m/>
    <m/>
    <m/>
    <m/>
    <m/>
    <m/>
    <m/>
    <m/>
    <m/>
    <m/>
    <m/>
    <m/>
    <m/>
  </r>
  <r>
    <x v="9"/>
    <x v="23"/>
    <m/>
    <m/>
    <m/>
    <m/>
    <m/>
    <m/>
    <m/>
    <m/>
    <m/>
    <m/>
    <m/>
    <m/>
    <m/>
    <m/>
    <m/>
    <m/>
    <m/>
  </r>
  <r>
    <x v="9"/>
    <x v="24"/>
    <m/>
    <m/>
    <m/>
    <m/>
    <m/>
    <m/>
    <m/>
    <m/>
    <m/>
    <m/>
    <m/>
    <m/>
    <m/>
    <m/>
    <m/>
    <m/>
    <m/>
  </r>
  <r>
    <x v="9"/>
    <x v="25"/>
    <m/>
    <m/>
    <m/>
    <m/>
    <m/>
    <m/>
    <m/>
    <m/>
    <m/>
    <m/>
    <m/>
    <m/>
    <m/>
    <m/>
    <m/>
    <m/>
    <m/>
  </r>
  <r>
    <x v="9"/>
    <x v="26"/>
    <m/>
    <m/>
    <m/>
    <m/>
    <m/>
    <m/>
    <m/>
    <m/>
    <m/>
    <m/>
    <m/>
    <m/>
    <m/>
    <m/>
    <m/>
    <m/>
    <m/>
  </r>
  <r>
    <x v="9"/>
    <x v="27"/>
    <m/>
    <m/>
    <m/>
    <m/>
    <m/>
    <m/>
    <m/>
    <m/>
    <m/>
    <m/>
    <m/>
    <m/>
    <m/>
    <m/>
    <m/>
    <m/>
    <m/>
  </r>
  <r>
    <x v="9"/>
    <x v="28"/>
    <m/>
    <m/>
    <m/>
    <m/>
    <m/>
    <m/>
    <m/>
    <m/>
    <m/>
    <m/>
    <m/>
    <m/>
    <m/>
    <m/>
    <m/>
    <m/>
    <m/>
  </r>
  <r>
    <x v="9"/>
    <x v="29"/>
    <m/>
    <m/>
    <m/>
    <m/>
    <m/>
    <m/>
    <m/>
    <m/>
    <m/>
    <m/>
    <m/>
    <m/>
    <m/>
    <m/>
    <m/>
    <m/>
    <m/>
  </r>
  <r>
    <x v="9"/>
    <x v="30"/>
    <m/>
    <m/>
    <m/>
    <m/>
    <m/>
    <m/>
    <m/>
    <m/>
    <m/>
    <m/>
    <m/>
    <m/>
    <m/>
    <m/>
    <m/>
    <m/>
    <m/>
  </r>
  <r>
    <x v="9"/>
    <x v="31"/>
    <m/>
    <m/>
    <m/>
    <m/>
    <m/>
    <m/>
    <m/>
    <n v="1"/>
    <n v="1"/>
    <m/>
    <m/>
    <n v="1"/>
    <m/>
    <m/>
    <n v="1"/>
    <n v="4"/>
    <m/>
  </r>
  <r>
    <x v="9"/>
    <x v="32"/>
    <m/>
    <m/>
    <m/>
    <m/>
    <m/>
    <m/>
    <m/>
    <m/>
    <m/>
    <m/>
    <m/>
    <m/>
    <m/>
    <m/>
    <m/>
    <m/>
    <m/>
  </r>
  <r>
    <x v="9"/>
    <x v="33"/>
    <m/>
    <m/>
    <m/>
    <m/>
    <m/>
    <m/>
    <m/>
    <m/>
    <m/>
    <m/>
    <m/>
    <m/>
    <m/>
    <m/>
    <m/>
    <m/>
    <m/>
  </r>
  <r>
    <x v="9"/>
    <x v="34"/>
    <m/>
    <m/>
    <m/>
    <m/>
    <m/>
    <m/>
    <m/>
    <m/>
    <m/>
    <m/>
    <m/>
    <m/>
    <m/>
    <m/>
    <m/>
    <m/>
    <m/>
  </r>
  <r>
    <x v="9"/>
    <x v="35"/>
    <m/>
    <m/>
    <m/>
    <m/>
    <m/>
    <m/>
    <m/>
    <m/>
    <m/>
    <m/>
    <m/>
    <m/>
    <m/>
    <m/>
    <m/>
    <m/>
    <m/>
  </r>
  <r>
    <x v="9"/>
    <x v="36"/>
    <m/>
    <m/>
    <m/>
    <m/>
    <m/>
    <m/>
    <m/>
    <m/>
    <m/>
    <m/>
    <m/>
    <m/>
    <m/>
    <m/>
    <m/>
    <m/>
    <m/>
  </r>
  <r>
    <x v="9"/>
    <x v="37"/>
    <m/>
    <m/>
    <m/>
    <m/>
    <m/>
    <m/>
    <m/>
    <m/>
    <m/>
    <m/>
    <m/>
    <m/>
    <m/>
    <m/>
    <m/>
    <m/>
    <m/>
  </r>
  <r>
    <x v="9"/>
    <x v="38"/>
    <m/>
    <m/>
    <m/>
    <m/>
    <m/>
    <m/>
    <m/>
    <m/>
    <m/>
    <m/>
    <m/>
    <m/>
    <m/>
    <m/>
    <m/>
    <m/>
    <m/>
  </r>
  <r>
    <x v="9"/>
    <x v="39"/>
    <m/>
    <m/>
    <m/>
    <m/>
    <m/>
    <m/>
    <m/>
    <m/>
    <m/>
    <m/>
    <m/>
    <m/>
    <m/>
    <m/>
    <m/>
    <m/>
    <m/>
  </r>
  <r>
    <x v="9"/>
    <x v="40"/>
    <m/>
    <m/>
    <m/>
    <m/>
    <m/>
    <m/>
    <m/>
    <m/>
    <m/>
    <m/>
    <m/>
    <m/>
    <m/>
    <m/>
    <m/>
    <m/>
    <m/>
  </r>
  <r>
    <x v="9"/>
    <x v="41"/>
    <m/>
    <m/>
    <m/>
    <m/>
    <m/>
    <m/>
    <m/>
    <m/>
    <m/>
    <m/>
    <m/>
    <m/>
    <m/>
    <m/>
    <m/>
    <m/>
    <m/>
  </r>
  <r>
    <x v="9"/>
    <x v="42"/>
    <m/>
    <m/>
    <m/>
    <m/>
    <m/>
    <m/>
    <m/>
    <m/>
    <m/>
    <m/>
    <m/>
    <m/>
    <m/>
    <m/>
    <m/>
    <m/>
    <m/>
  </r>
  <r>
    <x v="9"/>
    <x v="43"/>
    <m/>
    <m/>
    <m/>
    <m/>
    <m/>
    <m/>
    <m/>
    <m/>
    <m/>
    <m/>
    <m/>
    <m/>
    <m/>
    <m/>
    <m/>
    <m/>
    <m/>
  </r>
  <r>
    <x v="9"/>
    <x v="44"/>
    <m/>
    <m/>
    <m/>
    <m/>
    <m/>
    <m/>
    <m/>
    <m/>
    <m/>
    <m/>
    <m/>
    <m/>
    <m/>
    <m/>
    <m/>
    <m/>
    <m/>
  </r>
  <r>
    <x v="9"/>
    <x v="45"/>
    <m/>
    <m/>
    <m/>
    <m/>
    <m/>
    <m/>
    <m/>
    <m/>
    <m/>
    <m/>
    <m/>
    <m/>
    <m/>
    <m/>
    <m/>
    <m/>
    <m/>
  </r>
  <r>
    <x v="9"/>
    <x v="46"/>
    <m/>
    <m/>
    <m/>
    <m/>
    <m/>
    <m/>
    <m/>
    <m/>
    <m/>
    <m/>
    <m/>
    <m/>
    <m/>
    <m/>
    <m/>
    <m/>
    <m/>
  </r>
  <r>
    <x v="9"/>
    <x v="47"/>
    <m/>
    <m/>
    <m/>
    <m/>
    <m/>
    <m/>
    <m/>
    <m/>
    <m/>
    <m/>
    <m/>
    <m/>
    <m/>
    <m/>
    <m/>
    <m/>
    <m/>
  </r>
  <r>
    <x v="9"/>
    <x v="48"/>
    <m/>
    <m/>
    <m/>
    <m/>
    <m/>
    <m/>
    <m/>
    <m/>
    <m/>
    <m/>
    <m/>
    <m/>
    <m/>
    <m/>
    <m/>
    <m/>
    <m/>
  </r>
  <r>
    <x v="9"/>
    <x v="49"/>
    <m/>
    <m/>
    <m/>
    <m/>
    <m/>
    <m/>
    <m/>
    <m/>
    <m/>
    <m/>
    <m/>
    <m/>
    <m/>
    <m/>
    <m/>
    <m/>
    <m/>
  </r>
  <r>
    <x v="9"/>
    <x v="50"/>
    <m/>
    <m/>
    <m/>
    <m/>
    <m/>
    <m/>
    <m/>
    <m/>
    <m/>
    <m/>
    <m/>
    <m/>
    <m/>
    <m/>
    <m/>
    <m/>
    <m/>
  </r>
  <r>
    <x v="9"/>
    <x v="51"/>
    <m/>
    <m/>
    <m/>
    <m/>
    <m/>
    <m/>
    <m/>
    <m/>
    <m/>
    <m/>
    <m/>
    <m/>
    <m/>
    <m/>
    <m/>
    <m/>
    <m/>
  </r>
  <r>
    <x v="10"/>
    <x v="0"/>
    <m/>
    <m/>
    <m/>
    <m/>
    <m/>
    <m/>
    <m/>
    <m/>
    <m/>
    <m/>
    <m/>
    <m/>
    <m/>
    <m/>
    <m/>
    <m/>
    <m/>
  </r>
  <r>
    <x v="10"/>
    <x v="1"/>
    <n v="1"/>
    <m/>
    <n v="1"/>
    <m/>
    <n v="1"/>
    <m/>
    <m/>
    <m/>
    <m/>
    <m/>
    <m/>
    <n v="3"/>
    <m/>
    <n v="1"/>
    <m/>
    <m/>
    <m/>
  </r>
  <r>
    <x v="10"/>
    <x v="2"/>
    <m/>
    <m/>
    <m/>
    <m/>
    <m/>
    <m/>
    <m/>
    <m/>
    <m/>
    <m/>
    <m/>
    <m/>
    <m/>
    <m/>
    <m/>
    <m/>
    <m/>
  </r>
  <r>
    <x v="10"/>
    <x v="3"/>
    <m/>
    <m/>
    <m/>
    <m/>
    <m/>
    <m/>
    <m/>
    <m/>
    <m/>
    <m/>
    <m/>
    <m/>
    <m/>
    <m/>
    <m/>
    <m/>
    <m/>
  </r>
  <r>
    <x v="10"/>
    <x v="4"/>
    <m/>
    <m/>
    <m/>
    <m/>
    <m/>
    <m/>
    <m/>
    <m/>
    <m/>
    <m/>
    <m/>
    <n v="2"/>
    <m/>
    <n v="3"/>
    <m/>
    <m/>
    <m/>
  </r>
  <r>
    <x v="10"/>
    <x v="5"/>
    <m/>
    <m/>
    <m/>
    <m/>
    <m/>
    <m/>
    <m/>
    <m/>
    <m/>
    <m/>
    <m/>
    <m/>
    <m/>
    <m/>
    <m/>
    <m/>
    <m/>
  </r>
  <r>
    <x v="10"/>
    <x v="6"/>
    <m/>
    <m/>
    <m/>
    <m/>
    <m/>
    <m/>
    <m/>
    <m/>
    <m/>
    <m/>
    <m/>
    <m/>
    <m/>
    <m/>
    <m/>
    <m/>
    <m/>
  </r>
  <r>
    <x v="10"/>
    <x v="7"/>
    <m/>
    <m/>
    <m/>
    <m/>
    <m/>
    <m/>
    <m/>
    <m/>
    <m/>
    <m/>
    <m/>
    <m/>
    <m/>
    <m/>
    <m/>
    <m/>
    <m/>
  </r>
  <r>
    <x v="10"/>
    <x v="8"/>
    <m/>
    <m/>
    <m/>
    <m/>
    <m/>
    <m/>
    <m/>
    <n v="2"/>
    <m/>
    <m/>
    <m/>
    <n v="6"/>
    <m/>
    <n v="6"/>
    <m/>
    <m/>
    <m/>
  </r>
  <r>
    <x v="10"/>
    <x v="9"/>
    <m/>
    <m/>
    <m/>
    <m/>
    <m/>
    <m/>
    <m/>
    <m/>
    <m/>
    <m/>
    <m/>
    <m/>
    <m/>
    <m/>
    <m/>
    <m/>
    <m/>
  </r>
  <r>
    <x v="10"/>
    <x v="10"/>
    <m/>
    <m/>
    <m/>
    <m/>
    <m/>
    <m/>
    <m/>
    <m/>
    <m/>
    <m/>
    <m/>
    <m/>
    <m/>
    <m/>
    <m/>
    <m/>
    <m/>
  </r>
  <r>
    <x v="10"/>
    <x v="11"/>
    <m/>
    <m/>
    <m/>
    <m/>
    <m/>
    <m/>
    <m/>
    <m/>
    <m/>
    <m/>
    <m/>
    <m/>
    <m/>
    <m/>
    <m/>
    <m/>
    <m/>
  </r>
  <r>
    <x v="10"/>
    <x v="12"/>
    <m/>
    <m/>
    <m/>
    <m/>
    <m/>
    <m/>
    <m/>
    <m/>
    <m/>
    <m/>
    <m/>
    <n v="2"/>
    <m/>
    <n v="2"/>
    <m/>
    <m/>
    <m/>
  </r>
  <r>
    <x v="10"/>
    <x v="13"/>
    <m/>
    <m/>
    <m/>
    <m/>
    <m/>
    <m/>
    <m/>
    <m/>
    <m/>
    <m/>
    <m/>
    <m/>
    <m/>
    <m/>
    <m/>
    <m/>
    <m/>
  </r>
  <r>
    <x v="10"/>
    <x v="14"/>
    <m/>
    <m/>
    <m/>
    <m/>
    <m/>
    <m/>
    <m/>
    <m/>
    <m/>
    <m/>
    <m/>
    <m/>
    <m/>
    <m/>
    <m/>
    <m/>
    <m/>
  </r>
  <r>
    <x v="10"/>
    <x v="15"/>
    <n v="7"/>
    <m/>
    <n v="5"/>
    <m/>
    <n v="5"/>
    <m/>
    <m/>
    <m/>
    <m/>
    <m/>
    <m/>
    <n v="7"/>
    <m/>
    <n v="4"/>
    <m/>
    <m/>
    <m/>
  </r>
  <r>
    <x v="10"/>
    <x v="16"/>
    <m/>
    <m/>
    <m/>
    <m/>
    <m/>
    <m/>
    <m/>
    <m/>
    <m/>
    <m/>
    <m/>
    <m/>
    <m/>
    <m/>
    <m/>
    <m/>
    <m/>
  </r>
  <r>
    <x v="10"/>
    <x v="17"/>
    <m/>
    <m/>
    <m/>
    <m/>
    <m/>
    <m/>
    <m/>
    <m/>
    <m/>
    <m/>
    <m/>
    <m/>
    <m/>
    <m/>
    <m/>
    <m/>
    <m/>
  </r>
  <r>
    <x v="10"/>
    <x v="18"/>
    <m/>
    <m/>
    <m/>
    <m/>
    <m/>
    <m/>
    <m/>
    <m/>
    <m/>
    <m/>
    <m/>
    <m/>
    <m/>
    <m/>
    <m/>
    <m/>
    <m/>
  </r>
  <r>
    <x v="10"/>
    <x v="19"/>
    <m/>
    <m/>
    <m/>
    <m/>
    <m/>
    <m/>
    <m/>
    <m/>
    <m/>
    <m/>
    <m/>
    <m/>
    <m/>
    <m/>
    <m/>
    <m/>
    <m/>
  </r>
  <r>
    <x v="10"/>
    <x v="20"/>
    <m/>
    <m/>
    <m/>
    <m/>
    <m/>
    <m/>
    <m/>
    <m/>
    <m/>
    <m/>
    <m/>
    <m/>
    <m/>
    <m/>
    <m/>
    <m/>
    <m/>
  </r>
  <r>
    <x v="10"/>
    <x v="21"/>
    <m/>
    <m/>
    <m/>
    <m/>
    <m/>
    <m/>
    <m/>
    <m/>
    <m/>
    <m/>
    <m/>
    <m/>
    <m/>
    <m/>
    <m/>
    <m/>
    <m/>
  </r>
  <r>
    <x v="10"/>
    <x v="22"/>
    <m/>
    <m/>
    <m/>
    <m/>
    <m/>
    <m/>
    <m/>
    <m/>
    <m/>
    <m/>
    <m/>
    <m/>
    <m/>
    <m/>
    <m/>
    <m/>
    <m/>
  </r>
  <r>
    <x v="10"/>
    <x v="23"/>
    <m/>
    <m/>
    <m/>
    <m/>
    <m/>
    <m/>
    <m/>
    <m/>
    <m/>
    <m/>
    <m/>
    <m/>
    <m/>
    <m/>
    <m/>
    <m/>
    <m/>
  </r>
  <r>
    <x v="10"/>
    <x v="24"/>
    <m/>
    <m/>
    <m/>
    <m/>
    <m/>
    <m/>
    <m/>
    <m/>
    <m/>
    <m/>
    <m/>
    <m/>
    <m/>
    <m/>
    <m/>
    <m/>
    <m/>
  </r>
  <r>
    <x v="10"/>
    <x v="25"/>
    <m/>
    <m/>
    <m/>
    <m/>
    <m/>
    <m/>
    <m/>
    <m/>
    <m/>
    <m/>
    <m/>
    <n v="1"/>
    <n v="1"/>
    <n v="1"/>
    <n v="1"/>
    <m/>
    <m/>
  </r>
  <r>
    <x v="10"/>
    <x v="26"/>
    <m/>
    <m/>
    <m/>
    <m/>
    <m/>
    <m/>
    <m/>
    <m/>
    <m/>
    <m/>
    <m/>
    <m/>
    <m/>
    <m/>
    <m/>
    <m/>
    <m/>
  </r>
  <r>
    <x v="10"/>
    <x v="27"/>
    <m/>
    <m/>
    <m/>
    <m/>
    <m/>
    <m/>
    <m/>
    <m/>
    <m/>
    <m/>
    <m/>
    <m/>
    <m/>
    <m/>
    <m/>
    <m/>
    <m/>
  </r>
  <r>
    <x v="10"/>
    <x v="28"/>
    <m/>
    <m/>
    <m/>
    <m/>
    <m/>
    <m/>
    <m/>
    <m/>
    <m/>
    <m/>
    <m/>
    <m/>
    <m/>
    <m/>
    <m/>
    <m/>
    <m/>
  </r>
  <r>
    <x v="10"/>
    <x v="29"/>
    <m/>
    <m/>
    <m/>
    <m/>
    <m/>
    <m/>
    <m/>
    <m/>
    <m/>
    <m/>
    <m/>
    <m/>
    <m/>
    <m/>
    <m/>
    <m/>
    <m/>
  </r>
  <r>
    <x v="10"/>
    <x v="30"/>
    <m/>
    <m/>
    <m/>
    <m/>
    <m/>
    <m/>
    <m/>
    <m/>
    <m/>
    <m/>
    <m/>
    <m/>
    <m/>
    <m/>
    <m/>
    <m/>
    <m/>
  </r>
  <r>
    <x v="10"/>
    <x v="31"/>
    <m/>
    <m/>
    <m/>
    <m/>
    <m/>
    <m/>
    <m/>
    <m/>
    <m/>
    <m/>
    <m/>
    <m/>
    <m/>
    <m/>
    <m/>
    <m/>
    <m/>
  </r>
  <r>
    <x v="10"/>
    <x v="32"/>
    <n v="11"/>
    <n v="11"/>
    <n v="11"/>
    <n v="11"/>
    <n v="4"/>
    <n v="4"/>
    <m/>
    <m/>
    <m/>
    <n v="2"/>
    <m/>
    <n v="11"/>
    <n v="12"/>
    <n v="2"/>
    <m/>
    <n v="12"/>
    <m/>
  </r>
  <r>
    <x v="10"/>
    <x v="33"/>
    <m/>
    <m/>
    <m/>
    <m/>
    <m/>
    <m/>
    <m/>
    <m/>
    <m/>
    <m/>
    <m/>
    <m/>
    <m/>
    <m/>
    <m/>
    <m/>
    <m/>
  </r>
  <r>
    <x v="10"/>
    <x v="34"/>
    <m/>
    <m/>
    <m/>
    <m/>
    <m/>
    <m/>
    <m/>
    <m/>
    <m/>
    <m/>
    <m/>
    <m/>
    <m/>
    <m/>
    <m/>
    <m/>
    <m/>
  </r>
  <r>
    <x v="10"/>
    <x v="35"/>
    <n v="4"/>
    <n v="11"/>
    <n v="2"/>
    <n v="10"/>
    <n v="2"/>
    <m/>
    <m/>
    <m/>
    <m/>
    <m/>
    <m/>
    <n v="6"/>
    <m/>
    <n v="4"/>
    <m/>
    <n v="6"/>
    <m/>
  </r>
  <r>
    <x v="10"/>
    <x v="36"/>
    <m/>
    <m/>
    <m/>
    <m/>
    <m/>
    <m/>
    <m/>
    <m/>
    <m/>
    <m/>
    <m/>
    <m/>
    <m/>
    <m/>
    <m/>
    <m/>
    <m/>
  </r>
  <r>
    <x v="10"/>
    <x v="37"/>
    <m/>
    <m/>
    <m/>
    <m/>
    <m/>
    <m/>
    <m/>
    <m/>
    <m/>
    <m/>
    <m/>
    <m/>
    <m/>
    <m/>
    <m/>
    <m/>
    <m/>
  </r>
  <r>
    <x v="10"/>
    <x v="38"/>
    <m/>
    <m/>
    <m/>
    <m/>
    <m/>
    <m/>
    <m/>
    <n v="1"/>
    <n v="3"/>
    <m/>
    <m/>
    <n v="2"/>
    <m/>
    <n v="2"/>
    <m/>
    <m/>
    <m/>
  </r>
  <r>
    <x v="10"/>
    <x v="39"/>
    <m/>
    <m/>
    <m/>
    <m/>
    <m/>
    <m/>
    <m/>
    <m/>
    <m/>
    <m/>
    <m/>
    <m/>
    <m/>
    <m/>
    <m/>
    <m/>
    <m/>
  </r>
  <r>
    <x v="10"/>
    <x v="40"/>
    <m/>
    <m/>
    <m/>
    <m/>
    <m/>
    <m/>
    <m/>
    <m/>
    <m/>
    <m/>
    <m/>
    <m/>
    <m/>
    <m/>
    <m/>
    <m/>
    <m/>
  </r>
  <r>
    <x v="10"/>
    <x v="41"/>
    <m/>
    <m/>
    <m/>
    <m/>
    <m/>
    <m/>
    <m/>
    <m/>
    <m/>
    <m/>
    <m/>
    <m/>
    <m/>
    <m/>
    <m/>
    <m/>
    <m/>
  </r>
  <r>
    <x v="10"/>
    <x v="42"/>
    <m/>
    <m/>
    <m/>
    <m/>
    <m/>
    <m/>
    <n v="1"/>
    <n v="2"/>
    <m/>
    <m/>
    <m/>
    <n v="7"/>
    <m/>
    <n v="7"/>
    <n v="1"/>
    <m/>
    <m/>
  </r>
  <r>
    <x v="10"/>
    <x v="43"/>
    <n v="2"/>
    <m/>
    <n v="2"/>
    <m/>
    <n v="2"/>
    <m/>
    <n v="2"/>
    <m/>
    <m/>
    <m/>
    <m/>
    <n v="3"/>
    <m/>
    <n v="1"/>
    <m/>
    <m/>
    <m/>
  </r>
  <r>
    <x v="10"/>
    <x v="44"/>
    <m/>
    <m/>
    <m/>
    <m/>
    <m/>
    <m/>
    <m/>
    <m/>
    <m/>
    <m/>
    <m/>
    <m/>
    <m/>
    <m/>
    <m/>
    <m/>
    <m/>
  </r>
  <r>
    <x v="10"/>
    <x v="45"/>
    <m/>
    <m/>
    <m/>
    <m/>
    <m/>
    <m/>
    <m/>
    <m/>
    <m/>
    <m/>
    <m/>
    <m/>
    <m/>
    <m/>
    <m/>
    <m/>
    <m/>
  </r>
  <r>
    <x v="10"/>
    <x v="46"/>
    <m/>
    <m/>
    <m/>
    <m/>
    <m/>
    <m/>
    <m/>
    <m/>
    <m/>
    <m/>
    <m/>
    <m/>
    <m/>
    <m/>
    <m/>
    <m/>
    <m/>
  </r>
  <r>
    <x v="10"/>
    <x v="47"/>
    <m/>
    <m/>
    <m/>
    <m/>
    <m/>
    <m/>
    <m/>
    <m/>
    <m/>
    <m/>
    <m/>
    <m/>
    <m/>
    <m/>
    <m/>
    <m/>
    <m/>
  </r>
  <r>
    <x v="10"/>
    <x v="48"/>
    <m/>
    <m/>
    <m/>
    <m/>
    <m/>
    <m/>
    <m/>
    <m/>
    <m/>
    <m/>
    <m/>
    <m/>
    <m/>
    <m/>
    <m/>
    <m/>
    <m/>
  </r>
  <r>
    <x v="10"/>
    <x v="49"/>
    <m/>
    <m/>
    <m/>
    <m/>
    <m/>
    <m/>
    <m/>
    <m/>
    <m/>
    <m/>
    <m/>
    <m/>
    <n v="1"/>
    <n v="1"/>
    <n v="1"/>
    <n v="1"/>
    <m/>
  </r>
  <r>
    <x v="10"/>
    <x v="50"/>
    <m/>
    <m/>
    <m/>
    <m/>
    <m/>
    <m/>
    <m/>
    <m/>
    <m/>
    <m/>
    <m/>
    <m/>
    <m/>
    <m/>
    <m/>
    <m/>
    <m/>
  </r>
  <r>
    <x v="10"/>
    <x v="51"/>
    <n v="3"/>
    <m/>
    <n v="3"/>
    <m/>
    <n v="3"/>
    <m/>
    <n v="3"/>
    <m/>
    <m/>
    <m/>
    <m/>
    <n v="7"/>
    <m/>
    <n v="2"/>
    <m/>
    <m/>
    <m/>
  </r>
  <r>
    <x v="11"/>
    <x v="0"/>
    <m/>
    <m/>
    <m/>
    <m/>
    <m/>
    <m/>
    <m/>
    <m/>
    <m/>
    <m/>
    <m/>
    <m/>
    <m/>
    <m/>
    <m/>
    <m/>
    <m/>
  </r>
  <r>
    <x v="11"/>
    <x v="1"/>
    <m/>
    <m/>
    <m/>
    <m/>
    <m/>
    <m/>
    <m/>
    <m/>
    <m/>
    <m/>
    <m/>
    <m/>
    <m/>
    <m/>
    <m/>
    <m/>
    <m/>
  </r>
  <r>
    <x v="11"/>
    <x v="2"/>
    <m/>
    <m/>
    <m/>
    <m/>
    <m/>
    <m/>
    <m/>
    <m/>
    <m/>
    <m/>
    <m/>
    <m/>
    <m/>
    <m/>
    <m/>
    <m/>
    <m/>
  </r>
  <r>
    <x v="11"/>
    <x v="3"/>
    <m/>
    <m/>
    <m/>
    <m/>
    <m/>
    <m/>
    <m/>
    <m/>
    <m/>
    <m/>
    <m/>
    <m/>
    <m/>
    <m/>
    <m/>
    <m/>
    <m/>
  </r>
  <r>
    <x v="11"/>
    <x v="4"/>
    <m/>
    <m/>
    <m/>
    <m/>
    <m/>
    <m/>
    <m/>
    <m/>
    <m/>
    <m/>
    <m/>
    <m/>
    <m/>
    <m/>
    <m/>
    <m/>
    <m/>
  </r>
  <r>
    <x v="11"/>
    <x v="5"/>
    <m/>
    <m/>
    <m/>
    <m/>
    <m/>
    <m/>
    <m/>
    <m/>
    <m/>
    <m/>
    <m/>
    <m/>
    <m/>
    <m/>
    <m/>
    <m/>
    <m/>
  </r>
  <r>
    <x v="11"/>
    <x v="6"/>
    <m/>
    <m/>
    <m/>
    <m/>
    <m/>
    <m/>
    <m/>
    <m/>
    <m/>
    <m/>
    <m/>
    <m/>
    <m/>
    <m/>
    <m/>
    <m/>
    <m/>
  </r>
  <r>
    <x v="11"/>
    <x v="7"/>
    <m/>
    <m/>
    <m/>
    <m/>
    <m/>
    <m/>
    <m/>
    <m/>
    <m/>
    <m/>
    <m/>
    <m/>
    <m/>
    <m/>
    <m/>
    <m/>
    <m/>
  </r>
  <r>
    <x v="11"/>
    <x v="8"/>
    <m/>
    <m/>
    <m/>
    <m/>
    <m/>
    <m/>
    <m/>
    <m/>
    <m/>
    <m/>
    <m/>
    <m/>
    <m/>
    <m/>
    <m/>
    <m/>
    <m/>
  </r>
  <r>
    <x v="11"/>
    <x v="9"/>
    <m/>
    <m/>
    <m/>
    <m/>
    <m/>
    <m/>
    <m/>
    <m/>
    <m/>
    <m/>
    <m/>
    <m/>
    <m/>
    <m/>
    <m/>
    <m/>
    <m/>
  </r>
  <r>
    <x v="11"/>
    <x v="10"/>
    <m/>
    <m/>
    <m/>
    <m/>
    <m/>
    <m/>
    <m/>
    <m/>
    <m/>
    <m/>
    <m/>
    <m/>
    <m/>
    <m/>
    <m/>
    <m/>
    <m/>
  </r>
  <r>
    <x v="11"/>
    <x v="11"/>
    <m/>
    <m/>
    <m/>
    <m/>
    <m/>
    <m/>
    <m/>
    <m/>
    <m/>
    <m/>
    <m/>
    <m/>
    <m/>
    <m/>
    <m/>
    <m/>
    <m/>
  </r>
  <r>
    <x v="11"/>
    <x v="12"/>
    <m/>
    <m/>
    <m/>
    <m/>
    <m/>
    <m/>
    <m/>
    <m/>
    <m/>
    <m/>
    <m/>
    <m/>
    <m/>
    <m/>
    <m/>
    <m/>
    <m/>
  </r>
  <r>
    <x v="11"/>
    <x v="13"/>
    <m/>
    <m/>
    <m/>
    <m/>
    <m/>
    <m/>
    <m/>
    <m/>
    <m/>
    <m/>
    <m/>
    <m/>
    <m/>
    <m/>
    <m/>
    <m/>
    <m/>
  </r>
  <r>
    <x v="11"/>
    <x v="14"/>
    <m/>
    <m/>
    <m/>
    <m/>
    <m/>
    <m/>
    <m/>
    <m/>
    <m/>
    <m/>
    <m/>
    <m/>
    <m/>
    <m/>
    <m/>
    <m/>
    <m/>
  </r>
  <r>
    <x v="11"/>
    <x v="15"/>
    <m/>
    <m/>
    <m/>
    <m/>
    <m/>
    <m/>
    <m/>
    <m/>
    <m/>
    <m/>
    <m/>
    <m/>
    <m/>
    <m/>
    <m/>
    <m/>
    <m/>
  </r>
  <r>
    <x v="11"/>
    <x v="16"/>
    <m/>
    <m/>
    <m/>
    <m/>
    <m/>
    <m/>
    <m/>
    <m/>
    <m/>
    <m/>
    <m/>
    <m/>
    <m/>
    <m/>
    <m/>
    <m/>
    <m/>
  </r>
  <r>
    <x v="11"/>
    <x v="17"/>
    <m/>
    <m/>
    <m/>
    <m/>
    <m/>
    <m/>
    <m/>
    <m/>
    <m/>
    <m/>
    <m/>
    <m/>
    <m/>
    <m/>
    <m/>
    <m/>
    <m/>
  </r>
  <r>
    <x v="11"/>
    <x v="18"/>
    <m/>
    <m/>
    <m/>
    <m/>
    <m/>
    <m/>
    <m/>
    <m/>
    <m/>
    <m/>
    <m/>
    <m/>
    <m/>
    <m/>
    <m/>
    <m/>
    <m/>
  </r>
  <r>
    <x v="11"/>
    <x v="19"/>
    <m/>
    <m/>
    <m/>
    <m/>
    <m/>
    <m/>
    <m/>
    <m/>
    <m/>
    <m/>
    <m/>
    <m/>
    <m/>
    <m/>
    <m/>
    <m/>
    <m/>
  </r>
  <r>
    <x v="11"/>
    <x v="20"/>
    <m/>
    <m/>
    <m/>
    <m/>
    <m/>
    <m/>
    <m/>
    <m/>
    <m/>
    <m/>
    <m/>
    <m/>
    <m/>
    <m/>
    <m/>
    <m/>
    <m/>
  </r>
  <r>
    <x v="11"/>
    <x v="21"/>
    <m/>
    <m/>
    <m/>
    <m/>
    <m/>
    <m/>
    <m/>
    <m/>
    <m/>
    <m/>
    <m/>
    <m/>
    <m/>
    <m/>
    <m/>
    <m/>
    <m/>
  </r>
  <r>
    <x v="11"/>
    <x v="22"/>
    <m/>
    <m/>
    <m/>
    <m/>
    <m/>
    <m/>
    <m/>
    <m/>
    <m/>
    <m/>
    <m/>
    <m/>
    <m/>
    <m/>
    <m/>
    <m/>
    <m/>
  </r>
  <r>
    <x v="11"/>
    <x v="23"/>
    <m/>
    <m/>
    <m/>
    <m/>
    <m/>
    <m/>
    <m/>
    <m/>
    <m/>
    <m/>
    <m/>
    <m/>
    <m/>
    <m/>
    <m/>
    <m/>
    <m/>
  </r>
  <r>
    <x v="11"/>
    <x v="24"/>
    <m/>
    <m/>
    <m/>
    <m/>
    <m/>
    <m/>
    <m/>
    <m/>
    <m/>
    <m/>
    <m/>
    <m/>
    <m/>
    <m/>
    <m/>
    <m/>
    <m/>
  </r>
  <r>
    <x v="11"/>
    <x v="25"/>
    <m/>
    <m/>
    <m/>
    <m/>
    <m/>
    <m/>
    <m/>
    <m/>
    <m/>
    <m/>
    <m/>
    <m/>
    <m/>
    <m/>
    <m/>
    <m/>
    <m/>
  </r>
  <r>
    <x v="11"/>
    <x v="26"/>
    <m/>
    <m/>
    <m/>
    <m/>
    <m/>
    <m/>
    <m/>
    <m/>
    <m/>
    <m/>
    <m/>
    <m/>
    <m/>
    <m/>
    <m/>
    <m/>
    <m/>
  </r>
  <r>
    <x v="11"/>
    <x v="27"/>
    <m/>
    <m/>
    <m/>
    <m/>
    <m/>
    <m/>
    <m/>
    <m/>
    <m/>
    <m/>
    <m/>
    <m/>
    <m/>
    <m/>
    <m/>
    <m/>
    <m/>
  </r>
  <r>
    <x v="11"/>
    <x v="28"/>
    <m/>
    <m/>
    <m/>
    <m/>
    <m/>
    <m/>
    <m/>
    <m/>
    <m/>
    <m/>
    <m/>
    <m/>
    <m/>
    <m/>
    <m/>
    <m/>
    <m/>
  </r>
  <r>
    <x v="11"/>
    <x v="29"/>
    <m/>
    <m/>
    <m/>
    <m/>
    <m/>
    <m/>
    <m/>
    <m/>
    <m/>
    <m/>
    <m/>
    <m/>
    <m/>
    <m/>
    <m/>
    <m/>
    <m/>
  </r>
  <r>
    <x v="11"/>
    <x v="30"/>
    <m/>
    <m/>
    <m/>
    <m/>
    <m/>
    <m/>
    <m/>
    <m/>
    <m/>
    <m/>
    <m/>
    <m/>
    <m/>
    <m/>
    <m/>
    <m/>
    <m/>
  </r>
  <r>
    <x v="11"/>
    <x v="31"/>
    <m/>
    <m/>
    <m/>
    <m/>
    <m/>
    <m/>
    <m/>
    <m/>
    <m/>
    <m/>
    <n v="2"/>
    <n v="2"/>
    <n v="2"/>
    <m/>
    <n v="2"/>
    <n v="2"/>
    <m/>
  </r>
  <r>
    <x v="11"/>
    <x v="32"/>
    <m/>
    <m/>
    <m/>
    <m/>
    <m/>
    <m/>
    <m/>
    <m/>
    <m/>
    <m/>
    <m/>
    <m/>
    <m/>
    <m/>
    <m/>
    <m/>
    <m/>
  </r>
  <r>
    <x v="11"/>
    <x v="33"/>
    <m/>
    <m/>
    <m/>
    <m/>
    <m/>
    <m/>
    <m/>
    <m/>
    <m/>
    <m/>
    <m/>
    <m/>
    <m/>
    <m/>
    <m/>
    <m/>
    <m/>
  </r>
  <r>
    <x v="11"/>
    <x v="34"/>
    <m/>
    <m/>
    <m/>
    <m/>
    <m/>
    <m/>
    <m/>
    <m/>
    <m/>
    <m/>
    <m/>
    <m/>
    <m/>
    <m/>
    <m/>
    <m/>
    <m/>
  </r>
  <r>
    <x v="11"/>
    <x v="35"/>
    <m/>
    <m/>
    <m/>
    <m/>
    <m/>
    <m/>
    <m/>
    <m/>
    <m/>
    <m/>
    <m/>
    <m/>
    <m/>
    <m/>
    <m/>
    <m/>
    <m/>
  </r>
  <r>
    <x v="11"/>
    <x v="36"/>
    <m/>
    <m/>
    <m/>
    <m/>
    <m/>
    <m/>
    <m/>
    <m/>
    <m/>
    <m/>
    <m/>
    <m/>
    <m/>
    <m/>
    <m/>
    <m/>
    <m/>
  </r>
  <r>
    <x v="11"/>
    <x v="37"/>
    <m/>
    <m/>
    <m/>
    <m/>
    <m/>
    <m/>
    <m/>
    <m/>
    <m/>
    <m/>
    <m/>
    <m/>
    <m/>
    <m/>
    <m/>
    <m/>
    <m/>
  </r>
  <r>
    <x v="11"/>
    <x v="38"/>
    <m/>
    <m/>
    <m/>
    <m/>
    <m/>
    <m/>
    <m/>
    <m/>
    <m/>
    <m/>
    <m/>
    <m/>
    <m/>
    <m/>
    <m/>
    <m/>
    <m/>
  </r>
  <r>
    <x v="11"/>
    <x v="39"/>
    <m/>
    <m/>
    <m/>
    <m/>
    <m/>
    <m/>
    <m/>
    <m/>
    <m/>
    <m/>
    <m/>
    <m/>
    <m/>
    <m/>
    <m/>
    <m/>
    <m/>
  </r>
  <r>
    <x v="11"/>
    <x v="40"/>
    <m/>
    <m/>
    <m/>
    <m/>
    <m/>
    <m/>
    <m/>
    <m/>
    <m/>
    <m/>
    <m/>
    <m/>
    <m/>
    <m/>
    <m/>
    <m/>
    <m/>
  </r>
  <r>
    <x v="11"/>
    <x v="41"/>
    <m/>
    <m/>
    <m/>
    <m/>
    <m/>
    <m/>
    <m/>
    <m/>
    <m/>
    <m/>
    <m/>
    <m/>
    <m/>
    <m/>
    <m/>
    <m/>
    <m/>
  </r>
  <r>
    <x v="11"/>
    <x v="42"/>
    <m/>
    <m/>
    <m/>
    <m/>
    <m/>
    <m/>
    <m/>
    <m/>
    <m/>
    <m/>
    <m/>
    <m/>
    <m/>
    <m/>
    <m/>
    <m/>
    <m/>
  </r>
  <r>
    <x v="11"/>
    <x v="43"/>
    <m/>
    <m/>
    <m/>
    <m/>
    <m/>
    <m/>
    <m/>
    <m/>
    <m/>
    <m/>
    <m/>
    <m/>
    <m/>
    <m/>
    <m/>
    <m/>
    <m/>
  </r>
  <r>
    <x v="11"/>
    <x v="44"/>
    <m/>
    <m/>
    <m/>
    <m/>
    <m/>
    <m/>
    <m/>
    <m/>
    <m/>
    <m/>
    <m/>
    <m/>
    <m/>
    <m/>
    <m/>
    <m/>
    <m/>
  </r>
  <r>
    <x v="11"/>
    <x v="45"/>
    <m/>
    <m/>
    <m/>
    <m/>
    <m/>
    <m/>
    <m/>
    <m/>
    <m/>
    <m/>
    <m/>
    <m/>
    <m/>
    <m/>
    <m/>
    <m/>
    <m/>
  </r>
  <r>
    <x v="11"/>
    <x v="46"/>
    <m/>
    <m/>
    <m/>
    <m/>
    <m/>
    <m/>
    <m/>
    <m/>
    <m/>
    <m/>
    <m/>
    <m/>
    <m/>
    <m/>
    <m/>
    <m/>
    <m/>
  </r>
  <r>
    <x v="11"/>
    <x v="47"/>
    <m/>
    <m/>
    <m/>
    <m/>
    <m/>
    <m/>
    <m/>
    <m/>
    <m/>
    <m/>
    <m/>
    <m/>
    <m/>
    <m/>
    <m/>
    <m/>
    <m/>
  </r>
  <r>
    <x v="11"/>
    <x v="48"/>
    <m/>
    <m/>
    <m/>
    <m/>
    <m/>
    <m/>
    <m/>
    <m/>
    <m/>
    <m/>
    <m/>
    <m/>
    <m/>
    <m/>
    <m/>
    <m/>
    <m/>
  </r>
  <r>
    <x v="11"/>
    <x v="49"/>
    <m/>
    <m/>
    <m/>
    <m/>
    <m/>
    <m/>
    <m/>
    <m/>
    <m/>
    <m/>
    <m/>
    <m/>
    <m/>
    <m/>
    <m/>
    <m/>
    <m/>
  </r>
  <r>
    <x v="11"/>
    <x v="50"/>
    <m/>
    <m/>
    <m/>
    <m/>
    <m/>
    <m/>
    <m/>
    <m/>
    <m/>
    <m/>
    <m/>
    <m/>
    <m/>
    <m/>
    <m/>
    <m/>
    <m/>
  </r>
  <r>
    <x v="11"/>
    <x v="51"/>
    <m/>
    <m/>
    <m/>
    <m/>
    <m/>
    <m/>
    <m/>
    <m/>
    <m/>
    <m/>
    <m/>
    <m/>
    <m/>
    <m/>
    <m/>
    <m/>
    <m/>
  </r>
  <r>
    <x v="12"/>
    <x v="0"/>
    <m/>
    <m/>
    <m/>
    <m/>
    <m/>
    <m/>
    <m/>
    <m/>
    <m/>
    <m/>
    <m/>
    <m/>
    <m/>
    <m/>
    <m/>
    <m/>
    <m/>
  </r>
  <r>
    <x v="12"/>
    <x v="1"/>
    <m/>
    <m/>
    <m/>
    <m/>
    <m/>
    <m/>
    <m/>
    <m/>
    <m/>
    <m/>
    <m/>
    <m/>
    <m/>
    <m/>
    <m/>
    <m/>
    <m/>
  </r>
  <r>
    <x v="12"/>
    <x v="2"/>
    <m/>
    <m/>
    <m/>
    <m/>
    <m/>
    <m/>
    <m/>
    <m/>
    <m/>
    <m/>
    <m/>
    <m/>
    <m/>
    <m/>
    <m/>
    <m/>
    <m/>
  </r>
  <r>
    <x v="12"/>
    <x v="3"/>
    <m/>
    <m/>
    <m/>
    <m/>
    <m/>
    <m/>
    <m/>
    <m/>
    <m/>
    <m/>
    <m/>
    <m/>
    <m/>
    <m/>
    <m/>
    <m/>
    <m/>
  </r>
  <r>
    <x v="12"/>
    <x v="4"/>
    <m/>
    <m/>
    <m/>
    <m/>
    <m/>
    <m/>
    <m/>
    <m/>
    <m/>
    <m/>
    <m/>
    <m/>
    <m/>
    <m/>
    <m/>
    <m/>
    <m/>
  </r>
  <r>
    <x v="12"/>
    <x v="5"/>
    <m/>
    <m/>
    <m/>
    <m/>
    <m/>
    <m/>
    <m/>
    <m/>
    <m/>
    <m/>
    <m/>
    <m/>
    <m/>
    <m/>
    <m/>
    <m/>
    <m/>
  </r>
  <r>
    <x v="12"/>
    <x v="6"/>
    <m/>
    <m/>
    <m/>
    <m/>
    <m/>
    <m/>
    <m/>
    <m/>
    <m/>
    <m/>
    <m/>
    <m/>
    <m/>
    <m/>
    <m/>
    <m/>
    <m/>
  </r>
  <r>
    <x v="12"/>
    <x v="7"/>
    <m/>
    <m/>
    <m/>
    <m/>
    <m/>
    <m/>
    <m/>
    <m/>
    <m/>
    <m/>
    <m/>
    <m/>
    <m/>
    <m/>
    <m/>
    <m/>
    <m/>
  </r>
  <r>
    <x v="12"/>
    <x v="8"/>
    <m/>
    <m/>
    <m/>
    <m/>
    <m/>
    <m/>
    <m/>
    <m/>
    <m/>
    <m/>
    <m/>
    <m/>
    <m/>
    <m/>
    <m/>
    <m/>
    <m/>
  </r>
  <r>
    <x v="12"/>
    <x v="9"/>
    <m/>
    <m/>
    <m/>
    <m/>
    <m/>
    <m/>
    <n v="1"/>
    <m/>
    <m/>
    <m/>
    <n v="1"/>
    <m/>
    <n v="1"/>
    <n v="1"/>
    <n v="1"/>
    <n v="1"/>
    <m/>
  </r>
  <r>
    <x v="12"/>
    <x v="10"/>
    <m/>
    <m/>
    <m/>
    <m/>
    <m/>
    <m/>
    <m/>
    <m/>
    <m/>
    <m/>
    <m/>
    <m/>
    <m/>
    <m/>
    <m/>
    <m/>
    <m/>
  </r>
  <r>
    <x v="12"/>
    <x v="11"/>
    <m/>
    <m/>
    <m/>
    <m/>
    <m/>
    <m/>
    <m/>
    <m/>
    <m/>
    <m/>
    <m/>
    <m/>
    <m/>
    <m/>
    <m/>
    <m/>
    <m/>
  </r>
  <r>
    <x v="12"/>
    <x v="12"/>
    <m/>
    <m/>
    <m/>
    <m/>
    <m/>
    <m/>
    <m/>
    <m/>
    <m/>
    <m/>
    <m/>
    <m/>
    <m/>
    <m/>
    <m/>
    <m/>
    <m/>
  </r>
  <r>
    <x v="12"/>
    <x v="13"/>
    <m/>
    <m/>
    <m/>
    <m/>
    <m/>
    <m/>
    <m/>
    <m/>
    <m/>
    <m/>
    <m/>
    <m/>
    <m/>
    <m/>
    <m/>
    <m/>
    <m/>
  </r>
  <r>
    <x v="12"/>
    <x v="14"/>
    <m/>
    <m/>
    <m/>
    <m/>
    <m/>
    <m/>
    <m/>
    <m/>
    <m/>
    <m/>
    <m/>
    <m/>
    <m/>
    <m/>
    <m/>
    <m/>
    <m/>
  </r>
  <r>
    <x v="12"/>
    <x v="15"/>
    <m/>
    <m/>
    <m/>
    <m/>
    <m/>
    <m/>
    <m/>
    <m/>
    <m/>
    <m/>
    <m/>
    <m/>
    <m/>
    <m/>
    <m/>
    <m/>
    <m/>
  </r>
  <r>
    <x v="12"/>
    <x v="16"/>
    <m/>
    <m/>
    <m/>
    <m/>
    <m/>
    <m/>
    <m/>
    <m/>
    <m/>
    <m/>
    <m/>
    <m/>
    <m/>
    <m/>
    <m/>
    <m/>
    <m/>
  </r>
  <r>
    <x v="12"/>
    <x v="17"/>
    <m/>
    <m/>
    <m/>
    <m/>
    <m/>
    <m/>
    <m/>
    <m/>
    <m/>
    <m/>
    <m/>
    <m/>
    <m/>
    <m/>
    <m/>
    <m/>
    <m/>
  </r>
  <r>
    <x v="12"/>
    <x v="18"/>
    <m/>
    <m/>
    <m/>
    <m/>
    <m/>
    <m/>
    <m/>
    <m/>
    <m/>
    <m/>
    <m/>
    <m/>
    <m/>
    <m/>
    <m/>
    <m/>
    <m/>
  </r>
  <r>
    <x v="12"/>
    <x v="19"/>
    <m/>
    <m/>
    <m/>
    <m/>
    <m/>
    <m/>
    <m/>
    <m/>
    <m/>
    <m/>
    <m/>
    <m/>
    <m/>
    <m/>
    <m/>
    <m/>
    <m/>
  </r>
  <r>
    <x v="12"/>
    <x v="20"/>
    <m/>
    <m/>
    <m/>
    <m/>
    <m/>
    <m/>
    <m/>
    <m/>
    <m/>
    <m/>
    <m/>
    <m/>
    <m/>
    <m/>
    <m/>
    <m/>
    <m/>
  </r>
  <r>
    <x v="12"/>
    <x v="21"/>
    <m/>
    <m/>
    <m/>
    <m/>
    <m/>
    <m/>
    <m/>
    <m/>
    <m/>
    <m/>
    <m/>
    <m/>
    <m/>
    <m/>
    <m/>
    <m/>
    <m/>
  </r>
  <r>
    <x v="12"/>
    <x v="22"/>
    <m/>
    <m/>
    <m/>
    <m/>
    <m/>
    <m/>
    <m/>
    <m/>
    <m/>
    <m/>
    <m/>
    <m/>
    <m/>
    <m/>
    <m/>
    <m/>
    <m/>
  </r>
  <r>
    <x v="12"/>
    <x v="23"/>
    <m/>
    <m/>
    <m/>
    <m/>
    <m/>
    <m/>
    <m/>
    <m/>
    <m/>
    <m/>
    <m/>
    <m/>
    <m/>
    <m/>
    <m/>
    <m/>
    <m/>
  </r>
  <r>
    <x v="12"/>
    <x v="24"/>
    <m/>
    <m/>
    <m/>
    <m/>
    <m/>
    <m/>
    <m/>
    <m/>
    <m/>
    <m/>
    <m/>
    <m/>
    <m/>
    <m/>
    <m/>
    <m/>
    <m/>
  </r>
  <r>
    <x v="12"/>
    <x v="25"/>
    <m/>
    <m/>
    <m/>
    <m/>
    <m/>
    <m/>
    <m/>
    <m/>
    <m/>
    <m/>
    <m/>
    <m/>
    <m/>
    <m/>
    <m/>
    <m/>
    <m/>
  </r>
  <r>
    <x v="12"/>
    <x v="26"/>
    <m/>
    <m/>
    <m/>
    <m/>
    <m/>
    <m/>
    <m/>
    <m/>
    <m/>
    <m/>
    <m/>
    <m/>
    <m/>
    <m/>
    <m/>
    <m/>
    <m/>
  </r>
  <r>
    <x v="12"/>
    <x v="27"/>
    <m/>
    <m/>
    <m/>
    <m/>
    <m/>
    <m/>
    <m/>
    <m/>
    <m/>
    <m/>
    <m/>
    <m/>
    <m/>
    <m/>
    <m/>
    <m/>
    <m/>
  </r>
  <r>
    <x v="12"/>
    <x v="28"/>
    <m/>
    <m/>
    <m/>
    <m/>
    <m/>
    <m/>
    <m/>
    <m/>
    <m/>
    <m/>
    <m/>
    <m/>
    <m/>
    <m/>
    <m/>
    <m/>
    <m/>
  </r>
  <r>
    <x v="12"/>
    <x v="29"/>
    <m/>
    <m/>
    <m/>
    <m/>
    <m/>
    <m/>
    <m/>
    <m/>
    <m/>
    <m/>
    <m/>
    <m/>
    <m/>
    <m/>
    <m/>
    <m/>
    <m/>
  </r>
  <r>
    <x v="12"/>
    <x v="30"/>
    <m/>
    <m/>
    <m/>
    <m/>
    <m/>
    <m/>
    <m/>
    <m/>
    <m/>
    <m/>
    <m/>
    <m/>
    <m/>
    <m/>
    <m/>
    <m/>
    <m/>
  </r>
  <r>
    <x v="12"/>
    <x v="31"/>
    <m/>
    <m/>
    <m/>
    <m/>
    <m/>
    <m/>
    <m/>
    <m/>
    <m/>
    <m/>
    <m/>
    <m/>
    <m/>
    <m/>
    <m/>
    <m/>
    <m/>
  </r>
  <r>
    <x v="12"/>
    <x v="32"/>
    <m/>
    <m/>
    <m/>
    <m/>
    <m/>
    <m/>
    <m/>
    <m/>
    <m/>
    <m/>
    <m/>
    <m/>
    <m/>
    <m/>
    <m/>
    <m/>
    <m/>
  </r>
  <r>
    <x v="12"/>
    <x v="33"/>
    <m/>
    <m/>
    <m/>
    <m/>
    <m/>
    <m/>
    <m/>
    <m/>
    <m/>
    <m/>
    <m/>
    <m/>
    <m/>
    <m/>
    <m/>
    <m/>
    <m/>
  </r>
  <r>
    <x v="12"/>
    <x v="34"/>
    <m/>
    <m/>
    <m/>
    <m/>
    <m/>
    <m/>
    <m/>
    <m/>
    <m/>
    <m/>
    <m/>
    <m/>
    <m/>
    <m/>
    <m/>
    <m/>
    <m/>
  </r>
  <r>
    <x v="12"/>
    <x v="35"/>
    <m/>
    <m/>
    <m/>
    <m/>
    <m/>
    <m/>
    <m/>
    <m/>
    <m/>
    <m/>
    <m/>
    <m/>
    <m/>
    <m/>
    <m/>
    <m/>
    <m/>
  </r>
  <r>
    <x v="12"/>
    <x v="36"/>
    <m/>
    <m/>
    <m/>
    <m/>
    <m/>
    <m/>
    <m/>
    <m/>
    <m/>
    <m/>
    <m/>
    <m/>
    <m/>
    <m/>
    <m/>
    <m/>
    <m/>
  </r>
  <r>
    <x v="12"/>
    <x v="37"/>
    <m/>
    <m/>
    <m/>
    <m/>
    <m/>
    <m/>
    <m/>
    <m/>
    <m/>
    <m/>
    <m/>
    <m/>
    <m/>
    <m/>
    <m/>
    <m/>
    <m/>
  </r>
  <r>
    <x v="12"/>
    <x v="38"/>
    <m/>
    <m/>
    <m/>
    <m/>
    <m/>
    <m/>
    <m/>
    <m/>
    <m/>
    <m/>
    <m/>
    <m/>
    <m/>
    <m/>
    <m/>
    <m/>
    <m/>
  </r>
  <r>
    <x v="12"/>
    <x v="39"/>
    <m/>
    <m/>
    <m/>
    <m/>
    <m/>
    <m/>
    <m/>
    <m/>
    <m/>
    <m/>
    <m/>
    <m/>
    <m/>
    <m/>
    <m/>
    <m/>
    <m/>
  </r>
  <r>
    <x v="12"/>
    <x v="40"/>
    <m/>
    <m/>
    <m/>
    <m/>
    <m/>
    <m/>
    <m/>
    <m/>
    <m/>
    <m/>
    <m/>
    <m/>
    <m/>
    <m/>
    <m/>
    <m/>
    <m/>
  </r>
  <r>
    <x v="12"/>
    <x v="41"/>
    <m/>
    <m/>
    <m/>
    <m/>
    <m/>
    <m/>
    <m/>
    <m/>
    <m/>
    <m/>
    <m/>
    <m/>
    <m/>
    <m/>
    <m/>
    <m/>
    <m/>
  </r>
  <r>
    <x v="12"/>
    <x v="42"/>
    <m/>
    <m/>
    <m/>
    <m/>
    <m/>
    <m/>
    <m/>
    <m/>
    <m/>
    <m/>
    <m/>
    <m/>
    <m/>
    <m/>
    <m/>
    <m/>
    <m/>
  </r>
  <r>
    <x v="12"/>
    <x v="43"/>
    <m/>
    <m/>
    <m/>
    <m/>
    <m/>
    <m/>
    <m/>
    <m/>
    <m/>
    <m/>
    <m/>
    <m/>
    <m/>
    <m/>
    <m/>
    <m/>
    <m/>
  </r>
  <r>
    <x v="12"/>
    <x v="44"/>
    <m/>
    <m/>
    <m/>
    <m/>
    <m/>
    <m/>
    <m/>
    <m/>
    <m/>
    <m/>
    <m/>
    <m/>
    <m/>
    <m/>
    <m/>
    <m/>
    <m/>
  </r>
  <r>
    <x v="12"/>
    <x v="45"/>
    <m/>
    <m/>
    <m/>
    <m/>
    <m/>
    <m/>
    <m/>
    <m/>
    <m/>
    <m/>
    <m/>
    <m/>
    <m/>
    <m/>
    <m/>
    <m/>
    <m/>
  </r>
  <r>
    <x v="12"/>
    <x v="46"/>
    <m/>
    <m/>
    <m/>
    <m/>
    <m/>
    <m/>
    <m/>
    <m/>
    <m/>
    <m/>
    <m/>
    <m/>
    <m/>
    <m/>
    <m/>
    <m/>
    <m/>
  </r>
  <r>
    <x v="12"/>
    <x v="47"/>
    <m/>
    <m/>
    <m/>
    <m/>
    <m/>
    <m/>
    <m/>
    <m/>
    <m/>
    <m/>
    <m/>
    <m/>
    <m/>
    <m/>
    <m/>
    <m/>
    <m/>
  </r>
  <r>
    <x v="12"/>
    <x v="48"/>
    <m/>
    <m/>
    <m/>
    <m/>
    <m/>
    <m/>
    <m/>
    <m/>
    <m/>
    <m/>
    <m/>
    <m/>
    <m/>
    <m/>
    <m/>
    <m/>
    <m/>
  </r>
  <r>
    <x v="12"/>
    <x v="49"/>
    <m/>
    <m/>
    <m/>
    <m/>
    <m/>
    <m/>
    <m/>
    <m/>
    <m/>
    <m/>
    <m/>
    <m/>
    <m/>
    <m/>
    <m/>
    <m/>
    <m/>
  </r>
  <r>
    <x v="12"/>
    <x v="50"/>
    <m/>
    <m/>
    <m/>
    <m/>
    <m/>
    <m/>
    <m/>
    <m/>
    <m/>
    <m/>
    <m/>
    <m/>
    <m/>
    <m/>
    <m/>
    <m/>
    <m/>
  </r>
  <r>
    <x v="12"/>
    <x v="51"/>
    <m/>
    <m/>
    <m/>
    <m/>
    <m/>
    <m/>
    <m/>
    <m/>
    <m/>
    <m/>
    <m/>
    <m/>
    <m/>
    <m/>
    <m/>
    <m/>
    <m/>
  </r>
  <r>
    <x v="13"/>
    <x v="0"/>
    <m/>
    <m/>
    <m/>
    <m/>
    <m/>
    <m/>
    <m/>
    <m/>
    <m/>
    <m/>
    <m/>
    <m/>
    <m/>
    <m/>
    <m/>
    <m/>
    <m/>
  </r>
  <r>
    <x v="13"/>
    <x v="1"/>
    <m/>
    <m/>
    <m/>
    <m/>
    <m/>
    <m/>
    <m/>
    <m/>
    <m/>
    <m/>
    <m/>
    <m/>
    <m/>
    <m/>
    <m/>
    <m/>
    <m/>
  </r>
  <r>
    <x v="13"/>
    <x v="2"/>
    <m/>
    <m/>
    <m/>
    <m/>
    <m/>
    <m/>
    <m/>
    <m/>
    <m/>
    <m/>
    <m/>
    <m/>
    <m/>
    <m/>
    <m/>
    <m/>
    <m/>
  </r>
  <r>
    <x v="13"/>
    <x v="3"/>
    <m/>
    <m/>
    <m/>
    <m/>
    <m/>
    <m/>
    <m/>
    <m/>
    <m/>
    <m/>
    <m/>
    <m/>
    <m/>
    <m/>
    <m/>
    <m/>
    <m/>
  </r>
  <r>
    <x v="13"/>
    <x v="4"/>
    <m/>
    <m/>
    <m/>
    <m/>
    <m/>
    <m/>
    <m/>
    <m/>
    <m/>
    <m/>
    <m/>
    <m/>
    <m/>
    <m/>
    <m/>
    <m/>
    <m/>
  </r>
  <r>
    <x v="13"/>
    <x v="5"/>
    <m/>
    <m/>
    <m/>
    <m/>
    <m/>
    <m/>
    <m/>
    <m/>
    <m/>
    <m/>
    <m/>
    <m/>
    <m/>
    <m/>
    <m/>
    <m/>
    <m/>
  </r>
  <r>
    <x v="13"/>
    <x v="6"/>
    <m/>
    <m/>
    <m/>
    <m/>
    <m/>
    <m/>
    <m/>
    <m/>
    <m/>
    <m/>
    <m/>
    <m/>
    <m/>
    <m/>
    <m/>
    <m/>
    <m/>
  </r>
  <r>
    <x v="13"/>
    <x v="7"/>
    <m/>
    <m/>
    <m/>
    <m/>
    <m/>
    <m/>
    <m/>
    <m/>
    <m/>
    <m/>
    <m/>
    <m/>
    <m/>
    <m/>
    <m/>
    <m/>
    <m/>
  </r>
  <r>
    <x v="13"/>
    <x v="8"/>
    <m/>
    <m/>
    <m/>
    <m/>
    <m/>
    <m/>
    <m/>
    <m/>
    <m/>
    <m/>
    <m/>
    <m/>
    <m/>
    <m/>
    <m/>
    <m/>
    <m/>
  </r>
  <r>
    <x v="13"/>
    <x v="9"/>
    <m/>
    <m/>
    <m/>
    <m/>
    <m/>
    <m/>
    <m/>
    <m/>
    <m/>
    <m/>
    <m/>
    <m/>
    <m/>
    <m/>
    <m/>
    <m/>
    <m/>
  </r>
  <r>
    <x v="13"/>
    <x v="10"/>
    <m/>
    <m/>
    <m/>
    <m/>
    <m/>
    <m/>
    <m/>
    <m/>
    <m/>
    <m/>
    <m/>
    <m/>
    <m/>
    <m/>
    <m/>
    <m/>
    <m/>
  </r>
  <r>
    <x v="13"/>
    <x v="11"/>
    <m/>
    <m/>
    <m/>
    <m/>
    <m/>
    <m/>
    <m/>
    <m/>
    <m/>
    <m/>
    <m/>
    <m/>
    <m/>
    <m/>
    <m/>
    <m/>
    <m/>
  </r>
  <r>
    <x v="13"/>
    <x v="12"/>
    <m/>
    <m/>
    <m/>
    <m/>
    <m/>
    <m/>
    <m/>
    <m/>
    <m/>
    <m/>
    <m/>
    <m/>
    <m/>
    <m/>
    <m/>
    <m/>
    <m/>
  </r>
  <r>
    <x v="13"/>
    <x v="13"/>
    <m/>
    <m/>
    <m/>
    <m/>
    <m/>
    <m/>
    <m/>
    <m/>
    <m/>
    <m/>
    <m/>
    <m/>
    <m/>
    <m/>
    <m/>
    <m/>
    <m/>
  </r>
  <r>
    <x v="13"/>
    <x v="14"/>
    <m/>
    <m/>
    <m/>
    <m/>
    <m/>
    <m/>
    <m/>
    <m/>
    <m/>
    <m/>
    <m/>
    <m/>
    <m/>
    <m/>
    <m/>
    <m/>
    <m/>
  </r>
  <r>
    <x v="13"/>
    <x v="15"/>
    <m/>
    <m/>
    <m/>
    <m/>
    <m/>
    <m/>
    <m/>
    <m/>
    <m/>
    <m/>
    <m/>
    <m/>
    <m/>
    <m/>
    <m/>
    <m/>
    <m/>
  </r>
  <r>
    <x v="13"/>
    <x v="16"/>
    <m/>
    <m/>
    <m/>
    <m/>
    <m/>
    <m/>
    <m/>
    <m/>
    <m/>
    <m/>
    <m/>
    <m/>
    <m/>
    <m/>
    <m/>
    <m/>
    <m/>
  </r>
  <r>
    <x v="13"/>
    <x v="17"/>
    <m/>
    <m/>
    <m/>
    <m/>
    <m/>
    <m/>
    <m/>
    <m/>
    <m/>
    <m/>
    <m/>
    <m/>
    <m/>
    <m/>
    <m/>
    <m/>
    <m/>
  </r>
  <r>
    <x v="13"/>
    <x v="18"/>
    <n v="5"/>
    <m/>
    <m/>
    <m/>
    <m/>
    <m/>
    <m/>
    <m/>
    <m/>
    <m/>
    <m/>
    <n v="1"/>
    <m/>
    <m/>
    <m/>
    <m/>
    <m/>
  </r>
  <r>
    <x v="13"/>
    <x v="19"/>
    <m/>
    <m/>
    <m/>
    <m/>
    <m/>
    <m/>
    <m/>
    <m/>
    <m/>
    <m/>
    <m/>
    <m/>
    <m/>
    <m/>
    <m/>
    <m/>
    <m/>
  </r>
  <r>
    <x v="13"/>
    <x v="20"/>
    <m/>
    <m/>
    <m/>
    <m/>
    <m/>
    <m/>
    <m/>
    <m/>
    <m/>
    <m/>
    <m/>
    <m/>
    <m/>
    <m/>
    <m/>
    <m/>
    <m/>
  </r>
  <r>
    <x v="13"/>
    <x v="21"/>
    <m/>
    <m/>
    <m/>
    <m/>
    <m/>
    <m/>
    <m/>
    <m/>
    <m/>
    <m/>
    <m/>
    <m/>
    <m/>
    <m/>
    <m/>
    <m/>
    <m/>
  </r>
  <r>
    <x v="13"/>
    <x v="22"/>
    <m/>
    <m/>
    <m/>
    <m/>
    <m/>
    <m/>
    <m/>
    <m/>
    <m/>
    <m/>
    <m/>
    <m/>
    <m/>
    <m/>
    <m/>
    <m/>
    <m/>
  </r>
  <r>
    <x v="13"/>
    <x v="23"/>
    <m/>
    <m/>
    <m/>
    <m/>
    <m/>
    <m/>
    <m/>
    <m/>
    <m/>
    <m/>
    <m/>
    <m/>
    <m/>
    <m/>
    <m/>
    <m/>
    <m/>
  </r>
  <r>
    <x v="13"/>
    <x v="24"/>
    <m/>
    <m/>
    <m/>
    <m/>
    <m/>
    <m/>
    <m/>
    <m/>
    <m/>
    <m/>
    <m/>
    <m/>
    <m/>
    <m/>
    <m/>
    <m/>
    <m/>
  </r>
  <r>
    <x v="13"/>
    <x v="25"/>
    <m/>
    <m/>
    <m/>
    <m/>
    <m/>
    <m/>
    <m/>
    <m/>
    <m/>
    <m/>
    <m/>
    <m/>
    <m/>
    <m/>
    <m/>
    <m/>
    <m/>
  </r>
  <r>
    <x v="13"/>
    <x v="26"/>
    <m/>
    <m/>
    <m/>
    <m/>
    <m/>
    <m/>
    <m/>
    <m/>
    <m/>
    <m/>
    <m/>
    <m/>
    <m/>
    <m/>
    <m/>
    <m/>
    <m/>
  </r>
  <r>
    <x v="13"/>
    <x v="27"/>
    <m/>
    <m/>
    <m/>
    <m/>
    <m/>
    <m/>
    <m/>
    <m/>
    <m/>
    <m/>
    <m/>
    <m/>
    <m/>
    <m/>
    <m/>
    <m/>
    <m/>
  </r>
  <r>
    <x v="13"/>
    <x v="28"/>
    <m/>
    <m/>
    <m/>
    <m/>
    <m/>
    <m/>
    <m/>
    <m/>
    <m/>
    <m/>
    <m/>
    <m/>
    <m/>
    <m/>
    <m/>
    <m/>
    <m/>
  </r>
  <r>
    <x v="13"/>
    <x v="29"/>
    <m/>
    <m/>
    <m/>
    <m/>
    <m/>
    <m/>
    <m/>
    <m/>
    <m/>
    <m/>
    <m/>
    <m/>
    <m/>
    <m/>
    <m/>
    <m/>
    <m/>
  </r>
  <r>
    <x v="13"/>
    <x v="30"/>
    <m/>
    <m/>
    <m/>
    <m/>
    <m/>
    <m/>
    <m/>
    <m/>
    <m/>
    <m/>
    <m/>
    <m/>
    <m/>
    <m/>
    <m/>
    <m/>
    <m/>
  </r>
  <r>
    <x v="13"/>
    <x v="31"/>
    <m/>
    <m/>
    <m/>
    <m/>
    <m/>
    <m/>
    <m/>
    <m/>
    <m/>
    <m/>
    <m/>
    <m/>
    <m/>
    <m/>
    <m/>
    <m/>
    <m/>
  </r>
  <r>
    <x v="13"/>
    <x v="32"/>
    <m/>
    <m/>
    <m/>
    <m/>
    <m/>
    <m/>
    <m/>
    <m/>
    <m/>
    <m/>
    <m/>
    <m/>
    <m/>
    <m/>
    <m/>
    <m/>
    <m/>
  </r>
  <r>
    <x v="13"/>
    <x v="33"/>
    <m/>
    <m/>
    <m/>
    <m/>
    <m/>
    <m/>
    <m/>
    <m/>
    <m/>
    <m/>
    <m/>
    <m/>
    <m/>
    <m/>
    <m/>
    <m/>
    <m/>
  </r>
  <r>
    <x v="13"/>
    <x v="34"/>
    <n v="4"/>
    <m/>
    <m/>
    <m/>
    <m/>
    <m/>
    <m/>
    <m/>
    <m/>
    <m/>
    <m/>
    <n v="1"/>
    <n v="1"/>
    <m/>
    <m/>
    <m/>
    <m/>
  </r>
  <r>
    <x v="13"/>
    <x v="35"/>
    <m/>
    <m/>
    <m/>
    <m/>
    <m/>
    <m/>
    <m/>
    <m/>
    <m/>
    <m/>
    <m/>
    <m/>
    <m/>
    <m/>
    <m/>
    <m/>
    <m/>
  </r>
  <r>
    <x v="13"/>
    <x v="36"/>
    <m/>
    <m/>
    <m/>
    <m/>
    <m/>
    <m/>
    <m/>
    <m/>
    <m/>
    <m/>
    <m/>
    <m/>
    <m/>
    <m/>
    <m/>
    <m/>
    <m/>
  </r>
  <r>
    <x v="13"/>
    <x v="37"/>
    <m/>
    <m/>
    <m/>
    <m/>
    <m/>
    <m/>
    <m/>
    <m/>
    <m/>
    <m/>
    <m/>
    <m/>
    <m/>
    <m/>
    <m/>
    <m/>
    <m/>
  </r>
  <r>
    <x v="13"/>
    <x v="38"/>
    <m/>
    <m/>
    <m/>
    <m/>
    <m/>
    <m/>
    <m/>
    <m/>
    <m/>
    <m/>
    <m/>
    <m/>
    <m/>
    <m/>
    <m/>
    <m/>
    <m/>
  </r>
  <r>
    <x v="13"/>
    <x v="39"/>
    <m/>
    <m/>
    <m/>
    <m/>
    <m/>
    <m/>
    <m/>
    <m/>
    <m/>
    <m/>
    <m/>
    <m/>
    <m/>
    <m/>
    <m/>
    <m/>
    <m/>
  </r>
  <r>
    <x v="13"/>
    <x v="40"/>
    <m/>
    <m/>
    <m/>
    <m/>
    <m/>
    <m/>
    <m/>
    <m/>
    <m/>
    <m/>
    <m/>
    <m/>
    <m/>
    <m/>
    <m/>
    <m/>
    <m/>
  </r>
  <r>
    <x v="13"/>
    <x v="41"/>
    <m/>
    <m/>
    <m/>
    <m/>
    <m/>
    <m/>
    <m/>
    <m/>
    <m/>
    <m/>
    <m/>
    <m/>
    <m/>
    <m/>
    <m/>
    <m/>
    <m/>
  </r>
  <r>
    <x v="13"/>
    <x v="42"/>
    <m/>
    <m/>
    <m/>
    <m/>
    <m/>
    <m/>
    <m/>
    <m/>
    <m/>
    <m/>
    <m/>
    <m/>
    <m/>
    <m/>
    <m/>
    <m/>
    <m/>
  </r>
  <r>
    <x v="13"/>
    <x v="43"/>
    <m/>
    <m/>
    <m/>
    <m/>
    <m/>
    <m/>
    <m/>
    <m/>
    <m/>
    <m/>
    <m/>
    <m/>
    <m/>
    <m/>
    <m/>
    <m/>
    <m/>
  </r>
  <r>
    <x v="13"/>
    <x v="44"/>
    <m/>
    <m/>
    <m/>
    <m/>
    <m/>
    <m/>
    <m/>
    <m/>
    <m/>
    <m/>
    <m/>
    <m/>
    <m/>
    <m/>
    <m/>
    <m/>
    <m/>
  </r>
  <r>
    <x v="13"/>
    <x v="45"/>
    <m/>
    <m/>
    <m/>
    <m/>
    <m/>
    <m/>
    <m/>
    <m/>
    <m/>
    <m/>
    <m/>
    <m/>
    <m/>
    <m/>
    <m/>
    <m/>
    <m/>
  </r>
  <r>
    <x v="13"/>
    <x v="46"/>
    <m/>
    <m/>
    <m/>
    <m/>
    <m/>
    <m/>
    <m/>
    <m/>
    <m/>
    <m/>
    <m/>
    <m/>
    <m/>
    <m/>
    <m/>
    <m/>
    <m/>
  </r>
  <r>
    <x v="13"/>
    <x v="47"/>
    <m/>
    <m/>
    <m/>
    <m/>
    <m/>
    <m/>
    <m/>
    <m/>
    <m/>
    <m/>
    <m/>
    <m/>
    <m/>
    <m/>
    <m/>
    <m/>
    <m/>
  </r>
  <r>
    <x v="13"/>
    <x v="48"/>
    <m/>
    <m/>
    <m/>
    <m/>
    <m/>
    <m/>
    <m/>
    <m/>
    <m/>
    <m/>
    <m/>
    <m/>
    <m/>
    <m/>
    <m/>
    <m/>
    <m/>
  </r>
  <r>
    <x v="13"/>
    <x v="49"/>
    <m/>
    <m/>
    <m/>
    <m/>
    <m/>
    <m/>
    <m/>
    <m/>
    <m/>
    <m/>
    <m/>
    <m/>
    <m/>
    <m/>
    <m/>
    <m/>
    <m/>
  </r>
  <r>
    <x v="13"/>
    <x v="50"/>
    <m/>
    <m/>
    <m/>
    <m/>
    <m/>
    <m/>
    <m/>
    <m/>
    <m/>
    <m/>
    <m/>
    <m/>
    <m/>
    <m/>
    <m/>
    <m/>
    <m/>
  </r>
  <r>
    <x v="13"/>
    <x v="51"/>
    <m/>
    <m/>
    <m/>
    <m/>
    <m/>
    <m/>
    <m/>
    <m/>
    <m/>
    <m/>
    <m/>
    <m/>
    <m/>
    <m/>
    <m/>
    <m/>
    <m/>
  </r>
  <r>
    <x v="14"/>
    <x v="0"/>
    <m/>
    <m/>
    <m/>
    <m/>
    <m/>
    <m/>
    <m/>
    <m/>
    <m/>
    <m/>
    <m/>
    <m/>
    <m/>
    <m/>
    <m/>
    <m/>
    <m/>
  </r>
  <r>
    <x v="14"/>
    <x v="1"/>
    <m/>
    <m/>
    <m/>
    <m/>
    <m/>
    <m/>
    <m/>
    <m/>
    <m/>
    <m/>
    <m/>
    <m/>
    <m/>
    <m/>
    <m/>
    <m/>
    <m/>
  </r>
  <r>
    <x v="14"/>
    <x v="2"/>
    <m/>
    <m/>
    <m/>
    <m/>
    <m/>
    <m/>
    <m/>
    <m/>
    <m/>
    <m/>
    <m/>
    <m/>
    <m/>
    <m/>
    <m/>
    <m/>
    <m/>
  </r>
  <r>
    <x v="14"/>
    <x v="3"/>
    <m/>
    <m/>
    <m/>
    <m/>
    <m/>
    <m/>
    <m/>
    <m/>
    <m/>
    <m/>
    <m/>
    <m/>
    <m/>
    <m/>
    <m/>
    <m/>
    <m/>
  </r>
  <r>
    <x v="14"/>
    <x v="4"/>
    <m/>
    <m/>
    <m/>
    <m/>
    <m/>
    <m/>
    <m/>
    <m/>
    <m/>
    <m/>
    <m/>
    <m/>
    <m/>
    <m/>
    <m/>
    <m/>
    <m/>
  </r>
  <r>
    <x v="14"/>
    <x v="5"/>
    <m/>
    <m/>
    <m/>
    <m/>
    <m/>
    <m/>
    <m/>
    <m/>
    <m/>
    <m/>
    <m/>
    <m/>
    <m/>
    <m/>
    <m/>
    <m/>
    <m/>
  </r>
  <r>
    <x v="14"/>
    <x v="6"/>
    <m/>
    <m/>
    <m/>
    <m/>
    <m/>
    <m/>
    <m/>
    <m/>
    <m/>
    <m/>
    <m/>
    <m/>
    <m/>
    <m/>
    <m/>
    <m/>
    <m/>
  </r>
  <r>
    <x v="14"/>
    <x v="7"/>
    <m/>
    <m/>
    <m/>
    <m/>
    <m/>
    <m/>
    <m/>
    <m/>
    <m/>
    <m/>
    <m/>
    <m/>
    <m/>
    <m/>
    <m/>
    <m/>
    <m/>
  </r>
  <r>
    <x v="14"/>
    <x v="8"/>
    <m/>
    <m/>
    <m/>
    <m/>
    <m/>
    <m/>
    <m/>
    <m/>
    <m/>
    <m/>
    <m/>
    <m/>
    <m/>
    <m/>
    <m/>
    <m/>
    <m/>
  </r>
  <r>
    <x v="14"/>
    <x v="9"/>
    <m/>
    <m/>
    <m/>
    <m/>
    <m/>
    <m/>
    <m/>
    <m/>
    <m/>
    <m/>
    <m/>
    <m/>
    <m/>
    <m/>
    <m/>
    <m/>
    <m/>
  </r>
  <r>
    <x v="14"/>
    <x v="10"/>
    <m/>
    <m/>
    <m/>
    <m/>
    <m/>
    <m/>
    <m/>
    <m/>
    <m/>
    <m/>
    <m/>
    <m/>
    <m/>
    <m/>
    <m/>
    <m/>
    <m/>
  </r>
  <r>
    <x v="14"/>
    <x v="11"/>
    <m/>
    <m/>
    <m/>
    <m/>
    <m/>
    <m/>
    <m/>
    <m/>
    <m/>
    <m/>
    <m/>
    <m/>
    <m/>
    <m/>
    <m/>
    <m/>
    <m/>
  </r>
  <r>
    <x v="14"/>
    <x v="12"/>
    <m/>
    <m/>
    <m/>
    <m/>
    <m/>
    <m/>
    <m/>
    <m/>
    <m/>
    <m/>
    <m/>
    <m/>
    <m/>
    <m/>
    <m/>
    <m/>
    <m/>
  </r>
  <r>
    <x v="14"/>
    <x v="13"/>
    <m/>
    <m/>
    <m/>
    <m/>
    <m/>
    <m/>
    <m/>
    <m/>
    <m/>
    <m/>
    <m/>
    <m/>
    <m/>
    <m/>
    <m/>
    <m/>
    <m/>
  </r>
  <r>
    <x v="14"/>
    <x v="14"/>
    <m/>
    <m/>
    <m/>
    <m/>
    <m/>
    <m/>
    <m/>
    <m/>
    <m/>
    <m/>
    <m/>
    <m/>
    <m/>
    <m/>
    <m/>
    <m/>
    <m/>
  </r>
  <r>
    <x v="14"/>
    <x v="15"/>
    <m/>
    <m/>
    <m/>
    <m/>
    <m/>
    <m/>
    <m/>
    <m/>
    <m/>
    <m/>
    <m/>
    <m/>
    <m/>
    <m/>
    <m/>
    <m/>
    <m/>
  </r>
  <r>
    <x v="14"/>
    <x v="16"/>
    <m/>
    <m/>
    <m/>
    <m/>
    <m/>
    <m/>
    <m/>
    <m/>
    <m/>
    <m/>
    <m/>
    <m/>
    <m/>
    <m/>
    <m/>
    <m/>
    <m/>
  </r>
  <r>
    <x v="14"/>
    <x v="17"/>
    <m/>
    <m/>
    <m/>
    <m/>
    <m/>
    <m/>
    <m/>
    <m/>
    <m/>
    <m/>
    <m/>
    <m/>
    <m/>
    <m/>
    <m/>
    <m/>
    <m/>
  </r>
  <r>
    <x v="14"/>
    <x v="18"/>
    <m/>
    <m/>
    <m/>
    <m/>
    <m/>
    <m/>
    <m/>
    <m/>
    <m/>
    <m/>
    <m/>
    <m/>
    <m/>
    <m/>
    <m/>
    <m/>
    <m/>
  </r>
  <r>
    <x v="14"/>
    <x v="19"/>
    <m/>
    <m/>
    <m/>
    <m/>
    <m/>
    <m/>
    <m/>
    <m/>
    <m/>
    <m/>
    <m/>
    <m/>
    <m/>
    <m/>
    <m/>
    <m/>
    <m/>
  </r>
  <r>
    <x v="14"/>
    <x v="20"/>
    <m/>
    <m/>
    <m/>
    <m/>
    <m/>
    <m/>
    <m/>
    <m/>
    <m/>
    <m/>
    <m/>
    <m/>
    <m/>
    <m/>
    <m/>
    <m/>
    <m/>
  </r>
  <r>
    <x v="14"/>
    <x v="21"/>
    <m/>
    <m/>
    <m/>
    <m/>
    <m/>
    <m/>
    <m/>
    <m/>
    <m/>
    <m/>
    <m/>
    <m/>
    <m/>
    <m/>
    <m/>
    <m/>
    <m/>
  </r>
  <r>
    <x v="14"/>
    <x v="22"/>
    <m/>
    <m/>
    <m/>
    <m/>
    <m/>
    <m/>
    <m/>
    <m/>
    <m/>
    <m/>
    <m/>
    <m/>
    <m/>
    <m/>
    <m/>
    <m/>
    <m/>
  </r>
  <r>
    <x v="14"/>
    <x v="23"/>
    <m/>
    <m/>
    <m/>
    <m/>
    <m/>
    <m/>
    <m/>
    <m/>
    <m/>
    <m/>
    <m/>
    <m/>
    <m/>
    <m/>
    <m/>
    <m/>
    <m/>
  </r>
  <r>
    <x v="14"/>
    <x v="24"/>
    <m/>
    <m/>
    <m/>
    <m/>
    <m/>
    <m/>
    <m/>
    <m/>
    <m/>
    <m/>
    <m/>
    <m/>
    <m/>
    <m/>
    <m/>
    <m/>
    <m/>
  </r>
  <r>
    <x v="14"/>
    <x v="25"/>
    <m/>
    <m/>
    <m/>
    <m/>
    <m/>
    <m/>
    <m/>
    <m/>
    <m/>
    <m/>
    <m/>
    <m/>
    <m/>
    <m/>
    <m/>
    <m/>
    <m/>
  </r>
  <r>
    <x v="14"/>
    <x v="26"/>
    <m/>
    <m/>
    <m/>
    <m/>
    <m/>
    <m/>
    <m/>
    <m/>
    <m/>
    <m/>
    <m/>
    <m/>
    <m/>
    <m/>
    <m/>
    <m/>
    <m/>
  </r>
  <r>
    <x v="14"/>
    <x v="27"/>
    <m/>
    <m/>
    <m/>
    <m/>
    <m/>
    <m/>
    <m/>
    <m/>
    <m/>
    <m/>
    <m/>
    <m/>
    <m/>
    <m/>
    <m/>
    <m/>
    <m/>
  </r>
  <r>
    <x v="14"/>
    <x v="28"/>
    <m/>
    <m/>
    <m/>
    <m/>
    <m/>
    <m/>
    <m/>
    <m/>
    <m/>
    <m/>
    <m/>
    <m/>
    <m/>
    <m/>
    <m/>
    <m/>
    <m/>
  </r>
  <r>
    <x v="14"/>
    <x v="29"/>
    <m/>
    <m/>
    <m/>
    <m/>
    <m/>
    <m/>
    <m/>
    <m/>
    <m/>
    <m/>
    <m/>
    <m/>
    <m/>
    <m/>
    <m/>
    <m/>
    <m/>
  </r>
  <r>
    <x v="14"/>
    <x v="30"/>
    <m/>
    <m/>
    <m/>
    <m/>
    <m/>
    <m/>
    <m/>
    <m/>
    <m/>
    <m/>
    <m/>
    <m/>
    <m/>
    <m/>
    <m/>
    <m/>
    <m/>
  </r>
  <r>
    <x v="14"/>
    <x v="31"/>
    <n v="42"/>
    <m/>
    <m/>
    <m/>
    <m/>
    <m/>
    <n v="35"/>
    <n v="35"/>
    <m/>
    <m/>
    <m/>
    <n v="11"/>
    <m/>
    <n v="10"/>
    <n v="3"/>
    <m/>
    <m/>
  </r>
  <r>
    <x v="14"/>
    <x v="32"/>
    <m/>
    <m/>
    <m/>
    <m/>
    <m/>
    <m/>
    <m/>
    <m/>
    <m/>
    <m/>
    <m/>
    <m/>
    <m/>
    <m/>
    <m/>
    <m/>
    <m/>
  </r>
  <r>
    <x v="14"/>
    <x v="33"/>
    <m/>
    <m/>
    <m/>
    <m/>
    <m/>
    <m/>
    <m/>
    <m/>
    <m/>
    <m/>
    <m/>
    <m/>
    <m/>
    <m/>
    <m/>
    <m/>
    <m/>
  </r>
  <r>
    <x v="14"/>
    <x v="34"/>
    <m/>
    <m/>
    <m/>
    <m/>
    <m/>
    <m/>
    <m/>
    <m/>
    <m/>
    <m/>
    <m/>
    <m/>
    <m/>
    <m/>
    <m/>
    <m/>
    <m/>
  </r>
  <r>
    <x v="14"/>
    <x v="35"/>
    <m/>
    <m/>
    <m/>
    <m/>
    <m/>
    <m/>
    <m/>
    <m/>
    <m/>
    <m/>
    <m/>
    <m/>
    <m/>
    <m/>
    <m/>
    <m/>
    <m/>
  </r>
  <r>
    <x v="14"/>
    <x v="36"/>
    <m/>
    <m/>
    <m/>
    <m/>
    <m/>
    <m/>
    <m/>
    <m/>
    <m/>
    <m/>
    <m/>
    <m/>
    <m/>
    <m/>
    <m/>
    <m/>
    <m/>
  </r>
  <r>
    <x v="14"/>
    <x v="37"/>
    <m/>
    <m/>
    <m/>
    <m/>
    <m/>
    <m/>
    <m/>
    <m/>
    <m/>
    <m/>
    <m/>
    <m/>
    <m/>
    <m/>
    <m/>
    <m/>
    <m/>
  </r>
  <r>
    <x v="14"/>
    <x v="38"/>
    <m/>
    <m/>
    <m/>
    <m/>
    <m/>
    <m/>
    <m/>
    <m/>
    <m/>
    <m/>
    <m/>
    <m/>
    <m/>
    <m/>
    <m/>
    <m/>
    <m/>
  </r>
  <r>
    <x v="14"/>
    <x v="39"/>
    <m/>
    <m/>
    <m/>
    <m/>
    <m/>
    <m/>
    <m/>
    <m/>
    <m/>
    <m/>
    <m/>
    <m/>
    <m/>
    <m/>
    <m/>
    <m/>
    <m/>
  </r>
  <r>
    <x v="14"/>
    <x v="40"/>
    <m/>
    <m/>
    <m/>
    <m/>
    <m/>
    <m/>
    <m/>
    <m/>
    <m/>
    <m/>
    <m/>
    <m/>
    <m/>
    <m/>
    <m/>
    <m/>
    <m/>
  </r>
  <r>
    <x v="14"/>
    <x v="41"/>
    <m/>
    <m/>
    <m/>
    <m/>
    <m/>
    <m/>
    <m/>
    <m/>
    <m/>
    <m/>
    <m/>
    <m/>
    <m/>
    <m/>
    <m/>
    <m/>
    <m/>
  </r>
  <r>
    <x v="14"/>
    <x v="42"/>
    <m/>
    <m/>
    <m/>
    <m/>
    <m/>
    <m/>
    <m/>
    <m/>
    <m/>
    <m/>
    <m/>
    <m/>
    <m/>
    <m/>
    <m/>
    <m/>
    <m/>
  </r>
  <r>
    <x v="14"/>
    <x v="43"/>
    <m/>
    <m/>
    <m/>
    <m/>
    <m/>
    <m/>
    <m/>
    <m/>
    <m/>
    <m/>
    <m/>
    <m/>
    <m/>
    <m/>
    <m/>
    <m/>
    <m/>
  </r>
  <r>
    <x v="14"/>
    <x v="44"/>
    <m/>
    <m/>
    <m/>
    <m/>
    <m/>
    <m/>
    <m/>
    <m/>
    <m/>
    <m/>
    <m/>
    <m/>
    <m/>
    <m/>
    <m/>
    <m/>
    <m/>
  </r>
  <r>
    <x v="14"/>
    <x v="45"/>
    <m/>
    <m/>
    <m/>
    <m/>
    <m/>
    <m/>
    <m/>
    <m/>
    <m/>
    <m/>
    <m/>
    <m/>
    <m/>
    <m/>
    <m/>
    <m/>
    <m/>
  </r>
  <r>
    <x v="14"/>
    <x v="46"/>
    <m/>
    <m/>
    <m/>
    <m/>
    <m/>
    <m/>
    <m/>
    <m/>
    <m/>
    <m/>
    <m/>
    <m/>
    <m/>
    <m/>
    <m/>
    <m/>
    <m/>
  </r>
  <r>
    <x v="14"/>
    <x v="47"/>
    <m/>
    <m/>
    <m/>
    <m/>
    <m/>
    <m/>
    <m/>
    <m/>
    <m/>
    <m/>
    <m/>
    <m/>
    <m/>
    <m/>
    <m/>
    <m/>
    <m/>
  </r>
  <r>
    <x v="14"/>
    <x v="48"/>
    <m/>
    <m/>
    <m/>
    <m/>
    <m/>
    <m/>
    <m/>
    <m/>
    <m/>
    <m/>
    <m/>
    <m/>
    <m/>
    <m/>
    <m/>
    <m/>
    <m/>
  </r>
  <r>
    <x v="14"/>
    <x v="49"/>
    <m/>
    <m/>
    <m/>
    <m/>
    <m/>
    <m/>
    <m/>
    <m/>
    <m/>
    <m/>
    <m/>
    <m/>
    <m/>
    <m/>
    <m/>
    <m/>
    <m/>
  </r>
  <r>
    <x v="14"/>
    <x v="50"/>
    <m/>
    <m/>
    <m/>
    <m/>
    <m/>
    <m/>
    <m/>
    <m/>
    <m/>
    <m/>
    <m/>
    <m/>
    <m/>
    <m/>
    <m/>
    <m/>
    <m/>
  </r>
  <r>
    <x v="14"/>
    <x v="51"/>
    <m/>
    <m/>
    <m/>
    <m/>
    <m/>
    <m/>
    <m/>
    <m/>
    <m/>
    <m/>
    <m/>
    <m/>
    <m/>
    <m/>
    <m/>
    <m/>
    <m/>
  </r>
  <r>
    <x v="15"/>
    <x v="0"/>
    <m/>
    <m/>
    <m/>
    <m/>
    <m/>
    <m/>
    <m/>
    <m/>
    <m/>
    <m/>
    <m/>
    <m/>
    <m/>
    <m/>
    <m/>
    <m/>
    <m/>
  </r>
  <r>
    <x v="15"/>
    <x v="1"/>
    <m/>
    <m/>
    <m/>
    <m/>
    <m/>
    <m/>
    <m/>
    <m/>
    <m/>
    <m/>
    <m/>
    <m/>
    <m/>
    <m/>
    <m/>
    <m/>
    <m/>
  </r>
  <r>
    <x v="15"/>
    <x v="2"/>
    <m/>
    <m/>
    <m/>
    <m/>
    <m/>
    <m/>
    <m/>
    <m/>
    <m/>
    <m/>
    <m/>
    <m/>
    <m/>
    <m/>
    <m/>
    <m/>
    <m/>
  </r>
  <r>
    <x v="15"/>
    <x v="3"/>
    <m/>
    <m/>
    <m/>
    <m/>
    <m/>
    <m/>
    <m/>
    <m/>
    <m/>
    <m/>
    <m/>
    <m/>
    <m/>
    <m/>
    <m/>
    <m/>
    <m/>
  </r>
  <r>
    <x v="15"/>
    <x v="4"/>
    <m/>
    <m/>
    <m/>
    <m/>
    <m/>
    <m/>
    <m/>
    <m/>
    <m/>
    <m/>
    <m/>
    <m/>
    <m/>
    <m/>
    <m/>
    <m/>
    <m/>
  </r>
  <r>
    <x v="15"/>
    <x v="5"/>
    <m/>
    <m/>
    <m/>
    <m/>
    <m/>
    <m/>
    <m/>
    <m/>
    <m/>
    <m/>
    <m/>
    <m/>
    <m/>
    <m/>
    <m/>
    <m/>
    <m/>
  </r>
  <r>
    <x v="15"/>
    <x v="6"/>
    <m/>
    <m/>
    <m/>
    <m/>
    <m/>
    <m/>
    <m/>
    <m/>
    <m/>
    <m/>
    <m/>
    <m/>
    <m/>
    <m/>
    <m/>
    <m/>
    <m/>
  </r>
  <r>
    <x v="15"/>
    <x v="7"/>
    <m/>
    <m/>
    <m/>
    <m/>
    <m/>
    <m/>
    <m/>
    <m/>
    <m/>
    <m/>
    <m/>
    <m/>
    <m/>
    <m/>
    <m/>
    <m/>
    <m/>
  </r>
  <r>
    <x v="15"/>
    <x v="8"/>
    <m/>
    <m/>
    <m/>
    <m/>
    <m/>
    <m/>
    <m/>
    <m/>
    <m/>
    <m/>
    <m/>
    <m/>
    <m/>
    <m/>
    <m/>
    <m/>
    <m/>
  </r>
  <r>
    <x v="15"/>
    <x v="9"/>
    <m/>
    <m/>
    <m/>
    <m/>
    <m/>
    <m/>
    <m/>
    <m/>
    <m/>
    <m/>
    <m/>
    <m/>
    <m/>
    <m/>
    <m/>
    <m/>
    <m/>
  </r>
  <r>
    <x v="15"/>
    <x v="10"/>
    <m/>
    <m/>
    <m/>
    <m/>
    <m/>
    <m/>
    <m/>
    <m/>
    <m/>
    <m/>
    <m/>
    <m/>
    <m/>
    <m/>
    <m/>
    <m/>
    <m/>
  </r>
  <r>
    <x v="15"/>
    <x v="11"/>
    <m/>
    <m/>
    <m/>
    <m/>
    <m/>
    <m/>
    <m/>
    <m/>
    <m/>
    <m/>
    <m/>
    <m/>
    <m/>
    <m/>
    <m/>
    <m/>
    <m/>
  </r>
  <r>
    <x v="15"/>
    <x v="12"/>
    <m/>
    <m/>
    <m/>
    <m/>
    <m/>
    <m/>
    <m/>
    <m/>
    <m/>
    <m/>
    <m/>
    <m/>
    <m/>
    <m/>
    <m/>
    <m/>
    <m/>
  </r>
  <r>
    <x v="15"/>
    <x v="13"/>
    <m/>
    <m/>
    <m/>
    <m/>
    <m/>
    <m/>
    <m/>
    <m/>
    <m/>
    <m/>
    <m/>
    <m/>
    <m/>
    <m/>
    <m/>
    <m/>
    <m/>
  </r>
  <r>
    <x v="15"/>
    <x v="14"/>
    <m/>
    <m/>
    <m/>
    <m/>
    <m/>
    <m/>
    <m/>
    <m/>
    <m/>
    <m/>
    <m/>
    <m/>
    <m/>
    <m/>
    <m/>
    <m/>
    <m/>
  </r>
  <r>
    <x v="15"/>
    <x v="15"/>
    <m/>
    <m/>
    <m/>
    <m/>
    <m/>
    <m/>
    <m/>
    <m/>
    <m/>
    <m/>
    <m/>
    <m/>
    <m/>
    <m/>
    <m/>
    <m/>
    <m/>
  </r>
  <r>
    <x v="15"/>
    <x v="16"/>
    <m/>
    <m/>
    <m/>
    <m/>
    <m/>
    <m/>
    <m/>
    <m/>
    <m/>
    <m/>
    <m/>
    <m/>
    <m/>
    <m/>
    <m/>
    <m/>
    <m/>
  </r>
  <r>
    <x v="15"/>
    <x v="17"/>
    <m/>
    <m/>
    <m/>
    <m/>
    <m/>
    <m/>
    <m/>
    <m/>
    <m/>
    <m/>
    <m/>
    <m/>
    <m/>
    <m/>
    <m/>
    <m/>
    <m/>
  </r>
  <r>
    <x v="15"/>
    <x v="18"/>
    <m/>
    <m/>
    <m/>
    <m/>
    <m/>
    <m/>
    <m/>
    <m/>
    <m/>
    <m/>
    <m/>
    <m/>
    <m/>
    <m/>
    <m/>
    <m/>
    <m/>
  </r>
  <r>
    <x v="15"/>
    <x v="19"/>
    <m/>
    <m/>
    <m/>
    <m/>
    <m/>
    <m/>
    <m/>
    <m/>
    <m/>
    <m/>
    <m/>
    <m/>
    <m/>
    <m/>
    <m/>
    <m/>
    <m/>
  </r>
  <r>
    <x v="15"/>
    <x v="20"/>
    <m/>
    <m/>
    <m/>
    <m/>
    <m/>
    <m/>
    <m/>
    <m/>
    <m/>
    <m/>
    <m/>
    <m/>
    <m/>
    <m/>
    <m/>
    <m/>
    <m/>
  </r>
  <r>
    <x v="15"/>
    <x v="21"/>
    <m/>
    <m/>
    <m/>
    <m/>
    <m/>
    <m/>
    <m/>
    <m/>
    <m/>
    <m/>
    <m/>
    <m/>
    <m/>
    <m/>
    <m/>
    <m/>
    <m/>
  </r>
  <r>
    <x v="15"/>
    <x v="22"/>
    <m/>
    <m/>
    <m/>
    <m/>
    <m/>
    <m/>
    <m/>
    <m/>
    <m/>
    <m/>
    <m/>
    <m/>
    <m/>
    <m/>
    <m/>
    <m/>
    <m/>
  </r>
  <r>
    <x v="15"/>
    <x v="23"/>
    <m/>
    <m/>
    <m/>
    <m/>
    <m/>
    <m/>
    <m/>
    <m/>
    <m/>
    <m/>
    <m/>
    <m/>
    <m/>
    <m/>
    <m/>
    <m/>
    <m/>
  </r>
  <r>
    <x v="15"/>
    <x v="24"/>
    <m/>
    <m/>
    <m/>
    <m/>
    <m/>
    <m/>
    <m/>
    <m/>
    <m/>
    <m/>
    <m/>
    <m/>
    <m/>
    <m/>
    <m/>
    <m/>
    <m/>
  </r>
  <r>
    <x v="15"/>
    <x v="25"/>
    <m/>
    <m/>
    <m/>
    <m/>
    <m/>
    <m/>
    <m/>
    <m/>
    <m/>
    <m/>
    <m/>
    <m/>
    <m/>
    <m/>
    <m/>
    <m/>
    <m/>
  </r>
  <r>
    <x v="15"/>
    <x v="26"/>
    <m/>
    <m/>
    <m/>
    <m/>
    <m/>
    <m/>
    <m/>
    <m/>
    <m/>
    <m/>
    <m/>
    <m/>
    <m/>
    <m/>
    <m/>
    <m/>
    <m/>
  </r>
  <r>
    <x v="15"/>
    <x v="27"/>
    <m/>
    <m/>
    <m/>
    <m/>
    <m/>
    <m/>
    <m/>
    <m/>
    <m/>
    <m/>
    <m/>
    <m/>
    <m/>
    <m/>
    <m/>
    <m/>
    <m/>
  </r>
  <r>
    <x v="15"/>
    <x v="28"/>
    <m/>
    <m/>
    <m/>
    <m/>
    <m/>
    <m/>
    <m/>
    <m/>
    <m/>
    <m/>
    <m/>
    <m/>
    <m/>
    <m/>
    <m/>
    <m/>
    <m/>
  </r>
  <r>
    <x v="15"/>
    <x v="29"/>
    <m/>
    <m/>
    <m/>
    <m/>
    <m/>
    <m/>
    <n v="3"/>
    <m/>
    <n v="5"/>
    <m/>
    <n v="3"/>
    <n v="5"/>
    <n v="1"/>
    <n v="3"/>
    <m/>
    <n v="8"/>
    <m/>
  </r>
  <r>
    <x v="15"/>
    <x v="30"/>
    <m/>
    <m/>
    <m/>
    <m/>
    <m/>
    <m/>
    <n v="4"/>
    <m/>
    <n v="2"/>
    <m/>
    <n v="4"/>
    <n v="5"/>
    <m/>
    <n v="4"/>
    <m/>
    <n v="4"/>
    <m/>
  </r>
  <r>
    <x v="15"/>
    <x v="31"/>
    <m/>
    <m/>
    <m/>
    <m/>
    <m/>
    <m/>
    <m/>
    <m/>
    <m/>
    <m/>
    <m/>
    <m/>
    <m/>
    <m/>
    <m/>
    <m/>
    <m/>
  </r>
  <r>
    <x v="15"/>
    <x v="32"/>
    <m/>
    <m/>
    <m/>
    <m/>
    <m/>
    <m/>
    <m/>
    <m/>
    <m/>
    <m/>
    <m/>
    <m/>
    <m/>
    <m/>
    <m/>
    <m/>
    <m/>
  </r>
  <r>
    <x v="15"/>
    <x v="33"/>
    <m/>
    <m/>
    <m/>
    <m/>
    <m/>
    <m/>
    <m/>
    <m/>
    <m/>
    <m/>
    <m/>
    <m/>
    <m/>
    <m/>
    <m/>
    <m/>
    <m/>
  </r>
  <r>
    <x v="15"/>
    <x v="34"/>
    <m/>
    <m/>
    <m/>
    <m/>
    <m/>
    <m/>
    <m/>
    <m/>
    <m/>
    <m/>
    <m/>
    <m/>
    <m/>
    <m/>
    <m/>
    <m/>
    <m/>
  </r>
  <r>
    <x v="15"/>
    <x v="35"/>
    <m/>
    <m/>
    <m/>
    <m/>
    <m/>
    <m/>
    <m/>
    <m/>
    <m/>
    <m/>
    <m/>
    <m/>
    <m/>
    <m/>
    <m/>
    <m/>
    <m/>
  </r>
  <r>
    <x v="15"/>
    <x v="36"/>
    <m/>
    <m/>
    <m/>
    <m/>
    <m/>
    <m/>
    <m/>
    <m/>
    <m/>
    <m/>
    <m/>
    <m/>
    <m/>
    <m/>
    <m/>
    <m/>
    <m/>
  </r>
  <r>
    <x v="15"/>
    <x v="37"/>
    <m/>
    <m/>
    <m/>
    <m/>
    <m/>
    <m/>
    <m/>
    <m/>
    <m/>
    <m/>
    <m/>
    <m/>
    <m/>
    <m/>
    <m/>
    <m/>
    <m/>
  </r>
  <r>
    <x v="15"/>
    <x v="38"/>
    <m/>
    <m/>
    <m/>
    <m/>
    <m/>
    <m/>
    <m/>
    <m/>
    <m/>
    <m/>
    <m/>
    <m/>
    <m/>
    <m/>
    <m/>
    <m/>
    <m/>
  </r>
  <r>
    <x v="15"/>
    <x v="39"/>
    <m/>
    <m/>
    <m/>
    <m/>
    <m/>
    <m/>
    <n v="3"/>
    <m/>
    <n v="5"/>
    <m/>
    <n v="2"/>
    <n v="5"/>
    <n v="1"/>
    <n v="2"/>
    <m/>
    <n v="7"/>
    <m/>
  </r>
  <r>
    <x v="15"/>
    <x v="40"/>
    <m/>
    <m/>
    <m/>
    <m/>
    <m/>
    <m/>
    <m/>
    <m/>
    <m/>
    <m/>
    <m/>
    <m/>
    <m/>
    <m/>
    <m/>
    <m/>
    <m/>
  </r>
  <r>
    <x v="15"/>
    <x v="41"/>
    <m/>
    <m/>
    <m/>
    <m/>
    <m/>
    <m/>
    <m/>
    <m/>
    <m/>
    <m/>
    <m/>
    <m/>
    <m/>
    <m/>
    <m/>
    <m/>
    <m/>
  </r>
  <r>
    <x v="15"/>
    <x v="42"/>
    <m/>
    <m/>
    <m/>
    <m/>
    <m/>
    <m/>
    <m/>
    <m/>
    <m/>
    <m/>
    <m/>
    <m/>
    <m/>
    <m/>
    <m/>
    <m/>
    <m/>
  </r>
  <r>
    <x v="15"/>
    <x v="43"/>
    <m/>
    <m/>
    <m/>
    <m/>
    <m/>
    <m/>
    <m/>
    <m/>
    <m/>
    <m/>
    <m/>
    <m/>
    <m/>
    <m/>
    <m/>
    <m/>
    <m/>
  </r>
  <r>
    <x v="15"/>
    <x v="44"/>
    <m/>
    <m/>
    <m/>
    <m/>
    <m/>
    <m/>
    <m/>
    <m/>
    <m/>
    <m/>
    <m/>
    <m/>
    <m/>
    <m/>
    <m/>
    <m/>
    <m/>
  </r>
  <r>
    <x v="15"/>
    <x v="45"/>
    <m/>
    <m/>
    <m/>
    <m/>
    <m/>
    <m/>
    <m/>
    <m/>
    <m/>
    <m/>
    <m/>
    <m/>
    <m/>
    <m/>
    <m/>
    <m/>
    <m/>
  </r>
  <r>
    <x v="15"/>
    <x v="46"/>
    <m/>
    <m/>
    <m/>
    <m/>
    <m/>
    <m/>
    <m/>
    <m/>
    <m/>
    <m/>
    <m/>
    <m/>
    <m/>
    <m/>
    <m/>
    <m/>
    <m/>
  </r>
  <r>
    <x v="15"/>
    <x v="47"/>
    <m/>
    <m/>
    <m/>
    <m/>
    <m/>
    <m/>
    <m/>
    <m/>
    <m/>
    <m/>
    <m/>
    <m/>
    <m/>
    <m/>
    <m/>
    <m/>
    <m/>
  </r>
  <r>
    <x v="15"/>
    <x v="48"/>
    <m/>
    <m/>
    <m/>
    <m/>
    <m/>
    <m/>
    <m/>
    <m/>
    <m/>
    <m/>
    <m/>
    <m/>
    <m/>
    <m/>
    <m/>
    <m/>
    <m/>
  </r>
  <r>
    <x v="15"/>
    <x v="49"/>
    <m/>
    <m/>
    <m/>
    <m/>
    <m/>
    <m/>
    <m/>
    <m/>
    <m/>
    <m/>
    <m/>
    <m/>
    <m/>
    <m/>
    <m/>
    <m/>
    <m/>
  </r>
  <r>
    <x v="15"/>
    <x v="50"/>
    <m/>
    <m/>
    <m/>
    <m/>
    <m/>
    <m/>
    <m/>
    <m/>
    <m/>
    <m/>
    <m/>
    <m/>
    <m/>
    <m/>
    <m/>
    <m/>
    <m/>
  </r>
  <r>
    <x v="15"/>
    <x v="51"/>
    <m/>
    <m/>
    <m/>
    <m/>
    <m/>
    <m/>
    <m/>
    <m/>
    <m/>
    <m/>
    <m/>
    <m/>
    <m/>
    <m/>
    <m/>
    <m/>
    <m/>
  </r>
  <r>
    <x v="16"/>
    <x v="9"/>
    <m/>
    <m/>
    <m/>
    <m/>
    <m/>
    <m/>
    <n v="1"/>
    <m/>
    <m/>
    <m/>
    <n v="1"/>
    <m/>
    <n v="1"/>
    <m/>
    <m/>
    <n v="1"/>
    <m/>
  </r>
  <r>
    <x v="16"/>
    <x v="56"/>
    <n v="1"/>
    <m/>
    <n v="1"/>
    <m/>
    <n v="1"/>
    <m/>
    <n v="1"/>
    <m/>
    <m/>
    <n v="1"/>
    <m/>
    <n v="1"/>
    <n v="1"/>
    <n v="1"/>
    <m/>
    <n v="1"/>
    <m/>
  </r>
  <r>
    <x v="16"/>
    <x v="16"/>
    <n v="1"/>
    <m/>
    <n v="1"/>
    <m/>
    <n v="1"/>
    <m/>
    <m/>
    <m/>
    <m/>
    <m/>
    <m/>
    <m/>
    <m/>
    <m/>
    <m/>
    <m/>
    <m/>
  </r>
  <r>
    <x v="16"/>
    <x v="17"/>
    <n v="1"/>
    <m/>
    <n v="1"/>
    <m/>
    <n v="1"/>
    <m/>
    <m/>
    <m/>
    <m/>
    <n v="1"/>
    <m/>
    <m/>
    <n v="1"/>
    <m/>
    <m/>
    <n v="1"/>
    <m/>
  </r>
  <r>
    <x v="16"/>
    <x v="20"/>
    <n v="1"/>
    <n v="1"/>
    <n v="1"/>
    <n v="1"/>
    <n v="1"/>
    <n v="1"/>
    <m/>
    <m/>
    <m/>
    <m/>
    <m/>
    <n v="1"/>
    <n v="1"/>
    <m/>
    <n v="1"/>
    <n v="1"/>
    <m/>
  </r>
  <r>
    <x v="16"/>
    <x v="57"/>
    <n v="1"/>
    <n v="1"/>
    <n v="1"/>
    <n v="1"/>
    <n v="1"/>
    <n v="1"/>
    <m/>
    <m/>
    <n v="1"/>
    <m/>
    <m/>
    <m/>
    <n v="1"/>
    <m/>
    <n v="1"/>
    <n v="1"/>
    <m/>
  </r>
  <r>
    <x v="16"/>
    <x v="23"/>
    <m/>
    <m/>
    <m/>
    <m/>
    <m/>
    <m/>
    <m/>
    <m/>
    <m/>
    <m/>
    <m/>
    <m/>
    <n v="1"/>
    <m/>
    <m/>
    <n v="1"/>
    <m/>
  </r>
  <r>
    <x v="16"/>
    <x v="24"/>
    <n v="1"/>
    <m/>
    <n v="1"/>
    <m/>
    <n v="1"/>
    <m/>
    <n v="1"/>
    <m/>
    <m/>
    <m/>
    <m/>
    <m/>
    <m/>
    <m/>
    <m/>
    <m/>
    <m/>
  </r>
  <r>
    <x v="16"/>
    <x v="26"/>
    <n v="1"/>
    <m/>
    <n v="1"/>
    <m/>
    <n v="1"/>
    <m/>
    <m/>
    <m/>
    <m/>
    <m/>
    <m/>
    <m/>
    <m/>
    <m/>
    <m/>
    <m/>
    <m/>
  </r>
  <r>
    <x v="16"/>
    <x v="58"/>
    <m/>
    <m/>
    <m/>
    <m/>
    <m/>
    <m/>
    <m/>
    <m/>
    <n v="1"/>
    <m/>
    <n v="1"/>
    <m/>
    <n v="1"/>
    <n v="1"/>
    <m/>
    <n v="1"/>
    <m/>
  </r>
  <r>
    <x v="16"/>
    <x v="27"/>
    <m/>
    <n v="1"/>
    <m/>
    <n v="1"/>
    <m/>
    <n v="1"/>
    <m/>
    <m/>
    <m/>
    <m/>
    <m/>
    <n v="2"/>
    <m/>
    <m/>
    <m/>
    <m/>
    <m/>
  </r>
  <r>
    <x v="16"/>
    <x v="59"/>
    <m/>
    <m/>
    <m/>
    <m/>
    <m/>
    <m/>
    <n v="3"/>
    <n v="1"/>
    <n v="1"/>
    <m/>
    <m/>
    <m/>
    <n v="1"/>
    <m/>
    <n v="1"/>
    <n v="1"/>
    <m/>
  </r>
  <r>
    <x v="16"/>
    <x v="33"/>
    <n v="1"/>
    <m/>
    <n v="1"/>
    <m/>
    <n v="1"/>
    <m/>
    <m/>
    <n v="1"/>
    <m/>
    <m/>
    <m/>
    <m/>
    <n v="1"/>
    <m/>
    <m/>
    <n v="1"/>
    <m/>
  </r>
  <r>
    <x v="16"/>
    <x v="36"/>
    <n v="1"/>
    <n v="1"/>
    <n v="1"/>
    <n v="1"/>
    <n v="5"/>
    <n v="7"/>
    <n v="6"/>
    <n v="6"/>
    <n v="4"/>
    <m/>
    <m/>
    <m/>
    <n v="1"/>
    <m/>
    <m/>
    <n v="17"/>
    <m/>
  </r>
  <r>
    <x v="16"/>
    <x v="60"/>
    <m/>
    <m/>
    <m/>
    <m/>
    <m/>
    <m/>
    <m/>
    <m/>
    <m/>
    <m/>
    <m/>
    <m/>
    <n v="1"/>
    <m/>
    <n v="1"/>
    <n v="1"/>
    <m/>
  </r>
  <r>
    <x v="16"/>
    <x v="61"/>
    <m/>
    <m/>
    <m/>
    <m/>
    <m/>
    <m/>
    <m/>
    <m/>
    <m/>
    <m/>
    <m/>
    <m/>
    <n v="1"/>
    <m/>
    <m/>
    <n v="1"/>
    <m/>
  </r>
  <r>
    <x v="17"/>
    <x v="0"/>
    <m/>
    <m/>
    <m/>
    <m/>
    <m/>
    <m/>
    <m/>
    <m/>
    <m/>
    <m/>
    <m/>
    <m/>
    <m/>
    <m/>
    <m/>
    <m/>
    <m/>
  </r>
  <r>
    <x v="17"/>
    <x v="1"/>
    <m/>
    <m/>
    <m/>
    <m/>
    <m/>
    <m/>
    <m/>
    <m/>
    <m/>
    <m/>
    <m/>
    <m/>
    <m/>
    <m/>
    <m/>
    <m/>
    <m/>
  </r>
  <r>
    <x v="17"/>
    <x v="2"/>
    <m/>
    <m/>
    <m/>
    <m/>
    <m/>
    <m/>
    <m/>
    <m/>
    <m/>
    <m/>
    <m/>
    <m/>
    <m/>
    <m/>
    <m/>
    <m/>
    <m/>
  </r>
  <r>
    <x v="17"/>
    <x v="3"/>
    <m/>
    <m/>
    <m/>
    <m/>
    <m/>
    <m/>
    <m/>
    <m/>
    <m/>
    <m/>
    <m/>
    <m/>
    <m/>
    <m/>
    <m/>
    <m/>
    <m/>
  </r>
  <r>
    <x v="17"/>
    <x v="4"/>
    <m/>
    <m/>
    <m/>
    <m/>
    <m/>
    <m/>
    <m/>
    <m/>
    <m/>
    <m/>
    <m/>
    <m/>
    <m/>
    <m/>
    <m/>
    <m/>
    <m/>
  </r>
  <r>
    <x v="17"/>
    <x v="5"/>
    <m/>
    <m/>
    <m/>
    <m/>
    <m/>
    <m/>
    <m/>
    <m/>
    <m/>
    <m/>
    <m/>
    <m/>
    <m/>
    <n v="2"/>
    <m/>
    <m/>
    <m/>
  </r>
  <r>
    <x v="17"/>
    <x v="6"/>
    <m/>
    <m/>
    <m/>
    <m/>
    <m/>
    <m/>
    <m/>
    <m/>
    <m/>
    <m/>
    <m/>
    <m/>
    <m/>
    <m/>
    <m/>
    <m/>
    <m/>
  </r>
  <r>
    <x v="17"/>
    <x v="7"/>
    <m/>
    <m/>
    <m/>
    <m/>
    <m/>
    <m/>
    <m/>
    <m/>
    <m/>
    <m/>
    <m/>
    <m/>
    <m/>
    <m/>
    <m/>
    <m/>
    <m/>
  </r>
  <r>
    <x v="17"/>
    <x v="8"/>
    <m/>
    <m/>
    <m/>
    <m/>
    <m/>
    <m/>
    <m/>
    <m/>
    <m/>
    <m/>
    <m/>
    <m/>
    <m/>
    <m/>
    <m/>
    <m/>
    <m/>
  </r>
  <r>
    <x v="17"/>
    <x v="9"/>
    <m/>
    <m/>
    <m/>
    <m/>
    <m/>
    <m/>
    <m/>
    <m/>
    <m/>
    <m/>
    <m/>
    <m/>
    <m/>
    <m/>
    <m/>
    <m/>
    <m/>
  </r>
  <r>
    <x v="17"/>
    <x v="10"/>
    <m/>
    <m/>
    <m/>
    <m/>
    <m/>
    <m/>
    <m/>
    <m/>
    <m/>
    <m/>
    <m/>
    <m/>
    <m/>
    <m/>
    <m/>
    <m/>
    <m/>
  </r>
  <r>
    <x v="17"/>
    <x v="11"/>
    <m/>
    <m/>
    <m/>
    <m/>
    <m/>
    <m/>
    <m/>
    <m/>
    <m/>
    <m/>
    <m/>
    <m/>
    <m/>
    <m/>
    <m/>
    <m/>
    <m/>
  </r>
  <r>
    <x v="17"/>
    <x v="12"/>
    <m/>
    <m/>
    <m/>
    <m/>
    <m/>
    <m/>
    <m/>
    <m/>
    <m/>
    <m/>
    <m/>
    <m/>
    <m/>
    <m/>
    <m/>
    <m/>
    <m/>
  </r>
  <r>
    <x v="17"/>
    <x v="13"/>
    <m/>
    <m/>
    <m/>
    <m/>
    <m/>
    <m/>
    <m/>
    <m/>
    <m/>
    <m/>
    <m/>
    <m/>
    <m/>
    <m/>
    <m/>
    <m/>
    <m/>
  </r>
  <r>
    <x v="17"/>
    <x v="14"/>
    <m/>
    <m/>
    <m/>
    <m/>
    <m/>
    <m/>
    <m/>
    <m/>
    <m/>
    <m/>
    <m/>
    <m/>
    <m/>
    <m/>
    <m/>
    <m/>
    <m/>
  </r>
  <r>
    <x v="17"/>
    <x v="15"/>
    <m/>
    <m/>
    <m/>
    <m/>
    <m/>
    <m/>
    <m/>
    <m/>
    <m/>
    <m/>
    <m/>
    <m/>
    <m/>
    <m/>
    <m/>
    <m/>
    <m/>
  </r>
  <r>
    <x v="17"/>
    <x v="16"/>
    <m/>
    <m/>
    <m/>
    <m/>
    <m/>
    <m/>
    <m/>
    <m/>
    <m/>
    <m/>
    <m/>
    <m/>
    <m/>
    <m/>
    <m/>
    <m/>
    <m/>
  </r>
  <r>
    <x v="17"/>
    <x v="17"/>
    <m/>
    <m/>
    <m/>
    <m/>
    <m/>
    <m/>
    <m/>
    <m/>
    <m/>
    <m/>
    <m/>
    <m/>
    <m/>
    <m/>
    <m/>
    <m/>
    <m/>
  </r>
  <r>
    <x v="17"/>
    <x v="18"/>
    <m/>
    <m/>
    <m/>
    <m/>
    <m/>
    <m/>
    <m/>
    <m/>
    <m/>
    <m/>
    <m/>
    <m/>
    <m/>
    <m/>
    <m/>
    <m/>
    <m/>
  </r>
  <r>
    <x v="17"/>
    <x v="19"/>
    <m/>
    <m/>
    <m/>
    <m/>
    <m/>
    <m/>
    <m/>
    <m/>
    <m/>
    <m/>
    <m/>
    <m/>
    <m/>
    <m/>
    <m/>
    <m/>
    <m/>
  </r>
  <r>
    <x v="17"/>
    <x v="20"/>
    <m/>
    <m/>
    <m/>
    <m/>
    <m/>
    <m/>
    <m/>
    <m/>
    <m/>
    <m/>
    <m/>
    <m/>
    <m/>
    <m/>
    <m/>
    <m/>
    <m/>
  </r>
  <r>
    <x v="17"/>
    <x v="21"/>
    <m/>
    <m/>
    <m/>
    <m/>
    <m/>
    <m/>
    <m/>
    <m/>
    <m/>
    <m/>
    <m/>
    <m/>
    <m/>
    <m/>
    <m/>
    <m/>
    <m/>
  </r>
  <r>
    <x v="17"/>
    <x v="22"/>
    <m/>
    <m/>
    <m/>
    <m/>
    <m/>
    <m/>
    <m/>
    <m/>
    <m/>
    <m/>
    <m/>
    <m/>
    <m/>
    <m/>
    <m/>
    <m/>
    <m/>
  </r>
  <r>
    <x v="17"/>
    <x v="23"/>
    <m/>
    <m/>
    <m/>
    <m/>
    <m/>
    <m/>
    <m/>
    <m/>
    <m/>
    <m/>
    <m/>
    <m/>
    <m/>
    <m/>
    <m/>
    <m/>
    <m/>
  </r>
  <r>
    <x v="17"/>
    <x v="24"/>
    <m/>
    <m/>
    <m/>
    <m/>
    <m/>
    <m/>
    <m/>
    <m/>
    <m/>
    <m/>
    <m/>
    <m/>
    <m/>
    <m/>
    <m/>
    <m/>
    <m/>
  </r>
  <r>
    <x v="17"/>
    <x v="25"/>
    <m/>
    <m/>
    <m/>
    <m/>
    <m/>
    <m/>
    <m/>
    <m/>
    <m/>
    <m/>
    <m/>
    <m/>
    <m/>
    <m/>
    <m/>
    <m/>
    <m/>
  </r>
  <r>
    <x v="17"/>
    <x v="26"/>
    <m/>
    <m/>
    <m/>
    <m/>
    <m/>
    <m/>
    <m/>
    <m/>
    <m/>
    <m/>
    <m/>
    <m/>
    <m/>
    <m/>
    <m/>
    <m/>
    <m/>
  </r>
  <r>
    <x v="17"/>
    <x v="27"/>
    <m/>
    <m/>
    <m/>
    <m/>
    <m/>
    <m/>
    <m/>
    <m/>
    <m/>
    <m/>
    <m/>
    <m/>
    <m/>
    <m/>
    <m/>
    <m/>
    <m/>
  </r>
  <r>
    <x v="17"/>
    <x v="28"/>
    <m/>
    <m/>
    <m/>
    <m/>
    <m/>
    <m/>
    <m/>
    <m/>
    <m/>
    <m/>
    <m/>
    <m/>
    <m/>
    <m/>
    <m/>
    <m/>
    <m/>
  </r>
  <r>
    <x v="17"/>
    <x v="29"/>
    <m/>
    <m/>
    <m/>
    <m/>
    <m/>
    <m/>
    <m/>
    <m/>
    <m/>
    <m/>
    <m/>
    <m/>
    <m/>
    <m/>
    <m/>
    <m/>
    <m/>
  </r>
  <r>
    <x v="17"/>
    <x v="30"/>
    <m/>
    <m/>
    <m/>
    <m/>
    <m/>
    <m/>
    <m/>
    <m/>
    <m/>
    <m/>
    <m/>
    <m/>
    <m/>
    <m/>
    <m/>
    <m/>
    <m/>
  </r>
  <r>
    <x v="17"/>
    <x v="31"/>
    <m/>
    <m/>
    <m/>
    <m/>
    <m/>
    <m/>
    <m/>
    <m/>
    <m/>
    <m/>
    <m/>
    <n v="2"/>
    <m/>
    <m/>
    <m/>
    <n v="6"/>
    <m/>
  </r>
  <r>
    <x v="17"/>
    <x v="32"/>
    <m/>
    <m/>
    <m/>
    <m/>
    <m/>
    <m/>
    <m/>
    <m/>
    <m/>
    <m/>
    <m/>
    <m/>
    <m/>
    <m/>
    <m/>
    <m/>
    <m/>
  </r>
  <r>
    <x v="17"/>
    <x v="33"/>
    <m/>
    <m/>
    <m/>
    <m/>
    <m/>
    <m/>
    <m/>
    <m/>
    <m/>
    <m/>
    <m/>
    <m/>
    <m/>
    <m/>
    <m/>
    <m/>
    <m/>
  </r>
  <r>
    <x v="17"/>
    <x v="34"/>
    <m/>
    <m/>
    <m/>
    <m/>
    <m/>
    <m/>
    <m/>
    <m/>
    <m/>
    <m/>
    <m/>
    <m/>
    <m/>
    <m/>
    <m/>
    <m/>
    <m/>
  </r>
  <r>
    <x v="17"/>
    <x v="35"/>
    <m/>
    <m/>
    <m/>
    <m/>
    <m/>
    <m/>
    <m/>
    <m/>
    <m/>
    <m/>
    <m/>
    <m/>
    <m/>
    <m/>
    <m/>
    <m/>
    <m/>
  </r>
  <r>
    <x v="17"/>
    <x v="36"/>
    <m/>
    <m/>
    <m/>
    <m/>
    <m/>
    <m/>
    <m/>
    <m/>
    <m/>
    <m/>
    <m/>
    <m/>
    <m/>
    <m/>
    <m/>
    <m/>
    <m/>
  </r>
  <r>
    <x v="17"/>
    <x v="37"/>
    <m/>
    <m/>
    <m/>
    <m/>
    <m/>
    <m/>
    <m/>
    <m/>
    <m/>
    <m/>
    <m/>
    <m/>
    <m/>
    <m/>
    <m/>
    <m/>
    <m/>
  </r>
  <r>
    <x v="17"/>
    <x v="38"/>
    <m/>
    <m/>
    <m/>
    <m/>
    <m/>
    <m/>
    <m/>
    <m/>
    <m/>
    <m/>
    <m/>
    <m/>
    <m/>
    <m/>
    <m/>
    <m/>
    <m/>
  </r>
  <r>
    <x v="17"/>
    <x v="39"/>
    <m/>
    <m/>
    <m/>
    <m/>
    <m/>
    <m/>
    <m/>
    <m/>
    <m/>
    <m/>
    <m/>
    <m/>
    <m/>
    <m/>
    <m/>
    <m/>
    <m/>
  </r>
  <r>
    <x v="17"/>
    <x v="40"/>
    <m/>
    <m/>
    <m/>
    <m/>
    <m/>
    <m/>
    <m/>
    <m/>
    <m/>
    <m/>
    <m/>
    <m/>
    <m/>
    <m/>
    <m/>
    <m/>
    <m/>
  </r>
  <r>
    <x v="17"/>
    <x v="41"/>
    <m/>
    <m/>
    <m/>
    <m/>
    <m/>
    <m/>
    <m/>
    <m/>
    <m/>
    <m/>
    <m/>
    <m/>
    <m/>
    <m/>
    <m/>
    <m/>
    <m/>
  </r>
  <r>
    <x v="17"/>
    <x v="42"/>
    <m/>
    <m/>
    <m/>
    <m/>
    <m/>
    <m/>
    <m/>
    <m/>
    <m/>
    <m/>
    <m/>
    <m/>
    <m/>
    <m/>
    <m/>
    <m/>
    <m/>
  </r>
  <r>
    <x v="17"/>
    <x v="43"/>
    <m/>
    <m/>
    <m/>
    <m/>
    <m/>
    <m/>
    <m/>
    <m/>
    <m/>
    <m/>
    <m/>
    <m/>
    <m/>
    <m/>
    <m/>
    <m/>
    <m/>
  </r>
  <r>
    <x v="17"/>
    <x v="44"/>
    <m/>
    <m/>
    <m/>
    <m/>
    <m/>
    <m/>
    <m/>
    <m/>
    <m/>
    <m/>
    <m/>
    <m/>
    <m/>
    <m/>
    <m/>
    <m/>
    <m/>
  </r>
  <r>
    <x v="17"/>
    <x v="45"/>
    <m/>
    <m/>
    <m/>
    <m/>
    <m/>
    <m/>
    <m/>
    <m/>
    <m/>
    <m/>
    <m/>
    <m/>
    <m/>
    <m/>
    <m/>
    <m/>
    <m/>
  </r>
  <r>
    <x v="17"/>
    <x v="46"/>
    <m/>
    <m/>
    <m/>
    <m/>
    <m/>
    <m/>
    <m/>
    <m/>
    <m/>
    <m/>
    <m/>
    <m/>
    <m/>
    <m/>
    <m/>
    <m/>
    <m/>
  </r>
  <r>
    <x v="17"/>
    <x v="47"/>
    <m/>
    <m/>
    <m/>
    <m/>
    <m/>
    <m/>
    <m/>
    <m/>
    <m/>
    <m/>
    <m/>
    <m/>
    <m/>
    <m/>
    <m/>
    <m/>
    <m/>
  </r>
  <r>
    <x v="17"/>
    <x v="48"/>
    <m/>
    <m/>
    <m/>
    <m/>
    <m/>
    <m/>
    <m/>
    <m/>
    <m/>
    <m/>
    <m/>
    <m/>
    <m/>
    <m/>
    <m/>
    <m/>
    <m/>
  </r>
  <r>
    <x v="17"/>
    <x v="49"/>
    <m/>
    <m/>
    <m/>
    <m/>
    <m/>
    <m/>
    <m/>
    <m/>
    <m/>
    <m/>
    <m/>
    <m/>
    <m/>
    <m/>
    <m/>
    <m/>
    <m/>
  </r>
  <r>
    <x v="17"/>
    <x v="50"/>
    <m/>
    <m/>
    <m/>
    <m/>
    <m/>
    <m/>
    <m/>
    <m/>
    <m/>
    <m/>
    <m/>
    <m/>
    <m/>
    <m/>
    <m/>
    <m/>
    <m/>
  </r>
  <r>
    <x v="17"/>
    <x v="51"/>
    <m/>
    <m/>
    <m/>
    <m/>
    <m/>
    <m/>
    <m/>
    <m/>
    <m/>
    <m/>
    <m/>
    <m/>
    <m/>
    <m/>
    <m/>
    <m/>
    <m/>
  </r>
  <r>
    <x v="18"/>
    <x v="0"/>
    <m/>
    <m/>
    <m/>
    <m/>
    <m/>
    <m/>
    <m/>
    <m/>
    <m/>
    <m/>
    <m/>
    <m/>
    <m/>
    <m/>
    <m/>
    <m/>
    <m/>
  </r>
  <r>
    <x v="18"/>
    <x v="1"/>
    <m/>
    <m/>
    <m/>
    <m/>
    <m/>
    <m/>
    <m/>
    <m/>
    <m/>
    <m/>
    <m/>
    <m/>
    <m/>
    <m/>
    <m/>
    <m/>
    <m/>
  </r>
  <r>
    <x v="18"/>
    <x v="2"/>
    <n v="1"/>
    <n v="1"/>
    <n v="1"/>
    <n v="1"/>
    <n v="1"/>
    <n v="1"/>
    <n v="1"/>
    <n v="1"/>
    <m/>
    <n v="1"/>
    <n v="1"/>
    <n v="1"/>
    <m/>
    <n v="1"/>
    <m/>
    <m/>
    <m/>
  </r>
  <r>
    <x v="18"/>
    <x v="3"/>
    <m/>
    <m/>
    <m/>
    <m/>
    <m/>
    <m/>
    <m/>
    <m/>
    <m/>
    <m/>
    <m/>
    <m/>
    <m/>
    <m/>
    <m/>
    <m/>
    <m/>
  </r>
  <r>
    <x v="18"/>
    <x v="4"/>
    <m/>
    <m/>
    <m/>
    <m/>
    <m/>
    <m/>
    <m/>
    <m/>
    <m/>
    <m/>
    <m/>
    <m/>
    <m/>
    <m/>
    <m/>
    <m/>
    <m/>
  </r>
  <r>
    <x v="18"/>
    <x v="5"/>
    <m/>
    <m/>
    <m/>
    <m/>
    <m/>
    <m/>
    <n v="11"/>
    <m/>
    <n v="32"/>
    <m/>
    <n v="31"/>
    <n v="35"/>
    <n v="22"/>
    <n v="34"/>
    <n v="6"/>
    <n v="34"/>
    <m/>
  </r>
  <r>
    <x v="18"/>
    <x v="6"/>
    <m/>
    <m/>
    <m/>
    <m/>
    <m/>
    <m/>
    <m/>
    <m/>
    <m/>
    <m/>
    <m/>
    <m/>
    <m/>
    <m/>
    <m/>
    <m/>
    <m/>
  </r>
  <r>
    <x v="18"/>
    <x v="7"/>
    <m/>
    <m/>
    <m/>
    <m/>
    <m/>
    <m/>
    <m/>
    <m/>
    <m/>
    <m/>
    <m/>
    <m/>
    <m/>
    <m/>
    <n v="1"/>
    <m/>
    <m/>
  </r>
  <r>
    <x v="18"/>
    <x v="8"/>
    <m/>
    <m/>
    <m/>
    <m/>
    <m/>
    <m/>
    <m/>
    <m/>
    <m/>
    <m/>
    <m/>
    <m/>
    <m/>
    <m/>
    <m/>
    <m/>
    <m/>
  </r>
  <r>
    <x v="18"/>
    <x v="9"/>
    <m/>
    <m/>
    <m/>
    <m/>
    <m/>
    <m/>
    <m/>
    <m/>
    <m/>
    <m/>
    <m/>
    <m/>
    <m/>
    <m/>
    <n v="1"/>
    <m/>
    <m/>
  </r>
  <r>
    <x v="18"/>
    <x v="10"/>
    <m/>
    <m/>
    <m/>
    <m/>
    <m/>
    <m/>
    <m/>
    <m/>
    <m/>
    <m/>
    <m/>
    <m/>
    <m/>
    <m/>
    <m/>
    <m/>
    <m/>
  </r>
  <r>
    <x v="18"/>
    <x v="11"/>
    <m/>
    <m/>
    <m/>
    <m/>
    <m/>
    <m/>
    <m/>
    <m/>
    <m/>
    <m/>
    <m/>
    <m/>
    <m/>
    <m/>
    <m/>
    <m/>
    <m/>
  </r>
  <r>
    <x v="18"/>
    <x v="12"/>
    <m/>
    <m/>
    <m/>
    <m/>
    <m/>
    <m/>
    <m/>
    <m/>
    <m/>
    <m/>
    <m/>
    <m/>
    <m/>
    <m/>
    <m/>
    <m/>
    <m/>
  </r>
  <r>
    <x v="18"/>
    <x v="13"/>
    <m/>
    <m/>
    <m/>
    <m/>
    <m/>
    <m/>
    <m/>
    <m/>
    <m/>
    <m/>
    <m/>
    <m/>
    <m/>
    <m/>
    <m/>
    <m/>
    <m/>
  </r>
  <r>
    <x v="18"/>
    <x v="14"/>
    <m/>
    <m/>
    <m/>
    <m/>
    <m/>
    <m/>
    <m/>
    <m/>
    <m/>
    <m/>
    <m/>
    <m/>
    <m/>
    <m/>
    <n v="1"/>
    <m/>
    <m/>
  </r>
  <r>
    <x v="18"/>
    <x v="15"/>
    <m/>
    <m/>
    <m/>
    <m/>
    <m/>
    <m/>
    <m/>
    <m/>
    <m/>
    <m/>
    <m/>
    <m/>
    <m/>
    <m/>
    <m/>
    <m/>
    <m/>
  </r>
  <r>
    <x v="18"/>
    <x v="16"/>
    <m/>
    <m/>
    <m/>
    <m/>
    <m/>
    <m/>
    <m/>
    <m/>
    <m/>
    <m/>
    <m/>
    <m/>
    <m/>
    <m/>
    <m/>
    <m/>
    <m/>
  </r>
  <r>
    <x v="18"/>
    <x v="17"/>
    <m/>
    <m/>
    <m/>
    <m/>
    <m/>
    <m/>
    <m/>
    <m/>
    <m/>
    <m/>
    <m/>
    <m/>
    <m/>
    <m/>
    <m/>
    <m/>
    <m/>
  </r>
  <r>
    <x v="18"/>
    <x v="18"/>
    <m/>
    <m/>
    <m/>
    <m/>
    <m/>
    <m/>
    <m/>
    <m/>
    <m/>
    <m/>
    <m/>
    <m/>
    <m/>
    <m/>
    <m/>
    <m/>
    <m/>
  </r>
  <r>
    <x v="18"/>
    <x v="19"/>
    <m/>
    <m/>
    <m/>
    <m/>
    <m/>
    <m/>
    <m/>
    <m/>
    <m/>
    <m/>
    <m/>
    <m/>
    <m/>
    <m/>
    <m/>
    <m/>
    <m/>
  </r>
  <r>
    <x v="18"/>
    <x v="20"/>
    <n v="1"/>
    <m/>
    <n v="1"/>
    <m/>
    <n v="1"/>
    <m/>
    <m/>
    <m/>
    <n v="1"/>
    <m/>
    <m/>
    <m/>
    <m/>
    <m/>
    <n v="1"/>
    <m/>
    <m/>
  </r>
  <r>
    <x v="18"/>
    <x v="21"/>
    <m/>
    <m/>
    <m/>
    <m/>
    <m/>
    <m/>
    <m/>
    <m/>
    <m/>
    <m/>
    <m/>
    <m/>
    <m/>
    <m/>
    <m/>
    <m/>
    <m/>
  </r>
  <r>
    <x v="18"/>
    <x v="22"/>
    <m/>
    <m/>
    <m/>
    <m/>
    <m/>
    <m/>
    <m/>
    <m/>
    <m/>
    <m/>
    <m/>
    <m/>
    <m/>
    <m/>
    <m/>
    <m/>
    <m/>
  </r>
  <r>
    <x v="18"/>
    <x v="23"/>
    <m/>
    <m/>
    <m/>
    <m/>
    <m/>
    <m/>
    <n v="3"/>
    <n v="1"/>
    <n v="1"/>
    <m/>
    <n v="1"/>
    <n v="1"/>
    <m/>
    <m/>
    <n v="2"/>
    <m/>
    <m/>
  </r>
  <r>
    <x v="18"/>
    <x v="24"/>
    <m/>
    <m/>
    <m/>
    <m/>
    <m/>
    <m/>
    <m/>
    <m/>
    <m/>
    <m/>
    <m/>
    <m/>
    <m/>
    <m/>
    <m/>
    <m/>
    <m/>
  </r>
  <r>
    <x v="18"/>
    <x v="25"/>
    <m/>
    <m/>
    <m/>
    <m/>
    <m/>
    <m/>
    <m/>
    <m/>
    <m/>
    <m/>
    <m/>
    <m/>
    <m/>
    <m/>
    <m/>
    <m/>
    <m/>
  </r>
  <r>
    <x v="18"/>
    <x v="26"/>
    <m/>
    <m/>
    <m/>
    <m/>
    <m/>
    <m/>
    <m/>
    <m/>
    <m/>
    <m/>
    <m/>
    <m/>
    <m/>
    <m/>
    <m/>
    <m/>
    <m/>
  </r>
  <r>
    <x v="18"/>
    <x v="27"/>
    <m/>
    <m/>
    <m/>
    <m/>
    <m/>
    <m/>
    <m/>
    <m/>
    <m/>
    <m/>
    <m/>
    <m/>
    <m/>
    <m/>
    <m/>
    <m/>
    <m/>
  </r>
  <r>
    <x v="18"/>
    <x v="28"/>
    <m/>
    <m/>
    <m/>
    <m/>
    <m/>
    <m/>
    <m/>
    <m/>
    <m/>
    <m/>
    <m/>
    <m/>
    <m/>
    <m/>
    <m/>
    <m/>
    <m/>
  </r>
  <r>
    <x v="18"/>
    <x v="29"/>
    <m/>
    <m/>
    <m/>
    <m/>
    <m/>
    <m/>
    <m/>
    <m/>
    <m/>
    <m/>
    <m/>
    <m/>
    <m/>
    <m/>
    <m/>
    <m/>
    <m/>
  </r>
  <r>
    <x v="18"/>
    <x v="30"/>
    <m/>
    <m/>
    <m/>
    <m/>
    <m/>
    <m/>
    <m/>
    <m/>
    <m/>
    <m/>
    <m/>
    <m/>
    <m/>
    <m/>
    <m/>
    <m/>
    <m/>
  </r>
  <r>
    <x v="18"/>
    <x v="31"/>
    <m/>
    <m/>
    <m/>
    <m/>
    <m/>
    <m/>
    <n v="2"/>
    <m/>
    <n v="1"/>
    <m/>
    <m/>
    <n v="1"/>
    <n v="1"/>
    <n v="3"/>
    <m/>
    <n v="2"/>
    <m/>
  </r>
  <r>
    <x v="18"/>
    <x v="32"/>
    <n v="10"/>
    <n v="2"/>
    <m/>
    <m/>
    <m/>
    <m/>
    <n v="14"/>
    <n v="4"/>
    <n v="6"/>
    <m/>
    <n v="25"/>
    <n v="15"/>
    <n v="29"/>
    <n v="26"/>
    <n v="38"/>
    <n v="38"/>
    <m/>
  </r>
  <r>
    <x v="18"/>
    <x v="33"/>
    <m/>
    <m/>
    <m/>
    <m/>
    <m/>
    <m/>
    <m/>
    <m/>
    <m/>
    <m/>
    <m/>
    <m/>
    <m/>
    <m/>
    <m/>
    <m/>
    <m/>
  </r>
  <r>
    <x v="18"/>
    <x v="34"/>
    <m/>
    <m/>
    <m/>
    <m/>
    <m/>
    <m/>
    <m/>
    <m/>
    <m/>
    <m/>
    <m/>
    <m/>
    <m/>
    <m/>
    <m/>
    <m/>
    <m/>
  </r>
  <r>
    <x v="18"/>
    <x v="35"/>
    <m/>
    <m/>
    <m/>
    <m/>
    <m/>
    <m/>
    <m/>
    <m/>
    <m/>
    <m/>
    <m/>
    <m/>
    <m/>
    <m/>
    <m/>
    <m/>
    <m/>
  </r>
  <r>
    <x v="18"/>
    <x v="36"/>
    <m/>
    <m/>
    <m/>
    <m/>
    <m/>
    <m/>
    <m/>
    <m/>
    <m/>
    <m/>
    <m/>
    <m/>
    <m/>
    <m/>
    <m/>
    <m/>
    <m/>
  </r>
  <r>
    <x v="18"/>
    <x v="37"/>
    <m/>
    <m/>
    <m/>
    <m/>
    <m/>
    <m/>
    <m/>
    <m/>
    <m/>
    <m/>
    <m/>
    <m/>
    <m/>
    <m/>
    <m/>
    <m/>
    <m/>
  </r>
  <r>
    <x v="18"/>
    <x v="38"/>
    <m/>
    <m/>
    <m/>
    <m/>
    <m/>
    <m/>
    <m/>
    <m/>
    <m/>
    <m/>
    <m/>
    <m/>
    <m/>
    <m/>
    <m/>
    <m/>
    <m/>
  </r>
  <r>
    <x v="18"/>
    <x v="39"/>
    <m/>
    <m/>
    <m/>
    <m/>
    <m/>
    <m/>
    <m/>
    <m/>
    <m/>
    <m/>
    <m/>
    <m/>
    <m/>
    <m/>
    <m/>
    <m/>
    <m/>
  </r>
  <r>
    <x v="18"/>
    <x v="40"/>
    <m/>
    <m/>
    <m/>
    <m/>
    <m/>
    <m/>
    <m/>
    <m/>
    <m/>
    <m/>
    <m/>
    <m/>
    <m/>
    <m/>
    <m/>
    <m/>
    <m/>
  </r>
  <r>
    <x v="18"/>
    <x v="41"/>
    <m/>
    <m/>
    <m/>
    <m/>
    <m/>
    <m/>
    <m/>
    <m/>
    <m/>
    <m/>
    <m/>
    <m/>
    <m/>
    <m/>
    <m/>
    <m/>
    <m/>
  </r>
  <r>
    <x v="18"/>
    <x v="42"/>
    <m/>
    <m/>
    <m/>
    <m/>
    <m/>
    <m/>
    <m/>
    <m/>
    <n v="4"/>
    <m/>
    <n v="3"/>
    <n v="3"/>
    <m/>
    <n v="3"/>
    <n v="4"/>
    <m/>
    <m/>
  </r>
  <r>
    <x v="18"/>
    <x v="43"/>
    <m/>
    <m/>
    <m/>
    <m/>
    <m/>
    <m/>
    <m/>
    <m/>
    <m/>
    <m/>
    <m/>
    <m/>
    <m/>
    <m/>
    <m/>
    <m/>
    <m/>
  </r>
  <r>
    <x v="18"/>
    <x v="44"/>
    <m/>
    <m/>
    <m/>
    <m/>
    <m/>
    <m/>
    <m/>
    <m/>
    <m/>
    <m/>
    <m/>
    <m/>
    <m/>
    <m/>
    <m/>
    <m/>
    <m/>
  </r>
  <r>
    <x v="18"/>
    <x v="45"/>
    <m/>
    <m/>
    <m/>
    <m/>
    <m/>
    <m/>
    <m/>
    <m/>
    <m/>
    <m/>
    <m/>
    <m/>
    <m/>
    <m/>
    <m/>
    <m/>
    <m/>
  </r>
  <r>
    <x v="18"/>
    <x v="46"/>
    <m/>
    <m/>
    <m/>
    <m/>
    <m/>
    <m/>
    <m/>
    <m/>
    <m/>
    <m/>
    <m/>
    <m/>
    <m/>
    <m/>
    <m/>
    <m/>
    <m/>
  </r>
  <r>
    <x v="18"/>
    <x v="47"/>
    <m/>
    <m/>
    <m/>
    <m/>
    <m/>
    <m/>
    <m/>
    <m/>
    <m/>
    <m/>
    <m/>
    <m/>
    <m/>
    <m/>
    <m/>
    <m/>
    <m/>
  </r>
  <r>
    <x v="18"/>
    <x v="48"/>
    <m/>
    <m/>
    <m/>
    <m/>
    <m/>
    <m/>
    <m/>
    <m/>
    <m/>
    <m/>
    <m/>
    <m/>
    <m/>
    <m/>
    <m/>
    <m/>
    <m/>
  </r>
  <r>
    <x v="18"/>
    <x v="49"/>
    <m/>
    <m/>
    <m/>
    <m/>
    <m/>
    <m/>
    <m/>
    <m/>
    <m/>
    <m/>
    <m/>
    <m/>
    <m/>
    <m/>
    <n v="2"/>
    <m/>
    <m/>
  </r>
  <r>
    <x v="18"/>
    <x v="50"/>
    <m/>
    <m/>
    <m/>
    <m/>
    <m/>
    <m/>
    <m/>
    <m/>
    <m/>
    <m/>
    <m/>
    <m/>
    <m/>
    <m/>
    <m/>
    <m/>
    <m/>
  </r>
  <r>
    <x v="18"/>
    <x v="51"/>
    <m/>
    <m/>
    <m/>
    <m/>
    <m/>
    <m/>
    <m/>
    <n v="1"/>
    <n v="1"/>
    <m/>
    <m/>
    <n v="1"/>
    <m/>
    <n v="1"/>
    <n v="1"/>
    <n v="1"/>
    <m/>
  </r>
  <r>
    <x v="18"/>
    <x v="62"/>
    <m/>
    <m/>
    <m/>
    <m/>
    <m/>
    <m/>
    <n v="4"/>
    <m/>
    <m/>
    <m/>
    <n v="4"/>
    <n v="4"/>
    <n v="4"/>
    <n v="4"/>
    <n v="4"/>
    <n v="4"/>
    <m/>
  </r>
  <r>
    <x v="18"/>
    <x v="63"/>
    <n v="8"/>
    <n v="3"/>
    <n v="4"/>
    <n v="3"/>
    <n v="3"/>
    <n v="3"/>
    <n v="33"/>
    <n v="29"/>
    <n v="42"/>
    <n v="7"/>
    <n v="16"/>
    <n v="39"/>
    <n v="18"/>
    <n v="41"/>
    <n v="30"/>
    <n v="65"/>
    <m/>
  </r>
  <r>
    <x v="18"/>
    <x v="64"/>
    <n v="5"/>
    <n v="1"/>
    <n v="1"/>
    <n v="1"/>
    <n v="0"/>
    <n v="1"/>
    <n v="14"/>
    <n v="2"/>
    <n v="6"/>
    <n v="5"/>
    <n v="13"/>
    <n v="8"/>
    <n v="3"/>
    <n v="30"/>
    <n v="3"/>
    <n v="5"/>
    <m/>
  </r>
  <r>
    <x v="18"/>
    <x v="59"/>
    <n v="3"/>
    <m/>
    <m/>
    <m/>
    <m/>
    <m/>
    <n v="5"/>
    <n v="2"/>
    <m/>
    <m/>
    <n v="5"/>
    <n v="5"/>
    <n v="6"/>
    <n v="2"/>
    <n v="10"/>
    <n v="13"/>
    <m/>
  </r>
  <r>
    <x v="18"/>
    <x v="65"/>
    <m/>
    <m/>
    <m/>
    <m/>
    <m/>
    <m/>
    <n v="10"/>
    <n v="5"/>
    <m/>
    <m/>
    <m/>
    <m/>
    <n v="2"/>
    <n v="15"/>
    <n v="15"/>
    <n v="2"/>
    <m/>
  </r>
  <r>
    <x v="18"/>
    <x v="66"/>
    <m/>
    <m/>
    <m/>
    <m/>
    <m/>
    <m/>
    <m/>
    <m/>
    <m/>
    <m/>
    <n v="6"/>
    <n v="6"/>
    <n v="6"/>
    <n v="2"/>
    <n v="6"/>
    <n v="6"/>
    <m/>
  </r>
  <r>
    <x v="18"/>
    <x v="67"/>
    <m/>
    <m/>
    <m/>
    <m/>
    <m/>
    <m/>
    <m/>
    <m/>
    <m/>
    <m/>
    <n v="4"/>
    <n v="4"/>
    <n v="4"/>
    <n v="2"/>
    <n v="4"/>
    <n v="4"/>
    <m/>
  </r>
  <r>
    <x v="18"/>
    <x v="68"/>
    <n v="1"/>
    <n v="2"/>
    <m/>
    <n v="2"/>
    <n v="8"/>
    <m/>
    <n v="5"/>
    <n v="5"/>
    <m/>
    <m/>
    <n v="1"/>
    <m/>
    <n v="2"/>
    <n v="15"/>
    <n v="3"/>
    <n v="2"/>
    <m/>
  </r>
  <r>
    <x v="18"/>
    <x v="69"/>
    <m/>
    <m/>
    <m/>
    <m/>
    <m/>
    <m/>
    <m/>
    <n v="3"/>
    <n v="3"/>
    <m/>
    <n v="3"/>
    <n v="1"/>
    <m/>
    <n v="1"/>
    <m/>
    <m/>
    <m/>
  </r>
  <r>
    <x v="18"/>
    <x v="70"/>
    <n v="30"/>
    <m/>
    <m/>
    <m/>
    <n v="30"/>
    <m/>
    <n v="30"/>
    <n v="30"/>
    <n v="30"/>
    <m/>
    <n v="30"/>
    <n v="30"/>
    <m/>
    <n v="30"/>
    <m/>
    <m/>
    <m/>
  </r>
  <r>
    <x v="18"/>
    <x v="71"/>
    <m/>
    <m/>
    <m/>
    <m/>
    <n v="3"/>
    <m/>
    <n v="1"/>
    <m/>
    <m/>
    <m/>
    <m/>
    <m/>
    <m/>
    <m/>
    <m/>
    <m/>
    <m/>
  </r>
  <r>
    <x v="18"/>
    <x v="72"/>
    <m/>
    <n v="1"/>
    <m/>
    <n v="1"/>
    <m/>
    <n v="1"/>
    <n v="2"/>
    <n v="1"/>
    <n v="1"/>
    <m/>
    <n v="2"/>
    <n v="2"/>
    <n v="2"/>
    <m/>
    <n v="1"/>
    <n v="3"/>
    <m/>
  </r>
  <r>
    <x v="18"/>
    <x v="67"/>
    <m/>
    <m/>
    <m/>
    <m/>
    <m/>
    <m/>
    <m/>
    <m/>
    <m/>
    <m/>
    <n v="4"/>
    <n v="4"/>
    <n v="4"/>
    <n v="2"/>
    <n v="4"/>
    <n v="4"/>
    <m/>
  </r>
  <r>
    <x v="18"/>
    <x v="66"/>
    <m/>
    <m/>
    <m/>
    <m/>
    <m/>
    <m/>
    <n v="10"/>
    <m/>
    <n v="10"/>
    <m/>
    <n v="10"/>
    <n v="6"/>
    <n v="6"/>
    <n v="5"/>
    <n v="6"/>
    <n v="10"/>
    <m/>
  </r>
  <r>
    <x v="19"/>
    <x v="0"/>
    <m/>
    <m/>
    <m/>
    <m/>
    <m/>
    <m/>
    <m/>
    <m/>
    <m/>
    <m/>
    <m/>
    <m/>
    <m/>
    <m/>
    <m/>
    <m/>
    <m/>
  </r>
  <r>
    <x v="19"/>
    <x v="1"/>
    <m/>
    <m/>
    <m/>
    <m/>
    <m/>
    <m/>
    <m/>
    <m/>
    <m/>
    <m/>
    <m/>
    <m/>
    <m/>
    <m/>
    <m/>
    <m/>
    <m/>
  </r>
  <r>
    <x v="19"/>
    <x v="2"/>
    <m/>
    <m/>
    <m/>
    <m/>
    <m/>
    <m/>
    <m/>
    <m/>
    <m/>
    <m/>
    <m/>
    <m/>
    <m/>
    <m/>
    <m/>
    <m/>
    <m/>
  </r>
  <r>
    <x v="19"/>
    <x v="3"/>
    <m/>
    <m/>
    <m/>
    <m/>
    <m/>
    <m/>
    <m/>
    <m/>
    <m/>
    <m/>
    <m/>
    <m/>
    <m/>
    <m/>
    <m/>
    <m/>
    <m/>
  </r>
  <r>
    <x v="19"/>
    <x v="4"/>
    <m/>
    <m/>
    <m/>
    <m/>
    <m/>
    <m/>
    <m/>
    <m/>
    <m/>
    <m/>
    <m/>
    <m/>
    <m/>
    <m/>
    <m/>
    <m/>
    <m/>
  </r>
  <r>
    <x v="19"/>
    <x v="5"/>
    <m/>
    <m/>
    <m/>
    <m/>
    <m/>
    <m/>
    <m/>
    <m/>
    <m/>
    <m/>
    <m/>
    <m/>
    <m/>
    <m/>
    <m/>
    <m/>
    <m/>
  </r>
  <r>
    <x v="19"/>
    <x v="6"/>
    <m/>
    <m/>
    <m/>
    <m/>
    <m/>
    <m/>
    <m/>
    <m/>
    <m/>
    <m/>
    <m/>
    <m/>
    <m/>
    <m/>
    <m/>
    <m/>
    <m/>
  </r>
  <r>
    <x v="19"/>
    <x v="7"/>
    <m/>
    <m/>
    <m/>
    <m/>
    <m/>
    <m/>
    <m/>
    <m/>
    <m/>
    <m/>
    <m/>
    <m/>
    <m/>
    <m/>
    <m/>
    <m/>
    <m/>
  </r>
  <r>
    <x v="19"/>
    <x v="8"/>
    <m/>
    <m/>
    <m/>
    <m/>
    <m/>
    <m/>
    <m/>
    <m/>
    <m/>
    <m/>
    <m/>
    <m/>
    <m/>
    <m/>
    <m/>
    <m/>
    <m/>
  </r>
  <r>
    <x v="19"/>
    <x v="9"/>
    <m/>
    <m/>
    <m/>
    <m/>
    <m/>
    <m/>
    <m/>
    <m/>
    <m/>
    <m/>
    <m/>
    <m/>
    <m/>
    <m/>
    <m/>
    <m/>
    <m/>
  </r>
  <r>
    <x v="19"/>
    <x v="10"/>
    <m/>
    <m/>
    <m/>
    <m/>
    <m/>
    <m/>
    <m/>
    <m/>
    <m/>
    <m/>
    <m/>
    <m/>
    <m/>
    <m/>
    <m/>
    <m/>
    <m/>
  </r>
  <r>
    <x v="19"/>
    <x v="11"/>
    <m/>
    <m/>
    <m/>
    <m/>
    <m/>
    <m/>
    <m/>
    <m/>
    <m/>
    <m/>
    <m/>
    <m/>
    <m/>
    <m/>
    <m/>
    <m/>
    <m/>
  </r>
  <r>
    <x v="19"/>
    <x v="12"/>
    <m/>
    <m/>
    <m/>
    <m/>
    <m/>
    <m/>
    <m/>
    <m/>
    <m/>
    <m/>
    <m/>
    <m/>
    <m/>
    <m/>
    <m/>
    <m/>
    <m/>
  </r>
  <r>
    <x v="19"/>
    <x v="13"/>
    <m/>
    <m/>
    <m/>
    <m/>
    <m/>
    <m/>
    <m/>
    <m/>
    <m/>
    <m/>
    <m/>
    <m/>
    <m/>
    <m/>
    <m/>
    <m/>
    <m/>
  </r>
  <r>
    <x v="19"/>
    <x v="14"/>
    <m/>
    <m/>
    <m/>
    <m/>
    <m/>
    <m/>
    <m/>
    <m/>
    <m/>
    <m/>
    <m/>
    <m/>
    <m/>
    <m/>
    <m/>
    <m/>
    <m/>
  </r>
  <r>
    <x v="19"/>
    <x v="15"/>
    <m/>
    <m/>
    <m/>
    <m/>
    <m/>
    <m/>
    <m/>
    <m/>
    <m/>
    <m/>
    <m/>
    <m/>
    <m/>
    <m/>
    <m/>
    <m/>
    <m/>
  </r>
  <r>
    <x v="19"/>
    <x v="16"/>
    <m/>
    <m/>
    <m/>
    <m/>
    <m/>
    <m/>
    <m/>
    <m/>
    <m/>
    <m/>
    <m/>
    <m/>
    <m/>
    <m/>
    <m/>
    <m/>
    <m/>
  </r>
  <r>
    <x v="19"/>
    <x v="17"/>
    <m/>
    <m/>
    <m/>
    <m/>
    <m/>
    <m/>
    <m/>
    <m/>
    <m/>
    <m/>
    <m/>
    <m/>
    <m/>
    <m/>
    <m/>
    <m/>
    <m/>
  </r>
  <r>
    <x v="19"/>
    <x v="18"/>
    <m/>
    <m/>
    <m/>
    <m/>
    <m/>
    <m/>
    <m/>
    <m/>
    <m/>
    <m/>
    <m/>
    <m/>
    <m/>
    <m/>
    <m/>
    <m/>
    <m/>
  </r>
  <r>
    <x v="19"/>
    <x v="19"/>
    <m/>
    <m/>
    <m/>
    <m/>
    <m/>
    <m/>
    <m/>
    <m/>
    <m/>
    <m/>
    <m/>
    <m/>
    <m/>
    <m/>
    <m/>
    <m/>
    <m/>
  </r>
  <r>
    <x v="19"/>
    <x v="20"/>
    <m/>
    <m/>
    <m/>
    <m/>
    <m/>
    <m/>
    <n v="2"/>
    <m/>
    <m/>
    <m/>
    <n v="2"/>
    <n v="2"/>
    <n v="2"/>
    <n v="1"/>
    <n v="2"/>
    <n v="2"/>
    <m/>
  </r>
  <r>
    <x v="19"/>
    <x v="21"/>
    <m/>
    <m/>
    <m/>
    <m/>
    <m/>
    <m/>
    <m/>
    <m/>
    <m/>
    <m/>
    <m/>
    <m/>
    <m/>
    <m/>
    <m/>
    <m/>
    <m/>
  </r>
  <r>
    <x v="19"/>
    <x v="22"/>
    <m/>
    <m/>
    <m/>
    <m/>
    <m/>
    <m/>
    <m/>
    <m/>
    <m/>
    <m/>
    <m/>
    <m/>
    <m/>
    <m/>
    <m/>
    <m/>
    <m/>
  </r>
  <r>
    <x v="19"/>
    <x v="23"/>
    <m/>
    <m/>
    <m/>
    <m/>
    <m/>
    <m/>
    <m/>
    <m/>
    <m/>
    <m/>
    <m/>
    <m/>
    <m/>
    <m/>
    <m/>
    <m/>
    <m/>
  </r>
  <r>
    <x v="19"/>
    <x v="24"/>
    <m/>
    <m/>
    <m/>
    <m/>
    <m/>
    <m/>
    <m/>
    <m/>
    <m/>
    <m/>
    <m/>
    <m/>
    <m/>
    <m/>
    <m/>
    <m/>
    <m/>
  </r>
  <r>
    <x v="19"/>
    <x v="25"/>
    <m/>
    <m/>
    <m/>
    <m/>
    <m/>
    <m/>
    <m/>
    <m/>
    <m/>
    <m/>
    <m/>
    <m/>
    <m/>
    <m/>
    <m/>
    <m/>
    <m/>
  </r>
  <r>
    <x v="19"/>
    <x v="26"/>
    <m/>
    <m/>
    <m/>
    <m/>
    <m/>
    <m/>
    <m/>
    <m/>
    <m/>
    <m/>
    <m/>
    <m/>
    <m/>
    <m/>
    <m/>
    <m/>
    <m/>
  </r>
  <r>
    <x v="19"/>
    <x v="27"/>
    <m/>
    <m/>
    <m/>
    <m/>
    <m/>
    <m/>
    <m/>
    <m/>
    <m/>
    <m/>
    <m/>
    <m/>
    <m/>
    <m/>
    <m/>
    <m/>
    <m/>
  </r>
  <r>
    <x v="19"/>
    <x v="28"/>
    <m/>
    <m/>
    <m/>
    <m/>
    <m/>
    <m/>
    <m/>
    <m/>
    <m/>
    <m/>
    <m/>
    <m/>
    <m/>
    <m/>
    <m/>
    <m/>
    <m/>
  </r>
  <r>
    <x v="19"/>
    <x v="29"/>
    <m/>
    <m/>
    <m/>
    <m/>
    <m/>
    <m/>
    <m/>
    <m/>
    <m/>
    <m/>
    <m/>
    <m/>
    <m/>
    <m/>
    <m/>
    <m/>
    <m/>
  </r>
  <r>
    <x v="19"/>
    <x v="30"/>
    <m/>
    <m/>
    <m/>
    <m/>
    <m/>
    <m/>
    <m/>
    <m/>
    <m/>
    <m/>
    <m/>
    <m/>
    <m/>
    <m/>
    <m/>
    <m/>
    <m/>
  </r>
  <r>
    <x v="19"/>
    <x v="31"/>
    <m/>
    <m/>
    <m/>
    <m/>
    <m/>
    <m/>
    <n v="2"/>
    <m/>
    <m/>
    <m/>
    <n v="3"/>
    <n v="2"/>
    <n v="3"/>
    <n v="3"/>
    <n v="3"/>
    <n v="5"/>
    <m/>
  </r>
  <r>
    <x v="19"/>
    <x v="32"/>
    <m/>
    <m/>
    <m/>
    <m/>
    <m/>
    <m/>
    <m/>
    <m/>
    <m/>
    <m/>
    <m/>
    <m/>
    <m/>
    <m/>
    <m/>
    <m/>
    <m/>
  </r>
  <r>
    <x v="19"/>
    <x v="33"/>
    <m/>
    <m/>
    <m/>
    <m/>
    <m/>
    <m/>
    <m/>
    <m/>
    <m/>
    <m/>
    <m/>
    <m/>
    <m/>
    <m/>
    <m/>
    <m/>
    <m/>
  </r>
  <r>
    <x v="19"/>
    <x v="34"/>
    <m/>
    <m/>
    <m/>
    <m/>
    <m/>
    <m/>
    <n v="2"/>
    <n v="1"/>
    <m/>
    <m/>
    <n v="1"/>
    <n v="2"/>
    <m/>
    <n v="1"/>
    <n v="2"/>
    <n v="1"/>
    <m/>
  </r>
  <r>
    <x v="19"/>
    <x v="35"/>
    <m/>
    <m/>
    <m/>
    <m/>
    <m/>
    <m/>
    <m/>
    <m/>
    <m/>
    <m/>
    <m/>
    <m/>
    <m/>
    <m/>
    <m/>
    <m/>
    <m/>
  </r>
  <r>
    <x v="19"/>
    <x v="36"/>
    <m/>
    <m/>
    <m/>
    <m/>
    <m/>
    <m/>
    <m/>
    <m/>
    <m/>
    <m/>
    <m/>
    <m/>
    <m/>
    <m/>
    <m/>
    <m/>
    <m/>
  </r>
  <r>
    <x v="19"/>
    <x v="37"/>
    <m/>
    <m/>
    <m/>
    <m/>
    <m/>
    <m/>
    <m/>
    <m/>
    <m/>
    <m/>
    <m/>
    <m/>
    <m/>
    <m/>
    <m/>
    <m/>
    <m/>
  </r>
  <r>
    <x v="19"/>
    <x v="38"/>
    <m/>
    <m/>
    <m/>
    <m/>
    <m/>
    <m/>
    <m/>
    <m/>
    <m/>
    <m/>
    <m/>
    <m/>
    <m/>
    <m/>
    <m/>
    <m/>
    <m/>
  </r>
  <r>
    <x v="19"/>
    <x v="39"/>
    <m/>
    <m/>
    <m/>
    <m/>
    <m/>
    <m/>
    <m/>
    <m/>
    <m/>
    <m/>
    <m/>
    <m/>
    <m/>
    <m/>
    <m/>
    <m/>
    <m/>
  </r>
  <r>
    <x v="19"/>
    <x v="40"/>
    <m/>
    <m/>
    <m/>
    <m/>
    <m/>
    <m/>
    <m/>
    <m/>
    <m/>
    <m/>
    <m/>
    <m/>
    <m/>
    <m/>
    <m/>
    <m/>
    <m/>
  </r>
  <r>
    <x v="19"/>
    <x v="41"/>
    <m/>
    <m/>
    <m/>
    <m/>
    <m/>
    <m/>
    <m/>
    <m/>
    <m/>
    <m/>
    <m/>
    <m/>
    <m/>
    <m/>
    <m/>
    <m/>
    <m/>
  </r>
  <r>
    <x v="19"/>
    <x v="42"/>
    <m/>
    <m/>
    <m/>
    <m/>
    <m/>
    <m/>
    <n v="3"/>
    <n v="10"/>
    <m/>
    <m/>
    <n v="10"/>
    <n v="5"/>
    <n v="5"/>
    <n v="5"/>
    <n v="2"/>
    <n v="10"/>
    <m/>
  </r>
  <r>
    <x v="19"/>
    <x v="43"/>
    <m/>
    <m/>
    <m/>
    <m/>
    <m/>
    <m/>
    <m/>
    <m/>
    <m/>
    <m/>
    <m/>
    <m/>
    <m/>
    <m/>
    <m/>
    <m/>
    <m/>
  </r>
  <r>
    <x v="19"/>
    <x v="44"/>
    <m/>
    <m/>
    <m/>
    <m/>
    <m/>
    <m/>
    <m/>
    <m/>
    <m/>
    <m/>
    <m/>
    <m/>
    <m/>
    <m/>
    <m/>
    <m/>
    <m/>
  </r>
  <r>
    <x v="19"/>
    <x v="45"/>
    <m/>
    <m/>
    <m/>
    <m/>
    <m/>
    <m/>
    <m/>
    <m/>
    <m/>
    <m/>
    <m/>
    <m/>
    <m/>
    <m/>
    <m/>
    <m/>
    <m/>
  </r>
  <r>
    <x v="19"/>
    <x v="46"/>
    <m/>
    <m/>
    <m/>
    <m/>
    <m/>
    <m/>
    <m/>
    <m/>
    <m/>
    <m/>
    <m/>
    <m/>
    <m/>
    <m/>
    <m/>
    <m/>
    <m/>
  </r>
  <r>
    <x v="19"/>
    <x v="47"/>
    <m/>
    <m/>
    <m/>
    <m/>
    <m/>
    <m/>
    <m/>
    <m/>
    <m/>
    <m/>
    <m/>
    <n v="3"/>
    <n v="2"/>
    <n v="3"/>
    <n v="2"/>
    <n v="13"/>
    <m/>
  </r>
  <r>
    <x v="19"/>
    <x v="48"/>
    <m/>
    <m/>
    <m/>
    <m/>
    <m/>
    <m/>
    <m/>
    <m/>
    <m/>
    <m/>
    <m/>
    <m/>
    <m/>
    <m/>
    <m/>
    <m/>
    <m/>
  </r>
  <r>
    <x v="19"/>
    <x v="49"/>
    <m/>
    <m/>
    <m/>
    <m/>
    <m/>
    <m/>
    <m/>
    <m/>
    <m/>
    <m/>
    <m/>
    <m/>
    <m/>
    <m/>
    <m/>
    <m/>
    <m/>
  </r>
  <r>
    <x v="19"/>
    <x v="50"/>
    <m/>
    <m/>
    <m/>
    <m/>
    <m/>
    <m/>
    <n v="6"/>
    <m/>
    <m/>
    <m/>
    <n v="2"/>
    <n v="2"/>
    <n v="2"/>
    <n v="2"/>
    <n v="2"/>
    <n v="2"/>
    <m/>
  </r>
  <r>
    <x v="19"/>
    <x v="51"/>
    <m/>
    <m/>
    <m/>
    <m/>
    <m/>
    <m/>
    <m/>
    <m/>
    <m/>
    <m/>
    <m/>
    <m/>
    <m/>
    <m/>
    <m/>
    <m/>
    <m/>
  </r>
  <r>
    <x v="20"/>
    <x v="0"/>
    <m/>
    <m/>
    <m/>
    <m/>
    <m/>
    <m/>
    <m/>
    <m/>
    <m/>
    <m/>
    <m/>
    <m/>
    <m/>
    <m/>
    <m/>
    <m/>
    <m/>
  </r>
  <r>
    <x v="20"/>
    <x v="1"/>
    <m/>
    <m/>
    <m/>
    <m/>
    <m/>
    <m/>
    <m/>
    <m/>
    <m/>
    <m/>
    <m/>
    <m/>
    <m/>
    <m/>
    <m/>
    <m/>
    <m/>
  </r>
  <r>
    <x v="20"/>
    <x v="2"/>
    <m/>
    <m/>
    <m/>
    <m/>
    <m/>
    <m/>
    <m/>
    <m/>
    <m/>
    <m/>
    <m/>
    <m/>
    <m/>
    <m/>
    <m/>
    <m/>
    <m/>
  </r>
  <r>
    <x v="20"/>
    <x v="3"/>
    <m/>
    <m/>
    <m/>
    <m/>
    <m/>
    <m/>
    <m/>
    <m/>
    <m/>
    <m/>
    <m/>
    <m/>
    <m/>
    <m/>
    <m/>
    <m/>
    <m/>
  </r>
  <r>
    <x v="20"/>
    <x v="4"/>
    <m/>
    <m/>
    <m/>
    <m/>
    <m/>
    <m/>
    <m/>
    <m/>
    <m/>
    <m/>
    <m/>
    <m/>
    <m/>
    <m/>
    <m/>
    <m/>
    <m/>
  </r>
  <r>
    <x v="20"/>
    <x v="5"/>
    <m/>
    <m/>
    <m/>
    <m/>
    <m/>
    <m/>
    <m/>
    <m/>
    <m/>
    <m/>
    <m/>
    <m/>
    <m/>
    <m/>
    <m/>
    <m/>
    <m/>
  </r>
  <r>
    <x v="20"/>
    <x v="6"/>
    <m/>
    <m/>
    <m/>
    <m/>
    <m/>
    <m/>
    <m/>
    <m/>
    <m/>
    <m/>
    <m/>
    <m/>
    <m/>
    <m/>
    <m/>
    <m/>
    <m/>
  </r>
  <r>
    <x v="20"/>
    <x v="7"/>
    <m/>
    <m/>
    <m/>
    <m/>
    <m/>
    <m/>
    <m/>
    <m/>
    <m/>
    <m/>
    <m/>
    <m/>
    <m/>
    <m/>
    <m/>
    <m/>
    <m/>
  </r>
  <r>
    <x v="20"/>
    <x v="8"/>
    <m/>
    <m/>
    <m/>
    <m/>
    <m/>
    <m/>
    <m/>
    <m/>
    <m/>
    <m/>
    <m/>
    <m/>
    <m/>
    <m/>
    <m/>
    <m/>
    <m/>
  </r>
  <r>
    <x v="20"/>
    <x v="9"/>
    <m/>
    <m/>
    <m/>
    <m/>
    <m/>
    <m/>
    <m/>
    <m/>
    <m/>
    <m/>
    <m/>
    <m/>
    <m/>
    <m/>
    <m/>
    <m/>
    <m/>
  </r>
  <r>
    <x v="20"/>
    <x v="10"/>
    <m/>
    <m/>
    <m/>
    <m/>
    <m/>
    <m/>
    <m/>
    <m/>
    <m/>
    <m/>
    <m/>
    <m/>
    <m/>
    <m/>
    <m/>
    <m/>
    <m/>
  </r>
  <r>
    <x v="20"/>
    <x v="11"/>
    <m/>
    <m/>
    <m/>
    <m/>
    <m/>
    <m/>
    <m/>
    <m/>
    <m/>
    <m/>
    <m/>
    <m/>
    <m/>
    <m/>
    <m/>
    <m/>
    <m/>
  </r>
  <r>
    <x v="20"/>
    <x v="12"/>
    <m/>
    <m/>
    <m/>
    <m/>
    <m/>
    <m/>
    <m/>
    <m/>
    <m/>
    <m/>
    <m/>
    <m/>
    <m/>
    <m/>
    <m/>
    <m/>
    <m/>
  </r>
  <r>
    <x v="20"/>
    <x v="13"/>
    <m/>
    <m/>
    <m/>
    <m/>
    <m/>
    <m/>
    <m/>
    <m/>
    <m/>
    <m/>
    <m/>
    <m/>
    <m/>
    <m/>
    <m/>
    <m/>
    <m/>
  </r>
  <r>
    <x v="20"/>
    <x v="14"/>
    <m/>
    <m/>
    <m/>
    <m/>
    <m/>
    <m/>
    <m/>
    <m/>
    <m/>
    <m/>
    <m/>
    <m/>
    <m/>
    <m/>
    <m/>
    <m/>
    <m/>
  </r>
  <r>
    <x v="20"/>
    <x v="15"/>
    <m/>
    <m/>
    <m/>
    <m/>
    <m/>
    <m/>
    <m/>
    <m/>
    <m/>
    <m/>
    <m/>
    <m/>
    <m/>
    <m/>
    <m/>
    <m/>
    <m/>
  </r>
  <r>
    <x v="20"/>
    <x v="16"/>
    <m/>
    <m/>
    <m/>
    <m/>
    <m/>
    <m/>
    <m/>
    <m/>
    <m/>
    <m/>
    <m/>
    <m/>
    <m/>
    <m/>
    <m/>
    <m/>
    <m/>
  </r>
  <r>
    <x v="20"/>
    <x v="17"/>
    <m/>
    <m/>
    <m/>
    <m/>
    <m/>
    <m/>
    <m/>
    <m/>
    <m/>
    <m/>
    <m/>
    <m/>
    <m/>
    <m/>
    <m/>
    <m/>
    <m/>
  </r>
  <r>
    <x v="20"/>
    <x v="18"/>
    <m/>
    <m/>
    <m/>
    <m/>
    <m/>
    <m/>
    <m/>
    <m/>
    <m/>
    <m/>
    <m/>
    <m/>
    <m/>
    <m/>
    <m/>
    <m/>
    <m/>
  </r>
  <r>
    <x v="20"/>
    <x v="19"/>
    <m/>
    <m/>
    <m/>
    <m/>
    <m/>
    <m/>
    <m/>
    <m/>
    <m/>
    <m/>
    <m/>
    <m/>
    <m/>
    <m/>
    <m/>
    <m/>
    <m/>
  </r>
  <r>
    <x v="20"/>
    <x v="20"/>
    <m/>
    <m/>
    <m/>
    <m/>
    <m/>
    <m/>
    <m/>
    <m/>
    <m/>
    <m/>
    <m/>
    <m/>
    <m/>
    <m/>
    <m/>
    <m/>
    <m/>
  </r>
  <r>
    <x v="20"/>
    <x v="21"/>
    <m/>
    <m/>
    <m/>
    <m/>
    <m/>
    <m/>
    <m/>
    <m/>
    <m/>
    <m/>
    <m/>
    <m/>
    <m/>
    <m/>
    <m/>
    <m/>
    <m/>
  </r>
  <r>
    <x v="20"/>
    <x v="22"/>
    <m/>
    <m/>
    <m/>
    <m/>
    <m/>
    <m/>
    <m/>
    <m/>
    <m/>
    <m/>
    <m/>
    <m/>
    <m/>
    <m/>
    <m/>
    <m/>
    <m/>
  </r>
  <r>
    <x v="20"/>
    <x v="23"/>
    <m/>
    <m/>
    <m/>
    <m/>
    <m/>
    <m/>
    <m/>
    <m/>
    <m/>
    <m/>
    <m/>
    <m/>
    <m/>
    <m/>
    <m/>
    <m/>
    <m/>
  </r>
  <r>
    <x v="20"/>
    <x v="24"/>
    <m/>
    <m/>
    <m/>
    <m/>
    <m/>
    <m/>
    <m/>
    <m/>
    <m/>
    <m/>
    <m/>
    <m/>
    <m/>
    <m/>
    <m/>
    <m/>
    <m/>
  </r>
  <r>
    <x v="20"/>
    <x v="25"/>
    <m/>
    <m/>
    <m/>
    <m/>
    <m/>
    <m/>
    <m/>
    <m/>
    <m/>
    <m/>
    <m/>
    <m/>
    <m/>
    <m/>
    <m/>
    <m/>
    <m/>
  </r>
  <r>
    <x v="20"/>
    <x v="26"/>
    <m/>
    <m/>
    <m/>
    <m/>
    <m/>
    <m/>
    <m/>
    <m/>
    <m/>
    <m/>
    <m/>
    <m/>
    <m/>
    <m/>
    <m/>
    <m/>
    <m/>
  </r>
  <r>
    <x v="20"/>
    <x v="27"/>
    <m/>
    <m/>
    <m/>
    <m/>
    <m/>
    <m/>
    <m/>
    <m/>
    <m/>
    <m/>
    <m/>
    <m/>
    <m/>
    <m/>
    <m/>
    <m/>
    <m/>
  </r>
  <r>
    <x v="20"/>
    <x v="28"/>
    <m/>
    <m/>
    <m/>
    <m/>
    <m/>
    <m/>
    <m/>
    <m/>
    <m/>
    <m/>
    <m/>
    <m/>
    <m/>
    <m/>
    <m/>
    <m/>
    <m/>
  </r>
  <r>
    <x v="20"/>
    <x v="29"/>
    <m/>
    <m/>
    <m/>
    <m/>
    <m/>
    <m/>
    <m/>
    <m/>
    <m/>
    <m/>
    <m/>
    <m/>
    <m/>
    <m/>
    <m/>
    <m/>
    <m/>
  </r>
  <r>
    <x v="20"/>
    <x v="30"/>
    <m/>
    <m/>
    <m/>
    <m/>
    <m/>
    <m/>
    <m/>
    <m/>
    <m/>
    <m/>
    <m/>
    <m/>
    <m/>
    <m/>
    <m/>
    <m/>
    <m/>
  </r>
  <r>
    <x v="20"/>
    <x v="31"/>
    <m/>
    <m/>
    <m/>
    <m/>
    <m/>
    <m/>
    <m/>
    <m/>
    <m/>
    <m/>
    <m/>
    <m/>
    <m/>
    <m/>
    <m/>
    <m/>
    <m/>
  </r>
  <r>
    <x v="20"/>
    <x v="32"/>
    <m/>
    <m/>
    <m/>
    <m/>
    <m/>
    <m/>
    <m/>
    <m/>
    <m/>
    <m/>
    <m/>
    <m/>
    <m/>
    <m/>
    <m/>
    <m/>
    <m/>
  </r>
  <r>
    <x v="20"/>
    <x v="33"/>
    <m/>
    <m/>
    <m/>
    <m/>
    <m/>
    <m/>
    <m/>
    <m/>
    <m/>
    <m/>
    <m/>
    <m/>
    <m/>
    <m/>
    <m/>
    <m/>
    <m/>
  </r>
  <r>
    <x v="20"/>
    <x v="34"/>
    <m/>
    <m/>
    <m/>
    <m/>
    <m/>
    <m/>
    <m/>
    <m/>
    <m/>
    <m/>
    <m/>
    <m/>
    <m/>
    <m/>
    <m/>
    <m/>
    <m/>
  </r>
  <r>
    <x v="20"/>
    <x v="35"/>
    <m/>
    <m/>
    <m/>
    <m/>
    <m/>
    <m/>
    <m/>
    <m/>
    <m/>
    <m/>
    <m/>
    <m/>
    <m/>
    <m/>
    <m/>
    <m/>
    <m/>
  </r>
  <r>
    <x v="20"/>
    <x v="36"/>
    <m/>
    <m/>
    <m/>
    <m/>
    <m/>
    <m/>
    <m/>
    <m/>
    <m/>
    <m/>
    <m/>
    <m/>
    <m/>
    <m/>
    <m/>
    <m/>
    <m/>
  </r>
  <r>
    <x v="20"/>
    <x v="37"/>
    <m/>
    <m/>
    <m/>
    <m/>
    <m/>
    <m/>
    <m/>
    <m/>
    <m/>
    <m/>
    <m/>
    <m/>
    <m/>
    <m/>
    <m/>
    <m/>
    <m/>
  </r>
  <r>
    <x v="20"/>
    <x v="38"/>
    <m/>
    <m/>
    <m/>
    <m/>
    <m/>
    <m/>
    <m/>
    <m/>
    <m/>
    <m/>
    <m/>
    <m/>
    <m/>
    <m/>
    <m/>
    <m/>
    <m/>
  </r>
  <r>
    <x v="20"/>
    <x v="39"/>
    <m/>
    <m/>
    <m/>
    <m/>
    <m/>
    <m/>
    <m/>
    <m/>
    <m/>
    <m/>
    <m/>
    <m/>
    <m/>
    <m/>
    <m/>
    <m/>
    <m/>
  </r>
  <r>
    <x v="20"/>
    <x v="40"/>
    <m/>
    <m/>
    <m/>
    <m/>
    <m/>
    <m/>
    <m/>
    <m/>
    <m/>
    <m/>
    <m/>
    <m/>
    <m/>
    <m/>
    <m/>
    <m/>
    <m/>
  </r>
  <r>
    <x v="20"/>
    <x v="41"/>
    <m/>
    <m/>
    <m/>
    <m/>
    <m/>
    <m/>
    <m/>
    <m/>
    <m/>
    <m/>
    <m/>
    <m/>
    <m/>
    <m/>
    <m/>
    <m/>
    <m/>
  </r>
  <r>
    <x v="20"/>
    <x v="42"/>
    <m/>
    <m/>
    <m/>
    <m/>
    <m/>
    <m/>
    <m/>
    <m/>
    <m/>
    <m/>
    <m/>
    <m/>
    <m/>
    <m/>
    <m/>
    <m/>
    <m/>
  </r>
  <r>
    <x v="20"/>
    <x v="43"/>
    <m/>
    <m/>
    <m/>
    <m/>
    <m/>
    <m/>
    <m/>
    <m/>
    <m/>
    <m/>
    <m/>
    <m/>
    <m/>
    <m/>
    <m/>
    <m/>
    <m/>
  </r>
  <r>
    <x v="20"/>
    <x v="44"/>
    <m/>
    <m/>
    <m/>
    <m/>
    <m/>
    <m/>
    <m/>
    <m/>
    <m/>
    <m/>
    <m/>
    <m/>
    <m/>
    <m/>
    <m/>
    <m/>
    <m/>
  </r>
  <r>
    <x v="20"/>
    <x v="45"/>
    <m/>
    <m/>
    <m/>
    <m/>
    <m/>
    <m/>
    <m/>
    <m/>
    <m/>
    <m/>
    <m/>
    <m/>
    <m/>
    <m/>
    <m/>
    <m/>
    <m/>
  </r>
  <r>
    <x v="20"/>
    <x v="46"/>
    <m/>
    <m/>
    <m/>
    <m/>
    <m/>
    <m/>
    <m/>
    <m/>
    <m/>
    <m/>
    <m/>
    <m/>
    <m/>
    <m/>
    <m/>
    <m/>
    <m/>
  </r>
  <r>
    <x v="20"/>
    <x v="47"/>
    <m/>
    <m/>
    <m/>
    <m/>
    <m/>
    <m/>
    <m/>
    <m/>
    <m/>
    <m/>
    <m/>
    <m/>
    <m/>
    <m/>
    <m/>
    <m/>
    <m/>
  </r>
  <r>
    <x v="20"/>
    <x v="48"/>
    <m/>
    <m/>
    <m/>
    <m/>
    <m/>
    <m/>
    <m/>
    <m/>
    <m/>
    <m/>
    <m/>
    <m/>
    <m/>
    <m/>
    <m/>
    <m/>
    <m/>
  </r>
  <r>
    <x v="20"/>
    <x v="49"/>
    <m/>
    <m/>
    <m/>
    <m/>
    <m/>
    <m/>
    <m/>
    <m/>
    <m/>
    <m/>
    <m/>
    <m/>
    <m/>
    <m/>
    <m/>
    <m/>
    <m/>
  </r>
  <r>
    <x v="20"/>
    <x v="50"/>
    <m/>
    <m/>
    <m/>
    <m/>
    <m/>
    <m/>
    <m/>
    <m/>
    <m/>
    <m/>
    <m/>
    <m/>
    <m/>
    <m/>
    <m/>
    <m/>
    <m/>
  </r>
  <r>
    <x v="20"/>
    <x v="51"/>
    <m/>
    <m/>
    <m/>
    <m/>
    <m/>
    <m/>
    <m/>
    <m/>
    <m/>
    <m/>
    <m/>
    <m/>
    <m/>
    <m/>
    <m/>
    <m/>
    <m/>
  </r>
  <r>
    <x v="20"/>
    <x v="73"/>
    <m/>
    <m/>
    <m/>
    <m/>
    <m/>
    <m/>
    <m/>
    <n v="1"/>
    <m/>
    <m/>
    <m/>
    <m/>
    <m/>
    <m/>
    <m/>
    <m/>
    <m/>
  </r>
  <r>
    <x v="21"/>
    <x v="0"/>
    <m/>
    <m/>
    <m/>
    <m/>
    <m/>
    <m/>
    <m/>
    <m/>
    <m/>
    <m/>
    <m/>
    <m/>
    <m/>
    <m/>
    <m/>
    <m/>
    <m/>
  </r>
  <r>
    <x v="21"/>
    <x v="1"/>
    <m/>
    <m/>
    <m/>
    <m/>
    <m/>
    <m/>
    <m/>
    <m/>
    <m/>
    <m/>
    <m/>
    <m/>
    <m/>
    <m/>
    <m/>
    <m/>
    <m/>
  </r>
  <r>
    <x v="21"/>
    <x v="2"/>
    <m/>
    <m/>
    <m/>
    <m/>
    <m/>
    <m/>
    <m/>
    <m/>
    <m/>
    <m/>
    <m/>
    <m/>
    <m/>
    <m/>
    <m/>
    <m/>
    <m/>
  </r>
  <r>
    <x v="21"/>
    <x v="3"/>
    <m/>
    <m/>
    <m/>
    <m/>
    <m/>
    <m/>
    <m/>
    <m/>
    <m/>
    <m/>
    <m/>
    <m/>
    <m/>
    <m/>
    <m/>
    <m/>
    <m/>
  </r>
  <r>
    <x v="21"/>
    <x v="4"/>
    <m/>
    <m/>
    <m/>
    <m/>
    <m/>
    <m/>
    <m/>
    <m/>
    <m/>
    <m/>
    <m/>
    <m/>
    <m/>
    <m/>
    <m/>
    <m/>
    <m/>
  </r>
  <r>
    <x v="21"/>
    <x v="5"/>
    <m/>
    <m/>
    <m/>
    <m/>
    <m/>
    <m/>
    <m/>
    <m/>
    <m/>
    <m/>
    <m/>
    <m/>
    <m/>
    <m/>
    <m/>
    <m/>
    <m/>
  </r>
  <r>
    <x v="21"/>
    <x v="6"/>
    <m/>
    <m/>
    <m/>
    <m/>
    <m/>
    <m/>
    <m/>
    <m/>
    <m/>
    <m/>
    <m/>
    <m/>
    <m/>
    <m/>
    <m/>
    <m/>
    <m/>
  </r>
  <r>
    <x v="21"/>
    <x v="7"/>
    <m/>
    <m/>
    <m/>
    <m/>
    <m/>
    <m/>
    <m/>
    <m/>
    <m/>
    <m/>
    <m/>
    <m/>
    <m/>
    <m/>
    <m/>
    <m/>
    <m/>
  </r>
  <r>
    <x v="21"/>
    <x v="8"/>
    <m/>
    <m/>
    <m/>
    <m/>
    <m/>
    <m/>
    <m/>
    <m/>
    <m/>
    <m/>
    <m/>
    <m/>
    <m/>
    <m/>
    <m/>
    <m/>
    <m/>
  </r>
  <r>
    <x v="21"/>
    <x v="9"/>
    <m/>
    <m/>
    <m/>
    <m/>
    <m/>
    <m/>
    <m/>
    <m/>
    <m/>
    <m/>
    <m/>
    <m/>
    <m/>
    <m/>
    <m/>
    <m/>
    <m/>
  </r>
  <r>
    <x v="21"/>
    <x v="10"/>
    <m/>
    <m/>
    <m/>
    <m/>
    <m/>
    <m/>
    <m/>
    <m/>
    <m/>
    <m/>
    <m/>
    <m/>
    <m/>
    <m/>
    <m/>
    <m/>
    <m/>
  </r>
  <r>
    <x v="21"/>
    <x v="11"/>
    <m/>
    <m/>
    <m/>
    <m/>
    <m/>
    <m/>
    <m/>
    <m/>
    <m/>
    <m/>
    <m/>
    <m/>
    <m/>
    <m/>
    <m/>
    <m/>
    <m/>
  </r>
  <r>
    <x v="21"/>
    <x v="12"/>
    <m/>
    <m/>
    <m/>
    <m/>
    <m/>
    <m/>
    <m/>
    <m/>
    <m/>
    <m/>
    <m/>
    <m/>
    <m/>
    <m/>
    <m/>
    <m/>
    <m/>
  </r>
  <r>
    <x v="21"/>
    <x v="13"/>
    <m/>
    <m/>
    <m/>
    <m/>
    <m/>
    <m/>
    <m/>
    <m/>
    <m/>
    <m/>
    <m/>
    <m/>
    <m/>
    <m/>
    <m/>
    <m/>
    <m/>
  </r>
  <r>
    <x v="21"/>
    <x v="14"/>
    <m/>
    <m/>
    <m/>
    <m/>
    <m/>
    <m/>
    <m/>
    <m/>
    <m/>
    <m/>
    <m/>
    <m/>
    <m/>
    <m/>
    <m/>
    <m/>
    <m/>
  </r>
  <r>
    <x v="21"/>
    <x v="15"/>
    <m/>
    <m/>
    <m/>
    <m/>
    <m/>
    <m/>
    <m/>
    <m/>
    <m/>
    <m/>
    <m/>
    <m/>
    <m/>
    <m/>
    <m/>
    <m/>
    <m/>
  </r>
  <r>
    <x v="21"/>
    <x v="16"/>
    <m/>
    <m/>
    <m/>
    <m/>
    <m/>
    <m/>
    <m/>
    <m/>
    <m/>
    <m/>
    <m/>
    <m/>
    <m/>
    <m/>
    <m/>
    <m/>
    <m/>
  </r>
  <r>
    <x v="21"/>
    <x v="17"/>
    <m/>
    <m/>
    <m/>
    <m/>
    <m/>
    <m/>
    <m/>
    <m/>
    <m/>
    <m/>
    <m/>
    <m/>
    <m/>
    <m/>
    <m/>
    <m/>
    <m/>
  </r>
  <r>
    <x v="21"/>
    <x v="18"/>
    <m/>
    <m/>
    <m/>
    <m/>
    <m/>
    <m/>
    <m/>
    <m/>
    <m/>
    <m/>
    <m/>
    <m/>
    <m/>
    <m/>
    <m/>
    <m/>
    <m/>
  </r>
  <r>
    <x v="21"/>
    <x v="19"/>
    <m/>
    <m/>
    <m/>
    <m/>
    <m/>
    <m/>
    <m/>
    <m/>
    <m/>
    <m/>
    <m/>
    <m/>
    <m/>
    <m/>
    <m/>
    <m/>
    <m/>
  </r>
  <r>
    <x v="21"/>
    <x v="20"/>
    <m/>
    <m/>
    <m/>
    <m/>
    <m/>
    <m/>
    <m/>
    <m/>
    <m/>
    <m/>
    <m/>
    <m/>
    <m/>
    <m/>
    <m/>
    <m/>
    <m/>
  </r>
  <r>
    <x v="21"/>
    <x v="21"/>
    <m/>
    <m/>
    <m/>
    <m/>
    <m/>
    <m/>
    <m/>
    <m/>
    <m/>
    <m/>
    <m/>
    <m/>
    <m/>
    <m/>
    <m/>
    <m/>
    <m/>
  </r>
  <r>
    <x v="21"/>
    <x v="22"/>
    <m/>
    <m/>
    <m/>
    <m/>
    <m/>
    <m/>
    <m/>
    <m/>
    <m/>
    <m/>
    <m/>
    <m/>
    <m/>
    <m/>
    <m/>
    <m/>
    <m/>
  </r>
  <r>
    <x v="21"/>
    <x v="23"/>
    <m/>
    <m/>
    <m/>
    <m/>
    <m/>
    <m/>
    <m/>
    <m/>
    <m/>
    <m/>
    <m/>
    <m/>
    <m/>
    <m/>
    <m/>
    <m/>
    <m/>
  </r>
  <r>
    <x v="21"/>
    <x v="24"/>
    <m/>
    <m/>
    <m/>
    <m/>
    <m/>
    <m/>
    <m/>
    <m/>
    <m/>
    <m/>
    <m/>
    <m/>
    <m/>
    <m/>
    <m/>
    <m/>
    <m/>
  </r>
  <r>
    <x v="21"/>
    <x v="25"/>
    <m/>
    <m/>
    <m/>
    <m/>
    <m/>
    <m/>
    <m/>
    <m/>
    <m/>
    <m/>
    <m/>
    <m/>
    <m/>
    <m/>
    <m/>
    <m/>
    <m/>
  </r>
  <r>
    <x v="21"/>
    <x v="26"/>
    <m/>
    <m/>
    <m/>
    <m/>
    <m/>
    <m/>
    <m/>
    <m/>
    <m/>
    <m/>
    <m/>
    <m/>
    <m/>
    <m/>
    <m/>
    <m/>
    <m/>
  </r>
  <r>
    <x v="21"/>
    <x v="27"/>
    <m/>
    <m/>
    <m/>
    <m/>
    <m/>
    <m/>
    <m/>
    <m/>
    <m/>
    <m/>
    <m/>
    <m/>
    <m/>
    <m/>
    <m/>
    <m/>
    <m/>
  </r>
  <r>
    <x v="21"/>
    <x v="28"/>
    <m/>
    <m/>
    <m/>
    <m/>
    <m/>
    <m/>
    <m/>
    <m/>
    <m/>
    <m/>
    <m/>
    <m/>
    <m/>
    <m/>
    <m/>
    <m/>
    <m/>
  </r>
  <r>
    <x v="21"/>
    <x v="29"/>
    <m/>
    <m/>
    <m/>
    <m/>
    <m/>
    <m/>
    <m/>
    <m/>
    <m/>
    <m/>
    <m/>
    <m/>
    <m/>
    <m/>
    <m/>
    <m/>
    <m/>
  </r>
  <r>
    <x v="21"/>
    <x v="30"/>
    <m/>
    <m/>
    <m/>
    <m/>
    <m/>
    <m/>
    <m/>
    <m/>
    <m/>
    <m/>
    <m/>
    <m/>
    <m/>
    <m/>
    <m/>
    <m/>
    <m/>
  </r>
  <r>
    <x v="21"/>
    <x v="31"/>
    <m/>
    <m/>
    <m/>
    <m/>
    <m/>
    <m/>
    <m/>
    <m/>
    <m/>
    <m/>
    <m/>
    <m/>
    <m/>
    <m/>
    <m/>
    <m/>
    <m/>
  </r>
  <r>
    <x v="21"/>
    <x v="32"/>
    <m/>
    <m/>
    <m/>
    <m/>
    <m/>
    <m/>
    <m/>
    <m/>
    <m/>
    <m/>
    <m/>
    <m/>
    <m/>
    <m/>
    <m/>
    <m/>
    <m/>
  </r>
  <r>
    <x v="21"/>
    <x v="33"/>
    <m/>
    <m/>
    <m/>
    <m/>
    <m/>
    <m/>
    <m/>
    <m/>
    <m/>
    <m/>
    <m/>
    <m/>
    <m/>
    <m/>
    <m/>
    <m/>
    <m/>
  </r>
  <r>
    <x v="21"/>
    <x v="34"/>
    <m/>
    <m/>
    <m/>
    <m/>
    <m/>
    <m/>
    <m/>
    <m/>
    <m/>
    <m/>
    <m/>
    <m/>
    <m/>
    <m/>
    <m/>
    <m/>
    <m/>
  </r>
  <r>
    <x v="21"/>
    <x v="35"/>
    <m/>
    <m/>
    <m/>
    <m/>
    <m/>
    <m/>
    <n v="6"/>
    <n v="5"/>
    <n v="2"/>
    <m/>
    <n v="2"/>
    <m/>
    <n v="2"/>
    <n v="3"/>
    <n v="2"/>
    <n v="5"/>
    <m/>
  </r>
  <r>
    <x v="21"/>
    <x v="36"/>
    <m/>
    <m/>
    <m/>
    <m/>
    <m/>
    <m/>
    <m/>
    <m/>
    <m/>
    <m/>
    <m/>
    <m/>
    <m/>
    <m/>
    <m/>
    <m/>
    <m/>
  </r>
  <r>
    <x v="21"/>
    <x v="37"/>
    <m/>
    <m/>
    <m/>
    <m/>
    <m/>
    <m/>
    <m/>
    <m/>
    <m/>
    <m/>
    <m/>
    <m/>
    <m/>
    <m/>
    <m/>
    <m/>
    <m/>
  </r>
  <r>
    <x v="21"/>
    <x v="38"/>
    <m/>
    <m/>
    <m/>
    <m/>
    <m/>
    <m/>
    <m/>
    <m/>
    <m/>
    <m/>
    <m/>
    <m/>
    <m/>
    <m/>
    <m/>
    <m/>
    <m/>
  </r>
  <r>
    <x v="21"/>
    <x v="39"/>
    <m/>
    <m/>
    <m/>
    <m/>
    <m/>
    <m/>
    <m/>
    <m/>
    <m/>
    <m/>
    <m/>
    <m/>
    <m/>
    <m/>
    <m/>
    <m/>
    <m/>
  </r>
  <r>
    <x v="21"/>
    <x v="40"/>
    <m/>
    <m/>
    <m/>
    <m/>
    <m/>
    <m/>
    <m/>
    <m/>
    <m/>
    <m/>
    <m/>
    <m/>
    <m/>
    <m/>
    <m/>
    <m/>
    <m/>
  </r>
  <r>
    <x v="21"/>
    <x v="41"/>
    <m/>
    <m/>
    <m/>
    <m/>
    <m/>
    <m/>
    <m/>
    <m/>
    <m/>
    <m/>
    <m/>
    <m/>
    <m/>
    <m/>
    <m/>
    <m/>
    <m/>
  </r>
  <r>
    <x v="21"/>
    <x v="42"/>
    <m/>
    <m/>
    <m/>
    <m/>
    <m/>
    <m/>
    <m/>
    <m/>
    <m/>
    <m/>
    <m/>
    <m/>
    <m/>
    <m/>
    <m/>
    <m/>
    <m/>
  </r>
  <r>
    <x v="21"/>
    <x v="43"/>
    <m/>
    <m/>
    <m/>
    <m/>
    <m/>
    <m/>
    <m/>
    <m/>
    <m/>
    <m/>
    <m/>
    <m/>
    <m/>
    <m/>
    <m/>
    <m/>
    <m/>
  </r>
  <r>
    <x v="21"/>
    <x v="44"/>
    <m/>
    <m/>
    <m/>
    <m/>
    <m/>
    <m/>
    <m/>
    <m/>
    <m/>
    <m/>
    <m/>
    <m/>
    <m/>
    <m/>
    <m/>
    <m/>
    <m/>
  </r>
  <r>
    <x v="21"/>
    <x v="45"/>
    <m/>
    <m/>
    <m/>
    <m/>
    <m/>
    <m/>
    <m/>
    <m/>
    <m/>
    <m/>
    <m/>
    <m/>
    <m/>
    <m/>
    <m/>
    <m/>
    <m/>
  </r>
  <r>
    <x v="21"/>
    <x v="46"/>
    <m/>
    <m/>
    <m/>
    <m/>
    <m/>
    <m/>
    <m/>
    <m/>
    <m/>
    <m/>
    <m/>
    <m/>
    <m/>
    <m/>
    <m/>
    <m/>
    <m/>
  </r>
  <r>
    <x v="21"/>
    <x v="47"/>
    <m/>
    <m/>
    <m/>
    <m/>
    <m/>
    <m/>
    <m/>
    <m/>
    <m/>
    <m/>
    <m/>
    <m/>
    <m/>
    <m/>
    <m/>
    <m/>
    <m/>
  </r>
  <r>
    <x v="21"/>
    <x v="48"/>
    <m/>
    <m/>
    <m/>
    <m/>
    <m/>
    <m/>
    <m/>
    <m/>
    <m/>
    <m/>
    <m/>
    <m/>
    <m/>
    <m/>
    <m/>
    <m/>
    <m/>
  </r>
  <r>
    <x v="21"/>
    <x v="49"/>
    <m/>
    <m/>
    <m/>
    <m/>
    <m/>
    <m/>
    <m/>
    <m/>
    <m/>
    <m/>
    <m/>
    <m/>
    <m/>
    <m/>
    <m/>
    <m/>
    <m/>
  </r>
  <r>
    <x v="21"/>
    <x v="50"/>
    <m/>
    <m/>
    <m/>
    <m/>
    <m/>
    <m/>
    <m/>
    <m/>
    <m/>
    <m/>
    <m/>
    <m/>
    <m/>
    <m/>
    <m/>
    <m/>
    <m/>
  </r>
  <r>
    <x v="21"/>
    <x v="51"/>
    <m/>
    <m/>
    <m/>
    <m/>
    <m/>
    <m/>
    <m/>
    <m/>
    <m/>
    <m/>
    <m/>
    <m/>
    <m/>
    <m/>
    <m/>
    <m/>
    <m/>
  </r>
  <r>
    <x v="22"/>
    <x v="0"/>
    <m/>
    <n v="1"/>
    <m/>
    <n v="1"/>
    <m/>
    <n v="1"/>
    <m/>
    <m/>
    <m/>
    <m/>
    <m/>
    <m/>
    <m/>
    <m/>
    <m/>
    <m/>
    <m/>
  </r>
  <r>
    <x v="22"/>
    <x v="1"/>
    <m/>
    <m/>
    <m/>
    <m/>
    <m/>
    <m/>
    <m/>
    <m/>
    <m/>
    <m/>
    <m/>
    <m/>
    <m/>
    <m/>
    <m/>
    <m/>
    <m/>
  </r>
  <r>
    <x v="22"/>
    <x v="2"/>
    <m/>
    <m/>
    <m/>
    <m/>
    <m/>
    <m/>
    <m/>
    <m/>
    <m/>
    <m/>
    <m/>
    <m/>
    <m/>
    <m/>
    <m/>
    <m/>
    <m/>
  </r>
  <r>
    <x v="22"/>
    <x v="3"/>
    <m/>
    <m/>
    <m/>
    <m/>
    <m/>
    <m/>
    <m/>
    <m/>
    <m/>
    <m/>
    <m/>
    <m/>
    <m/>
    <m/>
    <m/>
    <m/>
    <m/>
  </r>
  <r>
    <x v="22"/>
    <x v="4"/>
    <m/>
    <m/>
    <m/>
    <m/>
    <m/>
    <m/>
    <m/>
    <m/>
    <m/>
    <m/>
    <m/>
    <m/>
    <m/>
    <m/>
    <m/>
    <m/>
    <m/>
  </r>
  <r>
    <x v="22"/>
    <x v="5"/>
    <m/>
    <m/>
    <m/>
    <m/>
    <m/>
    <m/>
    <m/>
    <m/>
    <m/>
    <m/>
    <m/>
    <m/>
    <m/>
    <m/>
    <m/>
    <m/>
    <m/>
  </r>
  <r>
    <x v="22"/>
    <x v="6"/>
    <m/>
    <m/>
    <m/>
    <m/>
    <m/>
    <m/>
    <m/>
    <m/>
    <m/>
    <m/>
    <m/>
    <m/>
    <m/>
    <m/>
    <m/>
    <m/>
    <m/>
  </r>
  <r>
    <x v="22"/>
    <x v="7"/>
    <m/>
    <m/>
    <m/>
    <m/>
    <m/>
    <m/>
    <m/>
    <m/>
    <m/>
    <m/>
    <m/>
    <m/>
    <m/>
    <m/>
    <m/>
    <m/>
    <m/>
  </r>
  <r>
    <x v="22"/>
    <x v="8"/>
    <m/>
    <m/>
    <m/>
    <m/>
    <m/>
    <m/>
    <m/>
    <m/>
    <m/>
    <m/>
    <m/>
    <m/>
    <m/>
    <m/>
    <m/>
    <m/>
    <m/>
  </r>
  <r>
    <x v="22"/>
    <x v="9"/>
    <m/>
    <m/>
    <m/>
    <m/>
    <m/>
    <m/>
    <m/>
    <m/>
    <m/>
    <m/>
    <m/>
    <m/>
    <m/>
    <m/>
    <m/>
    <m/>
    <m/>
  </r>
  <r>
    <x v="22"/>
    <x v="10"/>
    <m/>
    <m/>
    <m/>
    <m/>
    <m/>
    <m/>
    <m/>
    <m/>
    <m/>
    <m/>
    <m/>
    <m/>
    <m/>
    <m/>
    <m/>
    <m/>
    <m/>
  </r>
  <r>
    <x v="22"/>
    <x v="11"/>
    <m/>
    <m/>
    <m/>
    <m/>
    <m/>
    <m/>
    <m/>
    <m/>
    <m/>
    <m/>
    <m/>
    <m/>
    <m/>
    <m/>
    <m/>
    <m/>
    <m/>
  </r>
  <r>
    <x v="22"/>
    <x v="12"/>
    <m/>
    <m/>
    <m/>
    <m/>
    <m/>
    <m/>
    <m/>
    <m/>
    <m/>
    <m/>
    <m/>
    <m/>
    <m/>
    <m/>
    <m/>
    <m/>
    <m/>
  </r>
  <r>
    <x v="22"/>
    <x v="13"/>
    <m/>
    <m/>
    <m/>
    <m/>
    <m/>
    <m/>
    <m/>
    <m/>
    <m/>
    <m/>
    <m/>
    <m/>
    <m/>
    <m/>
    <m/>
    <m/>
    <m/>
  </r>
  <r>
    <x v="22"/>
    <x v="14"/>
    <m/>
    <m/>
    <m/>
    <m/>
    <m/>
    <m/>
    <m/>
    <m/>
    <m/>
    <m/>
    <m/>
    <m/>
    <m/>
    <m/>
    <m/>
    <m/>
    <m/>
  </r>
  <r>
    <x v="22"/>
    <x v="15"/>
    <m/>
    <m/>
    <m/>
    <m/>
    <m/>
    <m/>
    <m/>
    <m/>
    <m/>
    <m/>
    <m/>
    <m/>
    <m/>
    <m/>
    <m/>
    <m/>
    <m/>
  </r>
  <r>
    <x v="22"/>
    <x v="16"/>
    <m/>
    <m/>
    <m/>
    <m/>
    <m/>
    <m/>
    <m/>
    <m/>
    <m/>
    <m/>
    <m/>
    <m/>
    <m/>
    <m/>
    <m/>
    <m/>
    <m/>
  </r>
  <r>
    <x v="22"/>
    <x v="17"/>
    <m/>
    <m/>
    <m/>
    <m/>
    <m/>
    <m/>
    <m/>
    <m/>
    <m/>
    <m/>
    <m/>
    <m/>
    <m/>
    <m/>
    <m/>
    <m/>
    <m/>
  </r>
  <r>
    <x v="22"/>
    <x v="18"/>
    <m/>
    <n v="1"/>
    <n v="1"/>
    <m/>
    <m/>
    <n v="1"/>
    <n v="13"/>
    <n v="3"/>
    <m/>
    <m/>
    <m/>
    <m/>
    <m/>
    <m/>
    <n v="2"/>
    <n v="2"/>
    <m/>
  </r>
  <r>
    <x v="22"/>
    <x v="19"/>
    <m/>
    <m/>
    <m/>
    <m/>
    <m/>
    <m/>
    <m/>
    <m/>
    <m/>
    <m/>
    <m/>
    <m/>
    <m/>
    <m/>
    <m/>
    <m/>
    <m/>
  </r>
  <r>
    <x v="22"/>
    <x v="20"/>
    <m/>
    <m/>
    <m/>
    <m/>
    <m/>
    <m/>
    <m/>
    <m/>
    <m/>
    <m/>
    <m/>
    <m/>
    <m/>
    <m/>
    <m/>
    <m/>
    <m/>
  </r>
  <r>
    <x v="22"/>
    <x v="21"/>
    <m/>
    <m/>
    <m/>
    <m/>
    <m/>
    <m/>
    <m/>
    <m/>
    <m/>
    <m/>
    <m/>
    <m/>
    <m/>
    <m/>
    <m/>
    <m/>
    <m/>
  </r>
  <r>
    <x v="22"/>
    <x v="22"/>
    <m/>
    <m/>
    <m/>
    <m/>
    <m/>
    <m/>
    <m/>
    <m/>
    <m/>
    <m/>
    <m/>
    <m/>
    <m/>
    <m/>
    <m/>
    <m/>
    <m/>
  </r>
  <r>
    <x v="22"/>
    <x v="23"/>
    <m/>
    <m/>
    <m/>
    <m/>
    <m/>
    <m/>
    <m/>
    <m/>
    <m/>
    <m/>
    <m/>
    <m/>
    <m/>
    <m/>
    <m/>
    <m/>
    <m/>
  </r>
  <r>
    <x v="22"/>
    <x v="24"/>
    <m/>
    <m/>
    <m/>
    <m/>
    <m/>
    <m/>
    <m/>
    <m/>
    <m/>
    <m/>
    <m/>
    <m/>
    <m/>
    <m/>
    <m/>
    <m/>
    <m/>
  </r>
  <r>
    <x v="22"/>
    <x v="25"/>
    <m/>
    <m/>
    <m/>
    <m/>
    <m/>
    <m/>
    <m/>
    <m/>
    <m/>
    <m/>
    <m/>
    <m/>
    <m/>
    <m/>
    <m/>
    <m/>
    <m/>
  </r>
  <r>
    <x v="22"/>
    <x v="26"/>
    <m/>
    <m/>
    <m/>
    <m/>
    <m/>
    <m/>
    <m/>
    <m/>
    <m/>
    <m/>
    <m/>
    <m/>
    <m/>
    <m/>
    <m/>
    <m/>
    <m/>
  </r>
  <r>
    <x v="22"/>
    <x v="27"/>
    <m/>
    <m/>
    <m/>
    <m/>
    <m/>
    <m/>
    <m/>
    <m/>
    <m/>
    <m/>
    <m/>
    <m/>
    <m/>
    <m/>
    <m/>
    <m/>
    <m/>
  </r>
  <r>
    <x v="22"/>
    <x v="28"/>
    <m/>
    <m/>
    <m/>
    <m/>
    <m/>
    <m/>
    <m/>
    <m/>
    <m/>
    <m/>
    <m/>
    <m/>
    <m/>
    <m/>
    <m/>
    <m/>
    <m/>
  </r>
  <r>
    <x v="22"/>
    <x v="29"/>
    <m/>
    <m/>
    <m/>
    <m/>
    <m/>
    <m/>
    <m/>
    <m/>
    <m/>
    <m/>
    <m/>
    <m/>
    <m/>
    <m/>
    <m/>
    <m/>
    <m/>
  </r>
  <r>
    <x v="22"/>
    <x v="30"/>
    <m/>
    <m/>
    <m/>
    <m/>
    <m/>
    <m/>
    <m/>
    <m/>
    <m/>
    <m/>
    <m/>
    <m/>
    <m/>
    <m/>
    <m/>
    <m/>
    <m/>
  </r>
  <r>
    <x v="22"/>
    <x v="31"/>
    <m/>
    <m/>
    <m/>
    <m/>
    <m/>
    <m/>
    <m/>
    <m/>
    <m/>
    <m/>
    <m/>
    <m/>
    <m/>
    <m/>
    <m/>
    <m/>
    <m/>
  </r>
  <r>
    <x v="22"/>
    <x v="32"/>
    <m/>
    <m/>
    <m/>
    <m/>
    <m/>
    <m/>
    <m/>
    <m/>
    <m/>
    <m/>
    <m/>
    <m/>
    <m/>
    <m/>
    <m/>
    <m/>
    <m/>
  </r>
  <r>
    <x v="22"/>
    <x v="33"/>
    <m/>
    <m/>
    <m/>
    <m/>
    <m/>
    <m/>
    <m/>
    <m/>
    <m/>
    <m/>
    <m/>
    <m/>
    <m/>
    <m/>
    <m/>
    <m/>
    <m/>
  </r>
  <r>
    <x v="22"/>
    <x v="34"/>
    <m/>
    <n v="1"/>
    <m/>
    <n v="1"/>
    <m/>
    <n v="1"/>
    <m/>
    <m/>
    <m/>
    <m/>
    <m/>
    <m/>
    <m/>
    <m/>
    <m/>
    <m/>
    <m/>
  </r>
  <r>
    <x v="22"/>
    <x v="35"/>
    <m/>
    <m/>
    <m/>
    <m/>
    <m/>
    <m/>
    <m/>
    <m/>
    <m/>
    <m/>
    <m/>
    <m/>
    <m/>
    <m/>
    <m/>
    <m/>
    <m/>
  </r>
  <r>
    <x v="22"/>
    <x v="36"/>
    <m/>
    <m/>
    <m/>
    <m/>
    <m/>
    <m/>
    <m/>
    <m/>
    <m/>
    <m/>
    <m/>
    <m/>
    <m/>
    <m/>
    <m/>
    <m/>
    <m/>
  </r>
  <r>
    <x v="22"/>
    <x v="37"/>
    <m/>
    <m/>
    <m/>
    <m/>
    <m/>
    <m/>
    <m/>
    <m/>
    <m/>
    <m/>
    <m/>
    <m/>
    <m/>
    <m/>
    <m/>
    <m/>
    <m/>
  </r>
  <r>
    <x v="22"/>
    <x v="38"/>
    <m/>
    <m/>
    <m/>
    <m/>
    <m/>
    <m/>
    <m/>
    <m/>
    <m/>
    <m/>
    <m/>
    <m/>
    <m/>
    <m/>
    <m/>
    <m/>
    <m/>
  </r>
  <r>
    <x v="22"/>
    <x v="39"/>
    <m/>
    <m/>
    <m/>
    <m/>
    <m/>
    <m/>
    <m/>
    <m/>
    <m/>
    <m/>
    <m/>
    <m/>
    <m/>
    <m/>
    <m/>
    <m/>
    <m/>
  </r>
  <r>
    <x v="22"/>
    <x v="40"/>
    <m/>
    <m/>
    <m/>
    <m/>
    <m/>
    <m/>
    <m/>
    <m/>
    <m/>
    <m/>
    <m/>
    <m/>
    <m/>
    <m/>
    <m/>
    <m/>
    <m/>
  </r>
  <r>
    <x v="22"/>
    <x v="41"/>
    <m/>
    <m/>
    <m/>
    <m/>
    <m/>
    <m/>
    <m/>
    <m/>
    <m/>
    <m/>
    <m/>
    <m/>
    <m/>
    <m/>
    <m/>
    <m/>
    <m/>
  </r>
  <r>
    <x v="22"/>
    <x v="42"/>
    <m/>
    <m/>
    <m/>
    <m/>
    <m/>
    <m/>
    <m/>
    <m/>
    <m/>
    <m/>
    <m/>
    <m/>
    <m/>
    <m/>
    <m/>
    <m/>
    <m/>
  </r>
  <r>
    <x v="22"/>
    <x v="43"/>
    <m/>
    <m/>
    <m/>
    <m/>
    <m/>
    <m/>
    <m/>
    <m/>
    <m/>
    <m/>
    <m/>
    <m/>
    <m/>
    <m/>
    <m/>
    <m/>
    <m/>
  </r>
  <r>
    <x v="22"/>
    <x v="44"/>
    <m/>
    <m/>
    <m/>
    <m/>
    <m/>
    <m/>
    <m/>
    <m/>
    <m/>
    <m/>
    <m/>
    <m/>
    <m/>
    <m/>
    <m/>
    <m/>
    <m/>
  </r>
  <r>
    <x v="22"/>
    <x v="45"/>
    <m/>
    <m/>
    <m/>
    <m/>
    <m/>
    <m/>
    <m/>
    <m/>
    <m/>
    <m/>
    <m/>
    <m/>
    <m/>
    <m/>
    <m/>
    <m/>
    <m/>
  </r>
  <r>
    <x v="22"/>
    <x v="46"/>
    <m/>
    <m/>
    <m/>
    <m/>
    <m/>
    <m/>
    <m/>
    <m/>
    <m/>
    <m/>
    <m/>
    <m/>
    <m/>
    <m/>
    <m/>
    <m/>
    <m/>
  </r>
  <r>
    <x v="22"/>
    <x v="47"/>
    <m/>
    <m/>
    <m/>
    <m/>
    <m/>
    <m/>
    <m/>
    <m/>
    <m/>
    <m/>
    <m/>
    <m/>
    <m/>
    <m/>
    <m/>
    <m/>
    <m/>
  </r>
  <r>
    <x v="22"/>
    <x v="48"/>
    <m/>
    <m/>
    <m/>
    <m/>
    <m/>
    <m/>
    <m/>
    <m/>
    <m/>
    <m/>
    <m/>
    <m/>
    <m/>
    <m/>
    <m/>
    <m/>
    <m/>
  </r>
  <r>
    <x v="22"/>
    <x v="49"/>
    <n v="1"/>
    <n v="1"/>
    <n v="1"/>
    <n v="1"/>
    <n v="1"/>
    <n v="1"/>
    <n v="3"/>
    <n v="4"/>
    <m/>
    <m/>
    <n v="1"/>
    <m/>
    <m/>
    <m/>
    <n v="1"/>
    <n v="4"/>
    <m/>
  </r>
  <r>
    <x v="23"/>
    <x v="3"/>
    <m/>
    <m/>
    <n v="1"/>
    <n v="1"/>
    <m/>
    <m/>
    <n v="1"/>
    <n v="1"/>
    <n v="1"/>
    <m/>
    <n v="1"/>
    <n v="1"/>
    <m/>
    <m/>
    <n v="1"/>
    <m/>
    <m/>
  </r>
  <r>
    <x v="23"/>
    <x v="4"/>
    <m/>
    <m/>
    <n v="1"/>
    <n v="1"/>
    <m/>
    <m/>
    <n v="1"/>
    <n v="1"/>
    <n v="1"/>
    <m/>
    <n v="1"/>
    <n v="1"/>
    <m/>
    <m/>
    <n v="1"/>
    <m/>
    <m/>
  </r>
  <r>
    <x v="23"/>
    <x v="5"/>
    <m/>
    <m/>
    <m/>
    <m/>
    <m/>
    <m/>
    <m/>
    <m/>
    <m/>
    <m/>
    <m/>
    <m/>
    <m/>
    <m/>
    <m/>
    <m/>
    <m/>
  </r>
  <r>
    <x v="23"/>
    <x v="6"/>
    <m/>
    <m/>
    <m/>
    <m/>
    <m/>
    <m/>
    <m/>
    <m/>
    <m/>
    <m/>
    <m/>
    <m/>
    <m/>
    <m/>
    <m/>
    <m/>
    <m/>
  </r>
  <r>
    <x v="23"/>
    <x v="7"/>
    <m/>
    <m/>
    <m/>
    <m/>
    <m/>
    <m/>
    <m/>
    <m/>
    <m/>
    <m/>
    <m/>
    <m/>
    <m/>
    <m/>
    <m/>
    <m/>
    <m/>
  </r>
  <r>
    <x v="23"/>
    <x v="8"/>
    <m/>
    <m/>
    <m/>
    <m/>
    <m/>
    <m/>
    <m/>
    <m/>
    <m/>
    <m/>
    <m/>
    <m/>
    <m/>
    <m/>
    <m/>
    <m/>
    <m/>
  </r>
  <r>
    <x v="23"/>
    <x v="9"/>
    <m/>
    <m/>
    <m/>
    <m/>
    <m/>
    <m/>
    <m/>
    <m/>
    <m/>
    <m/>
    <m/>
    <m/>
    <m/>
    <m/>
    <m/>
    <m/>
    <m/>
  </r>
  <r>
    <x v="23"/>
    <x v="10"/>
    <m/>
    <m/>
    <m/>
    <m/>
    <m/>
    <m/>
    <m/>
    <m/>
    <m/>
    <m/>
    <m/>
    <m/>
    <m/>
    <m/>
    <m/>
    <m/>
    <m/>
  </r>
  <r>
    <x v="23"/>
    <x v="11"/>
    <m/>
    <m/>
    <m/>
    <m/>
    <m/>
    <m/>
    <m/>
    <m/>
    <m/>
    <m/>
    <m/>
    <m/>
    <m/>
    <m/>
    <m/>
    <m/>
    <m/>
  </r>
  <r>
    <x v="23"/>
    <x v="12"/>
    <m/>
    <m/>
    <m/>
    <m/>
    <m/>
    <m/>
    <m/>
    <m/>
    <m/>
    <m/>
    <m/>
    <m/>
    <m/>
    <m/>
    <m/>
    <m/>
    <m/>
  </r>
  <r>
    <x v="23"/>
    <x v="13"/>
    <m/>
    <m/>
    <m/>
    <m/>
    <m/>
    <m/>
    <m/>
    <m/>
    <m/>
    <m/>
    <m/>
    <m/>
    <m/>
    <m/>
    <m/>
    <m/>
    <m/>
  </r>
  <r>
    <x v="23"/>
    <x v="14"/>
    <m/>
    <m/>
    <m/>
    <m/>
    <m/>
    <m/>
    <m/>
    <m/>
    <n v="1"/>
    <m/>
    <m/>
    <m/>
    <m/>
    <m/>
    <m/>
    <m/>
    <m/>
  </r>
  <r>
    <x v="23"/>
    <x v="15"/>
    <m/>
    <m/>
    <n v="3"/>
    <n v="3"/>
    <n v="3"/>
    <n v="2"/>
    <n v="5"/>
    <n v="5"/>
    <n v="10"/>
    <m/>
    <n v="2"/>
    <n v="6"/>
    <n v="6"/>
    <n v="2"/>
    <n v="10"/>
    <n v="15"/>
    <m/>
  </r>
  <r>
    <x v="23"/>
    <x v="16"/>
    <m/>
    <m/>
    <m/>
    <m/>
    <m/>
    <m/>
    <m/>
    <m/>
    <m/>
    <m/>
    <m/>
    <m/>
    <m/>
    <m/>
    <m/>
    <m/>
    <m/>
  </r>
  <r>
    <x v="23"/>
    <x v="17"/>
    <m/>
    <m/>
    <m/>
    <m/>
    <m/>
    <m/>
    <m/>
    <m/>
    <m/>
    <m/>
    <m/>
    <m/>
    <m/>
    <m/>
    <m/>
    <m/>
    <m/>
  </r>
  <r>
    <x v="23"/>
    <x v="18"/>
    <m/>
    <m/>
    <m/>
    <m/>
    <m/>
    <m/>
    <m/>
    <m/>
    <m/>
    <m/>
    <m/>
    <m/>
    <m/>
    <m/>
    <m/>
    <m/>
    <m/>
  </r>
  <r>
    <x v="23"/>
    <x v="19"/>
    <m/>
    <m/>
    <m/>
    <m/>
    <m/>
    <m/>
    <m/>
    <m/>
    <m/>
    <m/>
    <m/>
    <m/>
    <m/>
    <m/>
    <m/>
    <m/>
    <m/>
  </r>
  <r>
    <x v="23"/>
    <x v="20"/>
    <m/>
    <m/>
    <m/>
    <m/>
    <m/>
    <m/>
    <n v="1"/>
    <n v="1"/>
    <n v="1"/>
    <m/>
    <m/>
    <n v="1"/>
    <m/>
    <m/>
    <n v="1"/>
    <m/>
    <m/>
  </r>
  <r>
    <x v="23"/>
    <x v="21"/>
    <m/>
    <m/>
    <m/>
    <m/>
    <m/>
    <m/>
    <m/>
    <m/>
    <m/>
    <m/>
    <m/>
    <m/>
    <m/>
    <m/>
    <m/>
    <m/>
    <m/>
  </r>
  <r>
    <x v="23"/>
    <x v="22"/>
    <m/>
    <m/>
    <m/>
    <m/>
    <m/>
    <m/>
    <m/>
    <m/>
    <m/>
    <m/>
    <m/>
    <m/>
    <m/>
    <m/>
    <m/>
    <m/>
    <m/>
  </r>
  <r>
    <x v="23"/>
    <x v="23"/>
    <m/>
    <m/>
    <m/>
    <m/>
    <m/>
    <m/>
    <m/>
    <m/>
    <m/>
    <m/>
    <m/>
    <m/>
    <m/>
    <m/>
    <m/>
    <m/>
    <m/>
  </r>
  <r>
    <x v="23"/>
    <x v="24"/>
    <m/>
    <m/>
    <m/>
    <m/>
    <m/>
    <m/>
    <m/>
    <m/>
    <m/>
    <m/>
    <m/>
    <m/>
    <m/>
    <m/>
    <m/>
    <m/>
    <m/>
  </r>
  <r>
    <x v="23"/>
    <x v="25"/>
    <m/>
    <m/>
    <m/>
    <m/>
    <m/>
    <m/>
    <m/>
    <m/>
    <m/>
    <m/>
    <m/>
    <m/>
    <m/>
    <m/>
    <m/>
    <m/>
    <m/>
  </r>
  <r>
    <x v="23"/>
    <x v="26"/>
    <m/>
    <m/>
    <m/>
    <m/>
    <m/>
    <m/>
    <m/>
    <m/>
    <m/>
    <m/>
    <m/>
    <m/>
    <m/>
    <m/>
    <m/>
    <m/>
    <m/>
  </r>
  <r>
    <x v="23"/>
    <x v="27"/>
    <m/>
    <m/>
    <m/>
    <m/>
    <m/>
    <m/>
    <m/>
    <m/>
    <m/>
    <m/>
    <m/>
    <m/>
    <m/>
    <m/>
    <m/>
    <m/>
    <m/>
  </r>
  <r>
    <x v="23"/>
    <x v="28"/>
    <m/>
    <m/>
    <m/>
    <m/>
    <m/>
    <m/>
    <m/>
    <m/>
    <m/>
    <m/>
    <m/>
    <m/>
    <m/>
    <m/>
    <m/>
    <m/>
    <m/>
  </r>
  <r>
    <x v="23"/>
    <x v="29"/>
    <m/>
    <m/>
    <m/>
    <m/>
    <m/>
    <m/>
    <m/>
    <m/>
    <m/>
    <m/>
    <m/>
    <m/>
    <m/>
    <m/>
    <m/>
    <m/>
    <m/>
  </r>
  <r>
    <x v="23"/>
    <x v="30"/>
    <m/>
    <m/>
    <m/>
    <m/>
    <m/>
    <m/>
    <m/>
    <m/>
    <m/>
    <m/>
    <m/>
    <m/>
    <m/>
    <m/>
    <m/>
    <m/>
    <m/>
  </r>
  <r>
    <x v="23"/>
    <x v="31"/>
    <m/>
    <m/>
    <m/>
    <m/>
    <m/>
    <m/>
    <m/>
    <m/>
    <m/>
    <m/>
    <m/>
    <m/>
    <m/>
    <m/>
    <m/>
    <m/>
    <m/>
  </r>
  <r>
    <x v="23"/>
    <x v="32"/>
    <m/>
    <m/>
    <m/>
    <m/>
    <m/>
    <m/>
    <n v="1"/>
    <n v="1"/>
    <n v="1"/>
    <m/>
    <m/>
    <n v="1"/>
    <m/>
    <m/>
    <n v="1"/>
    <m/>
    <m/>
  </r>
  <r>
    <x v="23"/>
    <x v="33"/>
    <m/>
    <m/>
    <m/>
    <m/>
    <m/>
    <m/>
    <m/>
    <m/>
    <m/>
    <m/>
    <m/>
    <m/>
    <m/>
    <m/>
    <m/>
    <m/>
    <m/>
  </r>
  <r>
    <x v="23"/>
    <x v="34"/>
    <m/>
    <m/>
    <m/>
    <m/>
    <m/>
    <m/>
    <m/>
    <m/>
    <m/>
    <m/>
    <m/>
    <m/>
    <m/>
    <m/>
    <m/>
    <m/>
    <m/>
  </r>
  <r>
    <x v="23"/>
    <x v="35"/>
    <m/>
    <m/>
    <m/>
    <m/>
    <m/>
    <m/>
    <m/>
    <n v="1"/>
    <n v="1"/>
    <m/>
    <m/>
    <m/>
    <m/>
    <m/>
    <n v="1"/>
    <m/>
    <m/>
  </r>
  <r>
    <x v="23"/>
    <x v="36"/>
    <m/>
    <m/>
    <m/>
    <m/>
    <m/>
    <m/>
    <m/>
    <m/>
    <m/>
    <m/>
    <m/>
    <m/>
    <m/>
    <m/>
    <m/>
    <m/>
    <m/>
  </r>
  <r>
    <x v="23"/>
    <x v="37"/>
    <m/>
    <m/>
    <m/>
    <m/>
    <m/>
    <m/>
    <m/>
    <m/>
    <m/>
    <m/>
    <m/>
    <m/>
    <m/>
    <m/>
    <m/>
    <m/>
    <m/>
  </r>
  <r>
    <x v="23"/>
    <x v="38"/>
    <m/>
    <m/>
    <m/>
    <m/>
    <m/>
    <m/>
    <m/>
    <m/>
    <m/>
    <m/>
    <m/>
    <m/>
    <m/>
    <m/>
    <m/>
    <m/>
    <m/>
  </r>
  <r>
    <x v="23"/>
    <x v="39"/>
    <m/>
    <m/>
    <m/>
    <m/>
    <m/>
    <m/>
    <m/>
    <m/>
    <m/>
    <m/>
    <m/>
    <m/>
    <m/>
    <m/>
    <m/>
    <m/>
    <m/>
  </r>
  <r>
    <x v="23"/>
    <x v="40"/>
    <m/>
    <m/>
    <m/>
    <m/>
    <m/>
    <m/>
    <m/>
    <m/>
    <m/>
    <m/>
    <m/>
    <m/>
    <m/>
    <m/>
    <m/>
    <m/>
    <m/>
  </r>
  <r>
    <x v="23"/>
    <x v="41"/>
    <m/>
    <m/>
    <m/>
    <m/>
    <m/>
    <m/>
    <m/>
    <m/>
    <m/>
    <m/>
    <m/>
    <m/>
    <m/>
    <m/>
    <m/>
    <m/>
    <m/>
  </r>
  <r>
    <x v="23"/>
    <x v="42"/>
    <m/>
    <m/>
    <m/>
    <m/>
    <m/>
    <m/>
    <n v="1"/>
    <n v="1"/>
    <n v="1"/>
    <m/>
    <n v="1"/>
    <n v="1"/>
    <m/>
    <m/>
    <n v="1"/>
    <m/>
    <m/>
  </r>
  <r>
    <x v="23"/>
    <x v="43"/>
    <m/>
    <m/>
    <m/>
    <m/>
    <m/>
    <m/>
    <m/>
    <m/>
    <m/>
    <m/>
    <m/>
    <m/>
    <m/>
    <m/>
    <m/>
    <m/>
    <m/>
  </r>
  <r>
    <x v="23"/>
    <x v="44"/>
    <m/>
    <m/>
    <m/>
    <m/>
    <m/>
    <m/>
    <m/>
    <m/>
    <m/>
    <m/>
    <m/>
    <m/>
    <m/>
    <m/>
    <m/>
    <m/>
    <m/>
  </r>
  <r>
    <x v="23"/>
    <x v="45"/>
    <m/>
    <m/>
    <m/>
    <m/>
    <m/>
    <m/>
    <m/>
    <m/>
    <m/>
    <m/>
    <m/>
    <m/>
    <m/>
    <m/>
    <m/>
    <m/>
    <m/>
  </r>
  <r>
    <x v="23"/>
    <x v="46"/>
    <m/>
    <m/>
    <m/>
    <m/>
    <m/>
    <m/>
    <m/>
    <m/>
    <m/>
    <m/>
    <m/>
    <m/>
    <m/>
    <m/>
    <m/>
    <m/>
    <m/>
  </r>
  <r>
    <x v="23"/>
    <x v="47"/>
    <m/>
    <m/>
    <m/>
    <m/>
    <m/>
    <m/>
    <m/>
    <m/>
    <m/>
    <m/>
    <m/>
    <m/>
    <m/>
    <m/>
    <m/>
    <m/>
    <m/>
  </r>
  <r>
    <x v="23"/>
    <x v="48"/>
    <m/>
    <m/>
    <m/>
    <m/>
    <m/>
    <m/>
    <m/>
    <m/>
    <m/>
    <m/>
    <m/>
    <m/>
    <m/>
    <m/>
    <m/>
    <m/>
    <m/>
  </r>
  <r>
    <x v="23"/>
    <x v="49"/>
    <m/>
    <m/>
    <m/>
    <m/>
    <m/>
    <m/>
    <m/>
    <m/>
    <m/>
    <m/>
    <m/>
    <m/>
    <m/>
    <m/>
    <m/>
    <m/>
    <m/>
  </r>
  <r>
    <x v="23"/>
    <x v="50"/>
    <m/>
    <m/>
    <m/>
    <m/>
    <m/>
    <m/>
    <n v="1"/>
    <n v="1"/>
    <n v="1"/>
    <m/>
    <n v="1"/>
    <n v="1"/>
    <m/>
    <m/>
    <n v="1"/>
    <m/>
    <m/>
  </r>
  <r>
    <x v="23"/>
    <x v="51"/>
    <m/>
    <m/>
    <m/>
    <m/>
    <m/>
    <m/>
    <n v="1"/>
    <n v="1"/>
    <n v="1"/>
    <m/>
    <n v="1"/>
    <n v="1"/>
    <m/>
    <m/>
    <n v="1"/>
    <m/>
    <m/>
  </r>
  <r>
    <x v="24"/>
    <x v="0"/>
    <m/>
    <n v="1"/>
    <m/>
    <n v="1"/>
    <m/>
    <n v="1"/>
    <m/>
    <m/>
    <m/>
    <m/>
    <m/>
    <m/>
    <m/>
    <m/>
    <m/>
    <m/>
    <m/>
  </r>
  <r>
    <x v="24"/>
    <x v="1"/>
    <m/>
    <m/>
    <m/>
    <m/>
    <m/>
    <m/>
    <m/>
    <m/>
    <m/>
    <m/>
    <m/>
    <m/>
    <m/>
    <m/>
    <m/>
    <m/>
    <m/>
  </r>
  <r>
    <x v="24"/>
    <x v="2"/>
    <m/>
    <m/>
    <m/>
    <m/>
    <m/>
    <m/>
    <n v="2"/>
    <n v="1"/>
    <n v="1"/>
    <m/>
    <n v="1"/>
    <n v="1"/>
    <m/>
    <n v="2"/>
    <n v="1"/>
    <n v="1"/>
    <m/>
  </r>
  <r>
    <x v="24"/>
    <x v="3"/>
    <m/>
    <m/>
    <n v="1"/>
    <n v="1"/>
    <m/>
    <m/>
    <n v="5"/>
    <n v="2"/>
    <n v="2"/>
    <m/>
    <n v="2"/>
    <n v="1"/>
    <n v="5"/>
    <n v="1"/>
    <n v="2"/>
    <n v="6"/>
    <m/>
  </r>
  <r>
    <x v="24"/>
    <x v="4"/>
    <m/>
    <m/>
    <n v="1"/>
    <n v="1"/>
    <m/>
    <m/>
    <n v="1"/>
    <n v="1"/>
    <n v="1"/>
    <m/>
    <n v="1"/>
    <n v="1"/>
    <m/>
    <m/>
    <n v="1"/>
    <m/>
    <m/>
  </r>
  <r>
    <x v="24"/>
    <x v="5"/>
    <m/>
    <m/>
    <m/>
    <m/>
    <m/>
    <m/>
    <m/>
    <m/>
    <m/>
    <m/>
    <m/>
    <m/>
    <m/>
    <m/>
    <m/>
    <m/>
    <m/>
  </r>
  <r>
    <x v="24"/>
    <x v="73"/>
    <m/>
    <m/>
    <m/>
    <m/>
    <m/>
    <m/>
    <m/>
    <n v="1"/>
    <m/>
    <m/>
    <m/>
    <m/>
    <m/>
    <m/>
    <n v="1"/>
    <n v="1"/>
    <m/>
  </r>
  <r>
    <x v="24"/>
    <x v="6"/>
    <m/>
    <m/>
    <m/>
    <m/>
    <m/>
    <m/>
    <n v="1"/>
    <m/>
    <m/>
    <m/>
    <m/>
    <m/>
    <m/>
    <m/>
    <m/>
    <m/>
    <m/>
  </r>
  <r>
    <x v="24"/>
    <x v="7"/>
    <m/>
    <n v="1"/>
    <m/>
    <n v="1"/>
    <m/>
    <n v="1"/>
    <m/>
    <m/>
    <m/>
    <m/>
    <n v="1"/>
    <m/>
    <m/>
    <m/>
    <m/>
    <m/>
    <m/>
  </r>
  <r>
    <x v="24"/>
    <x v="8"/>
    <m/>
    <m/>
    <m/>
    <m/>
    <m/>
    <m/>
    <m/>
    <m/>
    <m/>
    <m/>
    <m/>
    <m/>
    <m/>
    <m/>
    <m/>
    <m/>
    <m/>
  </r>
  <r>
    <x v="24"/>
    <x v="9"/>
    <m/>
    <m/>
    <m/>
    <m/>
    <m/>
    <m/>
    <n v="1"/>
    <m/>
    <m/>
    <m/>
    <n v="1"/>
    <m/>
    <n v="1"/>
    <m/>
    <m/>
    <n v="1"/>
    <m/>
  </r>
  <r>
    <x v="24"/>
    <x v="10"/>
    <m/>
    <m/>
    <m/>
    <m/>
    <m/>
    <m/>
    <m/>
    <m/>
    <m/>
    <m/>
    <m/>
    <m/>
    <m/>
    <m/>
    <m/>
    <m/>
    <m/>
  </r>
  <r>
    <x v="24"/>
    <x v="11"/>
    <m/>
    <m/>
    <m/>
    <m/>
    <m/>
    <m/>
    <m/>
    <m/>
    <m/>
    <m/>
    <m/>
    <m/>
    <m/>
    <m/>
    <m/>
    <m/>
    <m/>
  </r>
  <r>
    <x v="24"/>
    <x v="12"/>
    <m/>
    <m/>
    <m/>
    <m/>
    <m/>
    <m/>
    <m/>
    <m/>
    <m/>
    <m/>
    <m/>
    <m/>
    <m/>
    <m/>
    <m/>
    <m/>
    <m/>
  </r>
  <r>
    <x v="24"/>
    <x v="13"/>
    <m/>
    <m/>
    <m/>
    <m/>
    <m/>
    <m/>
    <m/>
    <m/>
    <m/>
    <m/>
    <m/>
    <m/>
    <m/>
    <m/>
    <m/>
    <m/>
    <m/>
  </r>
  <r>
    <x v="24"/>
    <x v="56"/>
    <n v="1"/>
    <m/>
    <n v="1"/>
    <m/>
    <n v="1"/>
    <m/>
    <n v="1"/>
    <m/>
    <m/>
    <n v="1"/>
    <m/>
    <n v="1"/>
    <n v="1"/>
    <n v="1"/>
    <m/>
    <n v="1"/>
    <m/>
  </r>
  <r>
    <x v="24"/>
    <x v="14"/>
    <m/>
    <m/>
    <m/>
    <m/>
    <m/>
    <m/>
    <n v="3"/>
    <n v="3"/>
    <n v="1"/>
    <m/>
    <m/>
    <m/>
    <n v="1"/>
    <m/>
    <n v="1"/>
    <n v="1"/>
    <m/>
  </r>
  <r>
    <x v="24"/>
    <x v="15"/>
    <m/>
    <m/>
    <n v="3"/>
    <n v="3"/>
    <n v="3"/>
    <n v="2"/>
    <n v="5"/>
    <n v="5"/>
    <n v="10"/>
    <m/>
    <n v="2"/>
    <n v="6"/>
    <n v="6"/>
    <n v="2"/>
    <n v="10"/>
    <n v="15"/>
    <m/>
  </r>
  <r>
    <x v="24"/>
    <x v="16"/>
    <n v="1"/>
    <m/>
    <n v="1"/>
    <m/>
    <n v="1"/>
    <m/>
    <m/>
    <m/>
    <m/>
    <m/>
    <m/>
    <m/>
    <m/>
    <m/>
    <m/>
    <m/>
    <m/>
  </r>
  <r>
    <x v="24"/>
    <x v="17"/>
    <n v="1"/>
    <m/>
    <n v="1"/>
    <m/>
    <n v="1"/>
    <m/>
    <m/>
    <m/>
    <m/>
    <m/>
    <m/>
    <m/>
    <m/>
    <m/>
    <n v="1"/>
    <m/>
    <m/>
  </r>
  <r>
    <x v="24"/>
    <x v="18"/>
    <m/>
    <n v="1"/>
    <n v="13"/>
    <n v="3"/>
    <m/>
    <m/>
    <m/>
    <m/>
    <m/>
    <m/>
    <n v="2"/>
    <n v="2"/>
    <m/>
    <m/>
    <m/>
    <m/>
    <m/>
  </r>
  <r>
    <x v="24"/>
    <x v="19"/>
    <m/>
    <m/>
    <m/>
    <m/>
    <m/>
    <m/>
    <m/>
    <m/>
    <m/>
    <m/>
    <m/>
    <m/>
    <m/>
    <m/>
    <m/>
    <m/>
    <m/>
  </r>
  <r>
    <x v="24"/>
    <x v="20"/>
    <n v="1"/>
    <n v="1"/>
    <n v="1"/>
    <n v="1"/>
    <n v="1"/>
    <n v="1"/>
    <n v="1"/>
    <n v="1"/>
    <n v="1"/>
    <m/>
    <m/>
    <n v="2"/>
    <n v="1"/>
    <m/>
    <n v="2"/>
    <n v="1"/>
    <m/>
  </r>
  <r>
    <x v="24"/>
    <x v="21"/>
    <m/>
    <m/>
    <m/>
    <m/>
    <m/>
    <m/>
    <m/>
    <m/>
    <m/>
    <m/>
    <m/>
    <m/>
    <m/>
    <m/>
    <m/>
    <m/>
    <m/>
  </r>
  <r>
    <x v="24"/>
    <x v="22"/>
    <m/>
    <m/>
    <m/>
    <m/>
    <m/>
    <m/>
    <m/>
    <m/>
    <m/>
    <m/>
    <m/>
    <m/>
    <m/>
    <m/>
    <m/>
    <m/>
    <m/>
  </r>
  <r>
    <x v="24"/>
    <x v="57"/>
    <n v="1"/>
    <n v="1"/>
    <n v="1"/>
    <n v="1"/>
    <n v="1"/>
    <n v="1"/>
    <m/>
    <m/>
    <n v="1"/>
    <m/>
    <m/>
    <m/>
    <n v="1"/>
    <m/>
    <n v="1"/>
    <n v="1"/>
    <m/>
  </r>
  <r>
    <x v="24"/>
    <x v="23"/>
    <m/>
    <m/>
    <m/>
    <m/>
    <m/>
    <m/>
    <m/>
    <m/>
    <m/>
    <m/>
    <m/>
    <m/>
    <n v="1"/>
    <m/>
    <m/>
    <n v="1"/>
    <m/>
  </r>
  <r>
    <x v="24"/>
    <x v="24"/>
    <n v="1"/>
    <m/>
    <n v="1"/>
    <m/>
    <n v="1"/>
    <m/>
    <n v="1"/>
    <m/>
    <m/>
    <m/>
    <m/>
    <m/>
    <m/>
    <m/>
    <m/>
    <m/>
    <m/>
  </r>
  <r>
    <x v="24"/>
    <x v="25"/>
    <m/>
    <m/>
    <m/>
    <m/>
    <m/>
    <m/>
    <m/>
    <m/>
    <m/>
    <m/>
    <m/>
    <m/>
    <m/>
    <m/>
    <m/>
    <m/>
    <m/>
  </r>
  <r>
    <x v="24"/>
    <x v="26"/>
    <n v="1"/>
    <m/>
    <n v="1"/>
    <m/>
    <n v="1"/>
    <m/>
    <m/>
    <m/>
    <m/>
    <m/>
    <m/>
    <m/>
    <m/>
    <m/>
    <m/>
    <m/>
    <m/>
  </r>
  <r>
    <x v="24"/>
    <x v="52"/>
    <n v="1"/>
    <m/>
    <n v="1"/>
    <m/>
    <n v="1"/>
    <m/>
    <n v="3"/>
    <n v="3"/>
    <m/>
    <m/>
    <n v="1"/>
    <n v="1"/>
    <n v="1"/>
    <m/>
    <n v="1"/>
    <n v="1"/>
    <m/>
  </r>
  <r>
    <x v="24"/>
    <x v="58"/>
    <m/>
    <m/>
    <m/>
    <m/>
    <m/>
    <m/>
    <m/>
    <m/>
    <n v="1"/>
    <m/>
    <n v="1"/>
    <m/>
    <n v="1"/>
    <n v="1"/>
    <m/>
    <n v="1"/>
    <m/>
  </r>
  <r>
    <x v="24"/>
    <x v="27"/>
    <m/>
    <n v="1"/>
    <m/>
    <n v="1"/>
    <m/>
    <n v="1"/>
    <m/>
    <m/>
    <m/>
    <m/>
    <m/>
    <n v="2"/>
    <m/>
    <m/>
    <m/>
    <m/>
    <m/>
  </r>
  <r>
    <x v="24"/>
    <x v="28"/>
    <m/>
    <n v="2"/>
    <m/>
    <n v="1"/>
    <n v="3"/>
    <n v="2"/>
    <n v="3"/>
    <n v="3"/>
    <n v="2"/>
    <m/>
    <n v="2"/>
    <n v="2"/>
    <m/>
    <n v="1"/>
    <n v="2"/>
    <n v="1"/>
    <m/>
  </r>
  <r>
    <x v="24"/>
    <x v="29"/>
    <m/>
    <m/>
    <m/>
    <m/>
    <m/>
    <m/>
    <n v="3"/>
    <n v="3"/>
    <m/>
    <m/>
    <m/>
    <m/>
    <n v="1"/>
    <m/>
    <n v="1"/>
    <n v="1"/>
    <m/>
  </r>
  <r>
    <x v="24"/>
    <x v="59"/>
    <m/>
    <m/>
    <m/>
    <m/>
    <m/>
    <m/>
    <n v="3"/>
    <n v="1"/>
    <n v="1"/>
    <m/>
    <m/>
    <m/>
    <n v="1"/>
    <m/>
    <n v="1"/>
    <n v="1"/>
    <m/>
  </r>
  <r>
    <x v="24"/>
    <x v="30"/>
    <m/>
    <m/>
    <m/>
    <m/>
    <m/>
    <m/>
    <n v="3"/>
    <n v="3"/>
    <m/>
    <m/>
    <m/>
    <m/>
    <n v="1"/>
    <m/>
    <n v="1"/>
    <n v="1"/>
    <m/>
  </r>
  <r>
    <x v="24"/>
    <x v="31"/>
    <n v="1"/>
    <n v="3"/>
    <n v="1"/>
    <n v="2"/>
    <n v="1"/>
    <n v="2"/>
    <n v="23"/>
    <n v="15"/>
    <m/>
    <n v="1"/>
    <n v="2"/>
    <n v="2"/>
    <n v="11"/>
    <n v="1"/>
    <n v="15"/>
    <n v="12"/>
    <m/>
  </r>
  <r>
    <x v="24"/>
    <x v="32"/>
    <m/>
    <m/>
    <m/>
    <m/>
    <m/>
    <m/>
    <n v="3"/>
    <n v="1"/>
    <n v="2"/>
    <m/>
    <m/>
    <n v="1"/>
    <m/>
    <m/>
    <n v="1"/>
    <m/>
    <m/>
  </r>
  <r>
    <x v="24"/>
    <x v="33"/>
    <n v="1"/>
    <m/>
    <n v="1"/>
    <m/>
    <n v="1"/>
    <m/>
    <m/>
    <n v="1"/>
    <m/>
    <m/>
    <n v="1"/>
    <m/>
    <n v="2"/>
    <m/>
    <n v="1"/>
    <n v="1"/>
    <m/>
  </r>
  <r>
    <x v="24"/>
    <x v="34"/>
    <m/>
    <n v="1"/>
    <m/>
    <n v="1"/>
    <m/>
    <n v="1"/>
    <m/>
    <m/>
    <m/>
    <m/>
    <m/>
    <m/>
    <m/>
    <m/>
    <m/>
    <m/>
    <m/>
  </r>
  <r>
    <x v="24"/>
    <x v="35"/>
    <m/>
    <m/>
    <m/>
    <n v="6"/>
    <n v="5"/>
    <n v="2"/>
    <n v="1"/>
    <n v="3"/>
    <m/>
    <n v="2"/>
    <n v="3"/>
    <n v="2"/>
    <n v="5"/>
    <m/>
    <n v="2"/>
    <m/>
    <m/>
  </r>
  <r>
    <x v="24"/>
    <x v="36"/>
    <n v="1"/>
    <n v="1"/>
    <n v="1"/>
    <n v="1"/>
    <n v="5"/>
    <n v="7"/>
    <n v="6"/>
    <n v="6"/>
    <n v="4"/>
    <m/>
    <m/>
    <m/>
    <n v="1"/>
    <m/>
    <m/>
    <n v="17"/>
    <m/>
  </r>
  <r>
    <x v="24"/>
    <x v="53"/>
    <n v="1"/>
    <n v="2"/>
    <m/>
    <n v="1"/>
    <n v="1"/>
    <n v="3"/>
    <n v="9"/>
    <n v="6"/>
    <n v="8"/>
    <m/>
    <n v="1"/>
    <m/>
    <n v="2"/>
    <n v="1"/>
    <n v="2"/>
    <n v="2"/>
    <m/>
  </r>
  <r>
    <x v="24"/>
    <x v="61"/>
    <m/>
    <m/>
    <m/>
    <m/>
    <m/>
    <m/>
    <m/>
    <m/>
    <m/>
    <m/>
    <m/>
    <m/>
    <n v="1"/>
    <m/>
    <m/>
    <n v="1"/>
    <m/>
  </r>
  <r>
    <x v="24"/>
    <x v="37"/>
    <m/>
    <m/>
    <m/>
    <m/>
    <m/>
    <m/>
    <m/>
    <m/>
    <m/>
    <m/>
    <m/>
    <m/>
    <m/>
    <m/>
    <m/>
    <m/>
    <m/>
  </r>
  <r>
    <x v="24"/>
    <x v="38"/>
    <m/>
    <m/>
    <m/>
    <m/>
    <m/>
    <m/>
    <m/>
    <n v="1"/>
    <n v="1"/>
    <m/>
    <m/>
    <m/>
    <n v="2"/>
    <n v="1"/>
    <n v="2"/>
    <m/>
    <m/>
  </r>
  <r>
    <x v="24"/>
    <x v="39"/>
    <n v="1"/>
    <m/>
    <n v="1"/>
    <m/>
    <n v="1"/>
    <m/>
    <n v="3"/>
    <n v="4"/>
    <m/>
    <m/>
    <n v="2"/>
    <m/>
    <m/>
    <n v="1"/>
    <n v="1"/>
    <n v="1"/>
    <m/>
  </r>
  <r>
    <x v="24"/>
    <x v="40"/>
    <m/>
    <n v="3"/>
    <m/>
    <m/>
    <m/>
    <m/>
    <n v="2"/>
    <n v="2"/>
    <n v="1"/>
    <m/>
    <n v="1"/>
    <n v="1"/>
    <m/>
    <n v="2"/>
    <n v="1"/>
    <n v="1"/>
    <m/>
  </r>
  <r>
    <x v="24"/>
    <x v="41"/>
    <m/>
    <m/>
    <m/>
    <m/>
    <m/>
    <m/>
    <m/>
    <m/>
    <m/>
    <m/>
    <m/>
    <m/>
    <m/>
    <m/>
    <m/>
    <m/>
    <m/>
  </r>
  <r>
    <x v="24"/>
    <x v="42"/>
    <m/>
    <m/>
    <m/>
    <m/>
    <m/>
    <m/>
    <n v="1"/>
    <n v="1"/>
    <n v="1"/>
    <m/>
    <n v="1"/>
    <n v="1"/>
    <m/>
    <m/>
    <n v="1"/>
    <m/>
    <m/>
  </r>
  <r>
    <x v="24"/>
    <x v="43"/>
    <m/>
    <m/>
    <m/>
    <n v="1"/>
    <m/>
    <m/>
    <m/>
    <n v="1"/>
    <m/>
    <m/>
    <m/>
    <m/>
    <m/>
    <m/>
    <m/>
    <m/>
    <m/>
  </r>
  <r>
    <x v="24"/>
    <x v="44"/>
    <m/>
    <m/>
    <m/>
    <m/>
    <m/>
    <m/>
    <m/>
    <m/>
    <m/>
    <m/>
    <m/>
    <m/>
    <m/>
    <m/>
    <m/>
    <m/>
    <m/>
  </r>
  <r>
    <x v="24"/>
    <x v="45"/>
    <m/>
    <n v="2"/>
    <m/>
    <m/>
    <n v="1"/>
    <m/>
    <n v="7"/>
    <n v="3"/>
    <n v="4"/>
    <m/>
    <n v="3"/>
    <n v="2"/>
    <m/>
    <n v="2"/>
    <n v="1"/>
    <n v="1"/>
    <m/>
  </r>
  <r>
    <x v="24"/>
    <x v="46"/>
    <m/>
    <n v="2"/>
    <m/>
    <m/>
    <n v="1"/>
    <m/>
    <n v="4"/>
    <n v="1"/>
    <n v="7"/>
    <m/>
    <n v="1"/>
    <n v="1"/>
    <m/>
    <n v="2"/>
    <n v="1"/>
    <n v="1"/>
    <m/>
  </r>
  <r>
    <x v="24"/>
    <x v="47"/>
    <m/>
    <m/>
    <m/>
    <m/>
    <m/>
    <m/>
    <m/>
    <m/>
    <m/>
    <m/>
    <m/>
    <m/>
    <m/>
    <m/>
    <m/>
    <m/>
    <m/>
  </r>
  <r>
    <x v="24"/>
    <x v="48"/>
    <m/>
    <m/>
    <m/>
    <m/>
    <m/>
    <m/>
    <n v="1"/>
    <m/>
    <m/>
    <m/>
    <m/>
    <m/>
    <m/>
    <m/>
    <m/>
    <m/>
    <m/>
  </r>
  <r>
    <x v="24"/>
    <x v="49"/>
    <n v="1"/>
    <n v="1"/>
    <n v="1"/>
    <n v="1"/>
    <n v="1"/>
    <n v="1"/>
    <n v="3"/>
    <n v="4"/>
    <m/>
    <m/>
    <n v="1"/>
    <m/>
    <m/>
    <m/>
    <n v="1"/>
    <n v="4"/>
    <m/>
  </r>
  <r>
    <x v="24"/>
    <x v="50"/>
    <m/>
    <m/>
    <m/>
    <m/>
    <m/>
    <m/>
    <n v="1"/>
    <n v="1"/>
    <n v="1"/>
    <m/>
    <n v="1"/>
    <n v="1"/>
    <m/>
    <m/>
    <n v="1"/>
    <m/>
    <m/>
  </r>
  <r>
    <x v="24"/>
    <x v="60"/>
    <m/>
    <m/>
    <m/>
    <m/>
    <m/>
    <m/>
    <m/>
    <m/>
    <m/>
    <m/>
    <m/>
    <m/>
    <n v="1"/>
    <m/>
    <n v="1"/>
    <n v="1"/>
    <m/>
  </r>
  <r>
    <x v="24"/>
    <x v="51"/>
    <m/>
    <n v="1"/>
    <m/>
    <m/>
    <m/>
    <m/>
    <n v="2"/>
    <n v="2"/>
    <n v="2"/>
    <m/>
    <n v="1"/>
    <n v="1"/>
    <m/>
    <m/>
    <n v="1"/>
    <m/>
    <m/>
  </r>
  <r>
    <x v="25"/>
    <x v="0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"/>
    <n v="0"/>
    <n v="0"/>
    <n v="0"/>
    <n v="0"/>
    <n v="0"/>
    <n v="0"/>
    <n v="1"/>
    <n v="1"/>
    <n v="0"/>
    <n v="0"/>
    <n v="1"/>
    <n v="0"/>
    <n v="1"/>
    <n v="0"/>
    <n v="1"/>
    <n v="4"/>
    <m/>
  </r>
  <r>
    <x v="25"/>
    <x v="3"/>
    <n v="4"/>
    <n v="6"/>
    <n v="0"/>
    <n v="0"/>
    <n v="0"/>
    <n v="0"/>
    <n v="3"/>
    <n v="2"/>
    <n v="3"/>
    <n v="6"/>
    <n v="13"/>
    <n v="3"/>
    <n v="10"/>
    <n v="6"/>
    <n v="5"/>
    <n v="11"/>
    <m/>
  </r>
  <r>
    <x v="25"/>
    <x v="4"/>
    <n v="0"/>
    <n v="0"/>
    <n v="0"/>
    <n v="0"/>
    <n v="0"/>
    <n v="0"/>
    <n v="2"/>
    <n v="2"/>
    <n v="0"/>
    <n v="0"/>
    <n v="25"/>
    <n v="0"/>
    <n v="0"/>
    <n v="0"/>
    <n v="6"/>
    <n v="4"/>
    <m/>
  </r>
  <r>
    <x v="25"/>
    <x v="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6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7"/>
    <n v="0"/>
    <n v="0"/>
    <n v="0"/>
    <n v="0"/>
    <n v="0"/>
    <n v="0"/>
    <n v="0"/>
    <n v="0"/>
    <n v="0"/>
    <n v="0"/>
    <n v="0"/>
    <n v="0"/>
    <n v="1"/>
    <n v="0"/>
    <n v="1"/>
    <n v="0"/>
    <m/>
  </r>
  <r>
    <x v="25"/>
    <x v="8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9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0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2"/>
    <n v="0"/>
    <n v="0"/>
    <n v="0"/>
    <n v="0"/>
    <n v="0"/>
    <n v="0"/>
    <n v="0"/>
    <n v="0"/>
    <n v="0"/>
    <n v="0"/>
    <n v="0"/>
    <n v="0"/>
    <n v="0"/>
    <n v="0"/>
    <n v="0"/>
    <n v="1"/>
    <m/>
  </r>
  <r>
    <x v="25"/>
    <x v="13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4"/>
    <n v="0"/>
    <n v="0"/>
    <n v="0"/>
    <n v="0"/>
    <n v="0"/>
    <n v="0"/>
    <n v="1"/>
    <n v="1"/>
    <n v="0"/>
    <n v="0"/>
    <n v="2"/>
    <n v="0"/>
    <n v="2"/>
    <n v="0"/>
    <n v="0"/>
    <n v="2"/>
    <m/>
  </r>
  <r>
    <x v="25"/>
    <x v="1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6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18"/>
    <n v="0"/>
    <n v="0"/>
    <n v="0"/>
    <n v="0"/>
    <n v="2"/>
    <n v="0"/>
    <n v="25"/>
    <n v="6"/>
    <n v="9"/>
    <n v="0"/>
    <n v="4"/>
    <n v="3"/>
    <n v="1"/>
    <n v="3"/>
    <n v="1"/>
    <n v="12"/>
    <m/>
  </r>
  <r>
    <x v="25"/>
    <x v="19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0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2"/>
    <n v="2"/>
    <n v="0"/>
    <n v="2"/>
    <n v="0"/>
    <n v="0"/>
    <n v="0"/>
    <n v="3"/>
    <n v="2"/>
    <n v="0"/>
    <n v="0"/>
    <n v="3"/>
    <n v="0"/>
    <n v="0"/>
    <n v="0"/>
    <n v="2"/>
    <n v="7"/>
    <m/>
  </r>
  <r>
    <x v="25"/>
    <x v="23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4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6"/>
    <n v="0"/>
    <n v="0"/>
    <n v="0"/>
    <n v="0"/>
    <n v="0"/>
    <n v="0"/>
    <n v="4"/>
    <n v="2"/>
    <n v="1"/>
    <n v="0"/>
    <n v="4"/>
    <n v="5"/>
    <n v="0"/>
    <n v="2"/>
    <n v="5"/>
    <n v="1"/>
    <m/>
  </r>
  <r>
    <x v="25"/>
    <x v="2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28"/>
    <n v="0"/>
    <n v="0"/>
    <n v="0"/>
    <n v="0"/>
    <n v="0"/>
    <n v="0"/>
    <n v="0"/>
    <n v="0"/>
    <n v="0"/>
    <n v="0"/>
    <n v="2"/>
    <n v="0"/>
    <n v="2"/>
    <n v="0"/>
    <n v="1"/>
    <n v="2"/>
    <m/>
  </r>
  <r>
    <x v="25"/>
    <x v="29"/>
    <n v="0"/>
    <n v="0"/>
    <n v="0"/>
    <n v="0"/>
    <n v="0"/>
    <n v="0"/>
    <n v="0"/>
    <n v="0"/>
    <n v="0"/>
    <n v="0"/>
    <n v="0"/>
    <n v="1"/>
    <n v="3"/>
    <n v="0"/>
    <n v="1"/>
    <n v="3"/>
    <m/>
  </r>
  <r>
    <x v="25"/>
    <x v="30"/>
    <n v="1"/>
    <n v="2"/>
    <n v="0"/>
    <n v="1"/>
    <n v="0"/>
    <n v="0"/>
    <n v="0"/>
    <n v="2"/>
    <n v="2"/>
    <n v="0"/>
    <n v="9"/>
    <n v="1"/>
    <n v="1"/>
    <n v="2"/>
    <n v="1"/>
    <n v="9"/>
    <m/>
  </r>
  <r>
    <x v="25"/>
    <x v="31"/>
    <n v="0"/>
    <n v="2"/>
    <n v="0"/>
    <n v="2"/>
    <n v="0"/>
    <n v="2"/>
    <n v="10"/>
    <n v="12"/>
    <n v="0"/>
    <n v="0"/>
    <n v="17"/>
    <n v="9"/>
    <n v="16"/>
    <n v="10"/>
    <n v="20"/>
    <n v="52"/>
    <m/>
  </r>
  <r>
    <x v="25"/>
    <x v="32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33"/>
    <n v="0"/>
    <n v="0"/>
    <n v="0"/>
    <n v="0"/>
    <n v="0"/>
    <n v="0"/>
    <n v="2"/>
    <n v="0"/>
    <n v="1"/>
    <n v="0"/>
    <n v="1"/>
    <n v="1"/>
    <n v="0"/>
    <n v="1"/>
    <n v="2"/>
    <n v="2"/>
    <m/>
  </r>
  <r>
    <x v="25"/>
    <x v="34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35"/>
    <n v="2"/>
    <n v="5"/>
    <n v="2"/>
    <n v="5"/>
    <n v="2"/>
    <n v="5"/>
    <n v="2"/>
    <n v="5"/>
    <n v="2"/>
    <n v="0"/>
    <n v="4"/>
    <n v="3"/>
    <n v="1"/>
    <n v="2"/>
    <n v="4"/>
    <n v="4"/>
    <m/>
  </r>
  <r>
    <x v="25"/>
    <x v="36"/>
    <n v="0"/>
    <n v="0"/>
    <n v="0"/>
    <n v="0"/>
    <n v="0"/>
    <n v="0"/>
    <n v="0"/>
    <n v="0"/>
    <n v="1"/>
    <n v="0"/>
    <n v="1"/>
    <n v="1"/>
    <n v="1"/>
    <n v="0"/>
    <n v="2"/>
    <n v="0"/>
    <m/>
  </r>
  <r>
    <x v="25"/>
    <x v="3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38"/>
    <n v="0"/>
    <n v="0"/>
    <n v="0"/>
    <n v="0"/>
    <n v="0"/>
    <n v="0"/>
    <n v="1"/>
    <n v="0"/>
    <n v="2"/>
    <n v="0"/>
    <n v="3"/>
    <n v="1"/>
    <n v="3"/>
    <n v="1"/>
    <n v="2"/>
    <n v="3"/>
    <m/>
  </r>
  <r>
    <x v="25"/>
    <x v="39"/>
    <n v="0"/>
    <n v="0"/>
    <n v="0"/>
    <n v="0"/>
    <n v="0"/>
    <n v="0"/>
    <n v="7"/>
    <n v="5"/>
    <n v="2"/>
    <n v="0"/>
    <n v="5"/>
    <n v="7"/>
    <n v="31"/>
    <n v="2"/>
    <n v="7"/>
    <n v="31"/>
    <m/>
  </r>
  <r>
    <x v="25"/>
    <x v="40"/>
    <n v="0"/>
    <n v="0"/>
    <n v="0"/>
    <n v="0"/>
    <n v="0"/>
    <n v="0"/>
    <n v="2"/>
    <n v="1"/>
    <n v="0"/>
    <n v="0"/>
    <n v="1"/>
    <n v="0"/>
    <n v="1"/>
    <n v="0"/>
    <n v="1"/>
    <n v="4"/>
    <m/>
  </r>
  <r>
    <x v="25"/>
    <x v="41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2"/>
    <n v="0"/>
    <n v="0"/>
    <n v="1"/>
    <n v="0"/>
    <n v="0"/>
    <n v="0"/>
    <n v="11"/>
    <n v="10"/>
    <n v="0"/>
    <n v="0"/>
    <n v="2"/>
    <n v="4"/>
    <n v="9"/>
    <n v="10"/>
    <n v="13"/>
    <n v="18"/>
    <m/>
  </r>
  <r>
    <x v="25"/>
    <x v="43"/>
    <n v="0"/>
    <n v="0"/>
    <n v="0"/>
    <n v="0"/>
    <n v="0"/>
    <n v="0"/>
    <n v="2"/>
    <n v="2"/>
    <n v="0"/>
    <n v="0"/>
    <n v="2"/>
    <n v="1"/>
    <n v="1"/>
    <n v="0"/>
    <n v="1"/>
    <n v="3"/>
    <m/>
  </r>
  <r>
    <x v="25"/>
    <x v="44"/>
    <n v="0"/>
    <n v="0"/>
    <n v="0"/>
    <n v="0"/>
    <n v="0"/>
    <n v="0"/>
    <n v="0"/>
    <n v="0"/>
    <n v="0"/>
    <n v="0"/>
    <n v="2"/>
    <n v="0"/>
    <n v="1"/>
    <n v="0"/>
    <n v="1"/>
    <n v="3"/>
    <m/>
  </r>
  <r>
    <x v="25"/>
    <x v="45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6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7"/>
    <n v="0"/>
    <n v="0"/>
    <n v="0"/>
    <n v="0"/>
    <n v="0"/>
    <n v="0"/>
    <n v="0"/>
    <n v="0"/>
    <n v="0"/>
    <n v="0"/>
    <n v="0"/>
    <n v="0"/>
    <n v="0"/>
    <n v="0"/>
    <n v="0"/>
    <n v="0"/>
    <m/>
  </r>
  <r>
    <x v="25"/>
    <x v="48"/>
    <n v="0"/>
    <n v="0"/>
    <n v="0"/>
    <n v="0"/>
    <n v="0"/>
    <n v="0"/>
    <n v="1"/>
    <n v="0"/>
    <n v="0"/>
    <n v="0"/>
    <n v="0"/>
    <n v="0"/>
    <n v="0"/>
    <n v="1"/>
    <n v="0"/>
    <n v="0"/>
    <m/>
  </r>
  <r>
    <x v="25"/>
    <x v="49"/>
    <n v="0"/>
    <n v="0"/>
    <n v="0"/>
    <n v="0"/>
    <n v="0"/>
    <n v="0"/>
    <n v="0"/>
    <n v="0"/>
    <n v="0"/>
    <n v="0"/>
    <n v="0"/>
    <n v="0"/>
    <n v="0"/>
    <n v="0"/>
    <n v="0"/>
    <n v="1"/>
    <m/>
  </r>
  <r>
    <x v="25"/>
    <x v="50"/>
    <n v="0"/>
    <n v="0"/>
    <n v="0"/>
    <n v="0"/>
    <n v="0"/>
    <n v="0"/>
    <n v="0"/>
    <n v="0"/>
    <n v="0"/>
    <n v="0"/>
    <n v="0"/>
    <n v="0"/>
    <n v="0"/>
    <n v="0"/>
    <n v="0"/>
    <n v="5"/>
    <m/>
  </r>
  <r>
    <x v="25"/>
    <x v="51"/>
    <n v="0"/>
    <n v="1"/>
    <n v="0"/>
    <n v="0"/>
    <n v="1"/>
    <n v="1"/>
    <n v="4"/>
    <n v="3"/>
    <n v="0"/>
    <n v="0"/>
    <n v="4"/>
    <n v="2"/>
    <n v="4"/>
    <n v="2"/>
    <n v="4"/>
    <n v="20"/>
    <m/>
  </r>
  <r>
    <x v="25"/>
    <x v="74"/>
    <n v="0"/>
    <n v="0"/>
    <n v="0"/>
    <n v="0"/>
    <n v="0"/>
    <n v="0"/>
    <n v="2"/>
    <n v="2"/>
    <n v="0"/>
    <n v="0"/>
    <n v="0"/>
    <n v="1"/>
    <n v="1"/>
    <n v="2"/>
    <n v="2"/>
    <n v="1"/>
    <m/>
  </r>
  <r>
    <x v="26"/>
    <x v="0"/>
    <m/>
    <m/>
    <m/>
    <m/>
    <m/>
    <m/>
    <m/>
    <m/>
    <m/>
    <m/>
    <m/>
    <m/>
    <m/>
    <m/>
    <m/>
    <m/>
    <m/>
  </r>
  <r>
    <x v="26"/>
    <x v="1"/>
    <m/>
    <m/>
    <m/>
    <m/>
    <m/>
    <m/>
    <m/>
    <m/>
    <m/>
    <m/>
    <m/>
    <m/>
    <m/>
    <m/>
    <m/>
    <m/>
    <m/>
  </r>
  <r>
    <x v="26"/>
    <x v="2"/>
    <m/>
    <m/>
    <m/>
    <m/>
    <m/>
    <m/>
    <m/>
    <m/>
    <m/>
    <m/>
    <m/>
    <m/>
    <m/>
    <m/>
    <m/>
    <m/>
    <m/>
  </r>
  <r>
    <x v="26"/>
    <x v="3"/>
    <m/>
    <m/>
    <m/>
    <m/>
    <m/>
    <m/>
    <m/>
    <m/>
    <m/>
    <m/>
    <m/>
    <m/>
    <m/>
    <m/>
    <m/>
    <m/>
    <m/>
  </r>
  <r>
    <x v="26"/>
    <x v="4"/>
    <m/>
    <m/>
    <m/>
    <m/>
    <m/>
    <m/>
    <m/>
    <m/>
    <m/>
    <m/>
    <m/>
    <m/>
    <m/>
    <m/>
    <m/>
    <m/>
    <m/>
  </r>
  <r>
    <x v="26"/>
    <x v="5"/>
    <m/>
    <m/>
    <m/>
    <m/>
    <m/>
    <m/>
    <m/>
    <m/>
    <m/>
    <m/>
    <m/>
    <m/>
    <m/>
    <m/>
    <m/>
    <m/>
    <m/>
  </r>
  <r>
    <x v="26"/>
    <x v="6"/>
    <m/>
    <m/>
    <m/>
    <m/>
    <m/>
    <m/>
    <m/>
    <m/>
    <m/>
    <m/>
    <m/>
    <m/>
    <m/>
    <m/>
    <m/>
    <m/>
    <m/>
  </r>
  <r>
    <x v="26"/>
    <x v="7"/>
    <m/>
    <m/>
    <m/>
    <m/>
    <m/>
    <m/>
    <m/>
    <m/>
    <m/>
    <m/>
    <m/>
    <m/>
    <m/>
    <m/>
    <m/>
    <m/>
    <m/>
  </r>
  <r>
    <x v="26"/>
    <x v="8"/>
    <m/>
    <m/>
    <m/>
    <m/>
    <m/>
    <m/>
    <m/>
    <m/>
    <m/>
    <m/>
    <m/>
    <m/>
    <m/>
    <m/>
    <m/>
    <m/>
    <m/>
  </r>
  <r>
    <x v="26"/>
    <x v="9"/>
    <m/>
    <m/>
    <m/>
    <m/>
    <m/>
    <m/>
    <m/>
    <m/>
    <m/>
    <m/>
    <m/>
    <m/>
    <m/>
    <m/>
    <m/>
    <m/>
    <m/>
  </r>
  <r>
    <x v="26"/>
    <x v="10"/>
    <m/>
    <m/>
    <m/>
    <m/>
    <m/>
    <m/>
    <m/>
    <m/>
    <m/>
    <m/>
    <m/>
    <m/>
    <m/>
    <m/>
    <m/>
    <m/>
    <m/>
  </r>
  <r>
    <x v="26"/>
    <x v="11"/>
    <m/>
    <m/>
    <m/>
    <m/>
    <m/>
    <m/>
    <m/>
    <m/>
    <m/>
    <m/>
    <m/>
    <m/>
    <m/>
    <m/>
    <m/>
    <m/>
    <m/>
  </r>
  <r>
    <x v="26"/>
    <x v="12"/>
    <m/>
    <m/>
    <m/>
    <m/>
    <m/>
    <m/>
    <m/>
    <m/>
    <m/>
    <m/>
    <m/>
    <m/>
    <m/>
    <m/>
    <m/>
    <m/>
    <m/>
  </r>
  <r>
    <x v="26"/>
    <x v="13"/>
    <m/>
    <m/>
    <m/>
    <m/>
    <m/>
    <m/>
    <m/>
    <m/>
    <m/>
    <m/>
    <m/>
    <m/>
    <m/>
    <m/>
    <m/>
    <m/>
    <m/>
  </r>
  <r>
    <x v="26"/>
    <x v="14"/>
    <m/>
    <m/>
    <m/>
    <m/>
    <m/>
    <m/>
    <m/>
    <m/>
    <m/>
    <m/>
    <m/>
    <m/>
    <m/>
    <m/>
    <m/>
    <m/>
    <m/>
  </r>
  <r>
    <x v="26"/>
    <x v="15"/>
    <m/>
    <m/>
    <m/>
    <m/>
    <m/>
    <m/>
    <m/>
    <m/>
    <m/>
    <m/>
    <m/>
    <m/>
    <m/>
    <m/>
    <m/>
    <m/>
    <m/>
  </r>
  <r>
    <x v="26"/>
    <x v="16"/>
    <m/>
    <m/>
    <m/>
    <m/>
    <m/>
    <m/>
    <m/>
    <m/>
    <m/>
    <m/>
    <m/>
    <m/>
    <m/>
    <m/>
    <m/>
    <m/>
    <m/>
  </r>
  <r>
    <x v="26"/>
    <x v="17"/>
    <m/>
    <m/>
    <m/>
    <m/>
    <m/>
    <m/>
    <m/>
    <m/>
    <m/>
    <m/>
    <m/>
    <m/>
    <m/>
    <m/>
    <m/>
    <m/>
    <m/>
  </r>
  <r>
    <x v="26"/>
    <x v="18"/>
    <m/>
    <m/>
    <m/>
    <m/>
    <m/>
    <m/>
    <m/>
    <m/>
    <m/>
    <m/>
    <m/>
    <m/>
    <m/>
    <m/>
    <m/>
    <m/>
    <m/>
  </r>
  <r>
    <x v="26"/>
    <x v="19"/>
    <m/>
    <m/>
    <m/>
    <m/>
    <m/>
    <m/>
    <m/>
    <m/>
    <m/>
    <m/>
    <m/>
    <m/>
    <m/>
    <m/>
    <m/>
    <m/>
    <m/>
  </r>
  <r>
    <x v="26"/>
    <x v="20"/>
    <m/>
    <m/>
    <m/>
    <m/>
    <m/>
    <m/>
    <m/>
    <m/>
    <m/>
    <m/>
    <m/>
    <m/>
    <m/>
    <m/>
    <m/>
    <m/>
    <m/>
  </r>
  <r>
    <x v="26"/>
    <x v="21"/>
    <m/>
    <m/>
    <m/>
    <m/>
    <m/>
    <m/>
    <m/>
    <m/>
    <m/>
    <m/>
    <m/>
    <m/>
    <m/>
    <m/>
    <m/>
    <m/>
    <m/>
  </r>
  <r>
    <x v="26"/>
    <x v="22"/>
    <m/>
    <m/>
    <m/>
    <m/>
    <m/>
    <m/>
    <m/>
    <m/>
    <m/>
    <m/>
    <m/>
    <m/>
    <m/>
    <m/>
    <m/>
    <m/>
    <m/>
  </r>
  <r>
    <x v="26"/>
    <x v="23"/>
    <m/>
    <m/>
    <m/>
    <m/>
    <m/>
    <m/>
    <m/>
    <m/>
    <m/>
    <m/>
    <m/>
    <m/>
    <m/>
    <m/>
    <m/>
    <m/>
    <m/>
  </r>
  <r>
    <x v="26"/>
    <x v="24"/>
    <m/>
    <m/>
    <m/>
    <m/>
    <m/>
    <m/>
    <m/>
    <m/>
    <m/>
    <m/>
    <m/>
    <m/>
    <m/>
    <m/>
    <m/>
    <m/>
    <m/>
  </r>
  <r>
    <x v="26"/>
    <x v="25"/>
    <m/>
    <m/>
    <m/>
    <m/>
    <m/>
    <m/>
    <m/>
    <m/>
    <m/>
    <m/>
    <m/>
    <m/>
    <m/>
    <m/>
    <m/>
    <m/>
    <m/>
  </r>
  <r>
    <x v="26"/>
    <x v="26"/>
    <m/>
    <m/>
    <m/>
    <m/>
    <m/>
    <m/>
    <m/>
    <m/>
    <m/>
    <m/>
    <m/>
    <m/>
    <m/>
    <m/>
    <m/>
    <m/>
    <m/>
  </r>
  <r>
    <x v="26"/>
    <x v="27"/>
    <m/>
    <m/>
    <m/>
    <m/>
    <m/>
    <m/>
    <m/>
    <m/>
    <m/>
    <m/>
    <m/>
    <m/>
    <m/>
    <m/>
    <m/>
    <m/>
    <m/>
  </r>
  <r>
    <x v="26"/>
    <x v="28"/>
    <m/>
    <m/>
    <m/>
    <m/>
    <m/>
    <m/>
    <m/>
    <m/>
    <m/>
    <m/>
    <m/>
    <m/>
    <m/>
    <m/>
    <m/>
    <m/>
    <m/>
  </r>
  <r>
    <x v="26"/>
    <x v="29"/>
    <m/>
    <m/>
    <m/>
    <m/>
    <m/>
    <m/>
    <m/>
    <m/>
    <m/>
    <m/>
    <m/>
    <m/>
    <m/>
    <m/>
    <m/>
    <m/>
    <m/>
  </r>
  <r>
    <x v="26"/>
    <x v="30"/>
    <m/>
    <m/>
    <m/>
    <m/>
    <m/>
    <m/>
    <m/>
    <m/>
    <m/>
    <m/>
    <m/>
    <m/>
    <m/>
    <m/>
    <m/>
    <m/>
    <m/>
  </r>
  <r>
    <x v="26"/>
    <x v="31"/>
    <m/>
    <m/>
    <m/>
    <m/>
    <m/>
    <m/>
    <m/>
    <n v="1"/>
    <n v="1"/>
    <m/>
    <m/>
    <n v="1"/>
    <m/>
    <m/>
    <n v="1"/>
    <n v="4"/>
    <m/>
  </r>
  <r>
    <x v="26"/>
    <x v="32"/>
    <m/>
    <m/>
    <m/>
    <m/>
    <m/>
    <m/>
    <m/>
    <m/>
    <m/>
    <m/>
    <m/>
    <m/>
    <m/>
    <m/>
    <m/>
    <m/>
    <m/>
  </r>
  <r>
    <x v="26"/>
    <x v="33"/>
    <m/>
    <m/>
    <m/>
    <m/>
    <m/>
    <m/>
    <m/>
    <m/>
    <m/>
    <m/>
    <m/>
    <m/>
    <m/>
    <m/>
    <m/>
    <m/>
    <m/>
  </r>
  <r>
    <x v="26"/>
    <x v="34"/>
    <m/>
    <m/>
    <m/>
    <m/>
    <m/>
    <m/>
    <m/>
    <m/>
    <m/>
    <m/>
    <m/>
    <m/>
    <m/>
    <m/>
    <m/>
    <m/>
    <m/>
  </r>
  <r>
    <x v="26"/>
    <x v="35"/>
    <m/>
    <m/>
    <m/>
    <m/>
    <m/>
    <m/>
    <m/>
    <m/>
    <m/>
    <m/>
    <m/>
    <m/>
    <m/>
    <m/>
    <m/>
    <m/>
    <m/>
  </r>
  <r>
    <x v="26"/>
    <x v="36"/>
    <m/>
    <m/>
    <m/>
    <m/>
    <m/>
    <m/>
    <m/>
    <m/>
    <m/>
    <m/>
    <m/>
    <m/>
    <m/>
    <m/>
    <m/>
    <m/>
    <m/>
  </r>
  <r>
    <x v="26"/>
    <x v="37"/>
    <m/>
    <m/>
    <m/>
    <m/>
    <m/>
    <m/>
    <m/>
    <m/>
    <m/>
    <m/>
    <m/>
    <m/>
    <m/>
    <m/>
    <m/>
    <m/>
    <m/>
  </r>
  <r>
    <x v="26"/>
    <x v="38"/>
    <m/>
    <m/>
    <m/>
    <m/>
    <m/>
    <m/>
    <m/>
    <m/>
    <m/>
    <m/>
    <m/>
    <m/>
    <m/>
    <m/>
    <m/>
    <m/>
    <m/>
  </r>
  <r>
    <x v="26"/>
    <x v="39"/>
    <m/>
    <m/>
    <m/>
    <m/>
    <m/>
    <m/>
    <m/>
    <m/>
    <m/>
    <m/>
    <m/>
    <m/>
    <m/>
    <m/>
    <m/>
    <m/>
    <m/>
  </r>
  <r>
    <x v="26"/>
    <x v="40"/>
    <m/>
    <m/>
    <m/>
    <m/>
    <m/>
    <m/>
    <m/>
    <m/>
    <m/>
    <m/>
    <m/>
    <m/>
    <m/>
    <m/>
    <m/>
    <m/>
    <m/>
  </r>
  <r>
    <x v="26"/>
    <x v="41"/>
    <m/>
    <m/>
    <m/>
    <m/>
    <m/>
    <m/>
    <m/>
    <m/>
    <m/>
    <m/>
    <m/>
    <m/>
    <m/>
    <m/>
    <m/>
    <m/>
    <m/>
  </r>
  <r>
    <x v="26"/>
    <x v="42"/>
    <m/>
    <m/>
    <m/>
    <m/>
    <m/>
    <m/>
    <n v="3"/>
    <n v="2"/>
    <n v="2"/>
    <m/>
    <n v="2"/>
    <m/>
    <n v="1"/>
    <n v="2"/>
    <n v="2"/>
    <n v="7"/>
    <m/>
  </r>
  <r>
    <x v="26"/>
    <x v="43"/>
    <m/>
    <m/>
    <m/>
    <m/>
    <m/>
    <m/>
    <m/>
    <m/>
    <m/>
    <m/>
    <m/>
    <m/>
    <m/>
    <m/>
    <m/>
    <m/>
    <m/>
  </r>
  <r>
    <x v="26"/>
    <x v="44"/>
    <m/>
    <m/>
    <m/>
    <m/>
    <m/>
    <m/>
    <m/>
    <m/>
    <m/>
    <m/>
    <m/>
    <m/>
    <m/>
    <m/>
    <m/>
    <m/>
    <m/>
  </r>
  <r>
    <x v="26"/>
    <x v="45"/>
    <m/>
    <m/>
    <m/>
    <m/>
    <m/>
    <m/>
    <m/>
    <m/>
    <m/>
    <m/>
    <m/>
    <m/>
    <m/>
    <m/>
    <m/>
    <m/>
    <m/>
  </r>
  <r>
    <x v="26"/>
    <x v="46"/>
    <m/>
    <m/>
    <m/>
    <m/>
    <m/>
    <m/>
    <m/>
    <m/>
    <m/>
    <m/>
    <m/>
    <m/>
    <m/>
    <m/>
    <m/>
    <m/>
    <m/>
  </r>
  <r>
    <x v="26"/>
    <x v="47"/>
    <m/>
    <m/>
    <m/>
    <m/>
    <m/>
    <m/>
    <m/>
    <m/>
    <m/>
    <m/>
    <m/>
    <m/>
    <m/>
    <m/>
    <m/>
    <m/>
    <m/>
  </r>
  <r>
    <x v="26"/>
    <x v="48"/>
    <m/>
    <m/>
    <m/>
    <m/>
    <m/>
    <m/>
    <m/>
    <m/>
    <m/>
    <m/>
    <m/>
    <m/>
    <m/>
    <m/>
    <m/>
    <m/>
    <m/>
  </r>
  <r>
    <x v="26"/>
    <x v="49"/>
    <m/>
    <m/>
    <m/>
    <m/>
    <m/>
    <m/>
    <n v="3"/>
    <m/>
    <m/>
    <m/>
    <n v="3"/>
    <n v="1"/>
    <n v="2"/>
    <m/>
    <n v="3"/>
    <n v="2"/>
    <m/>
  </r>
  <r>
    <x v="26"/>
    <x v="50"/>
    <m/>
    <m/>
    <m/>
    <m/>
    <m/>
    <m/>
    <m/>
    <m/>
    <m/>
    <m/>
    <m/>
    <m/>
    <m/>
    <m/>
    <m/>
    <m/>
    <m/>
  </r>
  <r>
    <x v="26"/>
    <x v="51"/>
    <m/>
    <m/>
    <m/>
    <m/>
    <m/>
    <m/>
    <m/>
    <m/>
    <m/>
    <m/>
    <m/>
    <m/>
    <m/>
    <m/>
    <m/>
    <m/>
    <m/>
  </r>
  <r>
    <x v="27"/>
    <x v="0"/>
    <m/>
    <m/>
    <m/>
    <m/>
    <m/>
    <m/>
    <m/>
    <m/>
    <m/>
    <m/>
    <m/>
    <m/>
    <m/>
    <m/>
    <m/>
    <m/>
    <m/>
  </r>
  <r>
    <x v="27"/>
    <x v="1"/>
    <m/>
    <m/>
    <m/>
    <m/>
    <m/>
    <m/>
    <m/>
    <m/>
    <m/>
    <m/>
    <m/>
    <m/>
    <m/>
    <m/>
    <m/>
    <m/>
    <m/>
  </r>
  <r>
    <x v="27"/>
    <x v="2"/>
    <m/>
    <m/>
    <m/>
    <m/>
    <m/>
    <m/>
    <m/>
    <m/>
    <m/>
    <m/>
    <m/>
    <m/>
    <m/>
    <m/>
    <m/>
    <m/>
    <m/>
  </r>
  <r>
    <x v="27"/>
    <x v="3"/>
    <m/>
    <m/>
    <m/>
    <m/>
    <m/>
    <m/>
    <m/>
    <m/>
    <m/>
    <m/>
    <m/>
    <m/>
    <m/>
    <m/>
    <m/>
    <m/>
    <m/>
  </r>
  <r>
    <x v="27"/>
    <x v="4"/>
    <m/>
    <m/>
    <m/>
    <m/>
    <m/>
    <m/>
    <m/>
    <m/>
    <m/>
    <m/>
    <m/>
    <m/>
    <m/>
    <m/>
    <m/>
    <m/>
    <m/>
  </r>
  <r>
    <x v="27"/>
    <x v="5"/>
    <m/>
    <m/>
    <m/>
    <m/>
    <m/>
    <m/>
    <m/>
    <m/>
    <m/>
    <m/>
    <m/>
    <m/>
    <m/>
    <m/>
    <m/>
    <m/>
    <m/>
  </r>
  <r>
    <x v="27"/>
    <x v="6"/>
    <m/>
    <m/>
    <m/>
    <m/>
    <m/>
    <m/>
    <n v="1"/>
    <m/>
    <m/>
    <m/>
    <m/>
    <m/>
    <m/>
    <m/>
    <m/>
    <m/>
    <m/>
  </r>
  <r>
    <x v="27"/>
    <x v="7"/>
    <m/>
    <m/>
    <m/>
    <m/>
    <m/>
    <m/>
    <m/>
    <m/>
    <m/>
    <m/>
    <m/>
    <m/>
    <m/>
    <m/>
    <m/>
    <m/>
    <m/>
  </r>
  <r>
    <x v="27"/>
    <x v="8"/>
    <m/>
    <m/>
    <m/>
    <m/>
    <m/>
    <m/>
    <m/>
    <m/>
    <m/>
    <m/>
    <m/>
    <m/>
    <m/>
    <m/>
    <m/>
    <m/>
    <m/>
  </r>
  <r>
    <x v="27"/>
    <x v="9"/>
    <m/>
    <m/>
    <m/>
    <m/>
    <m/>
    <m/>
    <m/>
    <m/>
    <m/>
    <m/>
    <m/>
    <m/>
    <m/>
    <m/>
    <m/>
    <m/>
    <m/>
  </r>
  <r>
    <x v="27"/>
    <x v="10"/>
    <m/>
    <m/>
    <m/>
    <m/>
    <m/>
    <m/>
    <m/>
    <m/>
    <m/>
    <m/>
    <m/>
    <m/>
    <m/>
    <m/>
    <m/>
    <m/>
    <m/>
  </r>
  <r>
    <x v="27"/>
    <x v="11"/>
    <m/>
    <m/>
    <m/>
    <m/>
    <m/>
    <m/>
    <m/>
    <m/>
    <m/>
    <m/>
    <m/>
    <m/>
    <m/>
    <m/>
    <m/>
    <m/>
    <m/>
  </r>
  <r>
    <x v="27"/>
    <x v="12"/>
    <m/>
    <m/>
    <m/>
    <m/>
    <m/>
    <m/>
    <m/>
    <m/>
    <m/>
    <m/>
    <m/>
    <m/>
    <m/>
    <m/>
    <m/>
    <m/>
    <m/>
  </r>
  <r>
    <x v="27"/>
    <x v="13"/>
    <m/>
    <m/>
    <m/>
    <m/>
    <m/>
    <m/>
    <m/>
    <m/>
    <m/>
    <m/>
    <m/>
    <m/>
    <m/>
    <m/>
    <m/>
    <m/>
    <m/>
  </r>
  <r>
    <x v="27"/>
    <x v="14"/>
    <m/>
    <m/>
    <m/>
    <m/>
    <m/>
    <m/>
    <m/>
    <m/>
    <m/>
    <m/>
    <m/>
    <m/>
    <m/>
    <m/>
    <m/>
    <m/>
    <m/>
  </r>
  <r>
    <x v="27"/>
    <x v="15"/>
    <m/>
    <m/>
    <m/>
    <m/>
    <m/>
    <m/>
    <m/>
    <m/>
    <m/>
    <m/>
    <m/>
    <m/>
    <m/>
    <m/>
    <m/>
    <m/>
    <m/>
  </r>
  <r>
    <x v="27"/>
    <x v="16"/>
    <m/>
    <m/>
    <m/>
    <m/>
    <m/>
    <m/>
    <m/>
    <m/>
    <m/>
    <m/>
    <m/>
    <m/>
    <m/>
    <m/>
    <m/>
    <m/>
    <m/>
  </r>
  <r>
    <x v="27"/>
    <x v="17"/>
    <m/>
    <m/>
    <m/>
    <m/>
    <m/>
    <m/>
    <m/>
    <m/>
    <m/>
    <m/>
    <m/>
    <m/>
    <m/>
    <m/>
    <m/>
    <m/>
    <m/>
  </r>
  <r>
    <x v="27"/>
    <x v="18"/>
    <m/>
    <m/>
    <m/>
    <m/>
    <m/>
    <m/>
    <m/>
    <m/>
    <m/>
    <m/>
    <m/>
    <m/>
    <m/>
    <m/>
    <m/>
    <m/>
    <m/>
  </r>
  <r>
    <x v="27"/>
    <x v="19"/>
    <m/>
    <m/>
    <m/>
    <m/>
    <m/>
    <m/>
    <m/>
    <m/>
    <m/>
    <m/>
    <m/>
    <m/>
    <m/>
    <m/>
    <m/>
    <m/>
    <m/>
  </r>
  <r>
    <x v="27"/>
    <x v="20"/>
    <m/>
    <m/>
    <m/>
    <m/>
    <m/>
    <m/>
    <m/>
    <m/>
    <m/>
    <m/>
    <m/>
    <m/>
    <m/>
    <m/>
    <m/>
    <m/>
    <m/>
  </r>
  <r>
    <x v="27"/>
    <x v="21"/>
    <m/>
    <m/>
    <m/>
    <m/>
    <m/>
    <m/>
    <m/>
    <m/>
    <m/>
    <m/>
    <m/>
    <m/>
    <m/>
    <m/>
    <m/>
    <m/>
    <m/>
  </r>
  <r>
    <x v="27"/>
    <x v="22"/>
    <m/>
    <m/>
    <m/>
    <m/>
    <m/>
    <m/>
    <m/>
    <m/>
    <m/>
    <m/>
    <m/>
    <m/>
    <m/>
    <m/>
    <m/>
    <m/>
    <m/>
  </r>
  <r>
    <x v="27"/>
    <x v="23"/>
    <m/>
    <m/>
    <m/>
    <m/>
    <m/>
    <m/>
    <m/>
    <m/>
    <m/>
    <m/>
    <m/>
    <m/>
    <m/>
    <m/>
    <m/>
    <m/>
    <m/>
  </r>
  <r>
    <x v="27"/>
    <x v="24"/>
    <m/>
    <m/>
    <m/>
    <m/>
    <m/>
    <m/>
    <m/>
    <m/>
    <m/>
    <m/>
    <m/>
    <m/>
    <m/>
    <m/>
    <m/>
    <m/>
    <m/>
  </r>
  <r>
    <x v="27"/>
    <x v="25"/>
    <m/>
    <m/>
    <m/>
    <m/>
    <m/>
    <m/>
    <m/>
    <m/>
    <m/>
    <m/>
    <m/>
    <m/>
    <m/>
    <m/>
    <m/>
    <m/>
    <m/>
  </r>
  <r>
    <x v="27"/>
    <x v="26"/>
    <m/>
    <m/>
    <m/>
    <m/>
    <m/>
    <m/>
    <m/>
    <m/>
    <m/>
    <m/>
    <m/>
    <m/>
    <m/>
    <m/>
    <m/>
    <m/>
    <m/>
  </r>
  <r>
    <x v="27"/>
    <x v="27"/>
    <m/>
    <m/>
    <m/>
    <m/>
    <m/>
    <m/>
    <m/>
    <m/>
    <m/>
    <m/>
    <m/>
    <m/>
    <m/>
    <m/>
    <m/>
    <m/>
    <m/>
  </r>
  <r>
    <x v="27"/>
    <x v="28"/>
    <m/>
    <m/>
    <m/>
    <m/>
    <m/>
    <m/>
    <m/>
    <m/>
    <m/>
    <m/>
    <m/>
    <m/>
    <m/>
    <m/>
    <m/>
    <m/>
    <m/>
  </r>
  <r>
    <x v="27"/>
    <x v="29"/>
    <m/>
    <m/>
    <m/>
    <m/>
    <m/>
    <m/>
    <m/>
    <m/>
    <m/>
    <m/>
    <m/>
    <m/>
    <m/>
    <m/>
    <m/>
    <m/>
    <m/>
  </r>
  <r>
    <x v="27"/>
    <x v="30"/>
    <m/>
    <m/>
    <m/>
    <m/>
    <m/>
    <m/>
    <m/>
    <m/>
    <m/>
    <m/>
    <m/>
    <m/>
    <m/>
    <m/>
    <m/>
    <m/>
    <m/>
  </r>
  <r>
    <x v="27"/>
    <x v="31"/>
    <m/>
    <m/>
    <m/>
    <m/>
    <m/>
    <m/>
    <m/>
    <m/>
    <m/>
    <m/>
    <m/>
    <m/>
    <m/>
    <m/>
    <m/>
    <m/>
    <m/>
  </r>
  <r>
    <x v="27"/>
    <x v="32"/>
    <m/>
    <m/>
    <m/>
    <m/>
    <m/>
    <m/>
    <n v="1"/>
    <m/>
    <n v="1"/>
    <m/>
    <m/>
    <m/>
    <m/>
    <m/>
    <m/>
    <m/>
    <m/>
  </r>
  <r>
    <x v="27"/>
    <x v="33"/>
    <m/>
    <m/>
    <m/>
    <m/>
    <m/>
    <m/>
    <m/>
    <m/>
    <m/>
    <m/>
    <m/>
    <m/>
    <m/>
    <m/>
    <m/>
    <m/>
    <m/>
  </r>
  <r>
    <x v="27"/>
    <x v="34"/>
    <m/>
    <m/>
    <m/>
    <m/>
    <m/>
    <m/>
    <m/>
    <m/>
    <m/>
    <m/>
    <m/>
    <m/>
    <m/>
    <m/>
    <m/>
    <m/>
    <m/>
  </r>
  <r>
    <x v="27"/>
    <x v="35"/>
    <m/>
    <m/>
    <m/>
    <m/>
    <m/>
    <m/>
    <m/>
    <m/>
    <m/>
    <m/>
    <m/>
    <m/>
    <m/>
    <m/>
    <m/>
    <m/>
    <m/>
  </r>
  <r>
    <x v="27"/>
    <x v="36"/>
    <m/>
    <m/>
    <m/>
    <m/>
    <m/>
    <m/>
    <m/>
    <m/>
    <m/>
    <m/>
    <m/>
    <m/>
    <m/>
    <m/>
    <m/>
    <m/>
    <m/>
  </r>
  <r>
    <x v="27"/>
    <x v="37"/>
    <m/>
    <m/>
    <m/>
    <m/>
    <m/>
    <m/>
    <m/>
    <m/>
    <m/>
    <m/>
    <m/>
    <m/>
    <m/>
    <m/>
    <m/>
    <m/>
    <m/>
  </r>
  <r>
    <x v="27"/>
    <x v="38"/>
    <m/>
    <m/>
    <m/>
    <m/>
    <m/>
    <m/>
    <m/>
    <m/>
    <m/>
    <m/>
    <m/>
    <m/>
    <m/>
    <m/>
    <m/>
    <m/>
    <m/>
  </r>
  <r>
    <x v="27"/>
    <x v="39"/>
    <m/>
    <m/>
    <m/>
    <m/>
    <m/>
    <m/>
    <m/>
    <m/>
    <m/>
    <m/>
    <m/>
    <m/>
    <m/>
    <m/>
    <m/>
    <m/>
    <m/>
  </r>
  <r>
    <x v="27"/>
    <x v="40"/>
    <m/>
    <m/>
    <m/>
    <m/>
    <m/>
    <m/>
    <m/>
    <m/>
    <m/>
    <m/>
    <m/>
    <m/>
    <m/>
    <m/>
    <m/>
    <m/>
    <m/>
  </r>
  <r>
    <x v="27"/>
    <x v="41"/>
    <m/>
    <m/>
    <m/>
    <m/>
    <m/>
    <m/>
    <m/>
    <m/>
    <m/>
    <m/>
    <m/>
    <m/>
    <m/>
    <m/>
    <m/>
    <m/>
    <m/>
  </r>
  <r>
    <x v="27"/>
    <x v="42"/>
    <m/>
    <m/>
    <m/>
    <m/>
    <m/>
    <m/>
    <m/>
    <m/>
    <m/>
    <m/>
    <m/>
    <m/>
    <m/>
    <m/>
    <m/>
    <m/>
    <m/>
  </r>
  <r>
    <x v="27"/>
    <x v="43"/>
    <m/>
    <m/>
    <m/>
    <n v="1"/>
    <m/>
    <m/>
    <m/>
    <n v="1"/>
    <m/>
    <m/>
    <m/>
    <m/>
    <m/>
    <m/>
    <m/>
    <m/>
    <m/>
  </r>
  <r>
    <x v="27"/>
    <x v="44"/>
    <m/>
    <m/>
    <m/>
    <m/>
    <m/>
    <m/>
    <m/>
    <m/>
    <m/>
    <m/>
    <m/>
    <m/>
    <m/>
    <m/>
    <m/>
    <m/>
    <m/>
  </r>
  <r>
    <x v="27"/>
    <x v="45"/>
    <m/>
    <m/>
    <m/>
    <m/>
    <m/>
    <m/>
    <m/>
    <m/>
    <m/>
    <m/>
    <m/>
    <m/>
    <m/>
    <m/>
    <m/>
    <m/>
    <m/>
  </r>
  <r>
    <x v="27"/>
    <x v="46"/>
    <m/>
    <m/>
    <m/>
    <m/>
    <m/>
    <m/>
    <m/>
    <m/>
    <m/>
    <m/>
    <m/>
    <m/>
    <m/>
    <m/>
    <m/>
    <m/>
    <m/>
  </r>
  <r>
    <x v="27"/>
    <x v="47"/>
    <m/>
    <m/>
    <m/>
    <m/>
    <m/>
    <m/>
    <m/>
    <m/>
    <m/>
    <m/>
    <m/>
    <m/>
    <m/>
    <m/>
    <m/>
    <m/>
    <m/>
  </r>
  <r>
    <x v="27"/>
    <x v="48"/>
    <m/>
    <m/>
    <m/>
    <m/>
    <m/>
    <m/>
    <m/>
    <m/>
    <m/>
    <m/>
    <m/>
    <m/>
    <m/>
    <m/>
    <m/>
    <m/>
    <m/>
  </r>
  <r>
    <x v="27"/>
    <x v="49"/>
    <m/>
    <m/>
    <m/>
    <m/>
    <m/>
    <m/>
    <m/>
    <m/>
    <m/>
    <m/>
    <m/>
    <m/>
    <m/>
    <m/>
    <m/>
    <m/>
    <m/>
  </r>
  <r>
    <x v="27"/>
    <x v="50"/>
    <m/>
    <m/>
    <m/>
    <m/>
    <m/>
    <m/>
    <m/>
    <m/>
    <m/>
    <m/>
    <m/>
    <m/>
    <m/>
    <m/>
    <m/>
    <m/>
    <m/>
  </r>
  <r>
    <x v="27"/>
    <x v="51"/>
    <m/>
    <n v="1"/>
    <m/>
    <m/>
    <m/>
    <m/>
    <n v="1"/>
    <n v="1"/>
    <n v="1"/>
    <m/>
    <m/>
    <m/>
    <m/>
    <m/>
    <m/>
    <m/>
    <m/>
  </r>
  <r>
    <x v="28"/>
    <x v="40"/>
    <m/>
    <m/>
    <m/>
    <m/>
    <m/>
    <m/>
    <m/>
    <m/>
    <m/>
    <m/>
    <n v="2"/>
    <m/>
    <m/>
    <n v="2"/>
    <n v="1"/>
    <m/>
    <m/>
  </r>
  <r>
    <x v="29"/>
    <x v="0"/>
    <m/>
    <m/>
    <m/>
    <m/>
    <m/>
    <m/>
    <m/>
    <m/>
    <m/>
    <m/>
    <m/>
    <m/>
    <m/>
    <m/>
    <m/>
    <m/>
    <m/>
  </r>
  <r>
    <x v="29"/>
    <x v="1"/>
    <m/>
    <m/>
    <m/>
    <m/>
    <m/>
    <m/>
    <m/>
    <m/>
    <m/>
    <m/>
    <m/>
    <m/>
    <m/>
    <m/>
    <m/>
    <m/>
    <m/>
  </r>
  <r>
    <x v="29"/>
    <x v="2"/>
    <m/>
    <m/>
    <m/>
    <m/>
    <m/>
    <m/>
    <m/>
    <m/>
    <m/>
    <m/>
    <m/>
    <m/>
    <m/>
    <m/>
    <m/>
    <m/>
    <m/>
  </r>
  <r>
    <x v="29"/>
    <x v="3"/>
    <m/>
    <m/>
    <m/>
    <m/>
    <m/>
    <m/>
    <m/>
    <m/>
    <m/>
    <m/>
    <m/>
    <m/>
    <m/>
    <m/>
    <m/>
    <m/>
    <m/>
  </r>
  <r>
    <x v="29"/>
    <x v="4"/>
    <m/>
    <m/>
    <m/>
    <m/>
    <m/>
    <m/>
    <m/>
    <m/>
    <m/>
    <m/>
    <m/>
    <m/>
    <m/>
    <m/>
    <m/>
    <m/>
    <m/>
  </r>
  <r>
    <x v="29"/>
    <x v="5"/>
    <m/>
    <m/>
    <m/>
    <m/>
    <m/>
    <m/>
    <m/>
    <m/>
    <m/>
    <m/>
    <m/>
    <m/>
    <m/>
    <m/>
    <m/>
    <m/>
    <m/>
  </r>
  <r>
    <x v="29"/>
    <x v="6"/>
    <m/>
    <m/>
    <m/>
    <m/>
    <m/>
    <m/>
    <m/>
    <m/>
    <m/>
    <m/>
    <m/>
    <m/>
    <m/>
    <m/>
    <m/>
    <m/>
    <m/>
  </r>
  <r>
    <x v="29"/>
    <x v="7"/>
    <m/>
    <m/>
    <m/>
    <m/>
    <m/>
    <m/>
    <m/>
    <m/>
    <m/>
    <m/>
    <m/>
    <m/>
    <m/>
    <m/>
    <m/>
    <m/>
    <m/>
  </r>
  <r>
    <x v="29"/>
    <x v="8"/>
    <m/>
    <m/>
    <m/>
    <m/>
    <m/>
    <m/>
    <m/>
    <m/>
    <m/>
    <m/>
    <m/>
    <m/>
    <m/>
    <m/>
    <m/>
    <m/>
    <m/>
  </r>
  <r>
    <x v="29"/>
    <x v="9"/>
    <m/>
    <m/>
    <m/>
    <m/>
    <m/>
    <m/>
    <m/>
    <m/>
    <m/>
    <m/>
    <m/>
    <m/>
    <m/>
    <m/>
    <m/>
    <m/>
    <m/>
  </r>
  <r>
    <x v="29"/>
    <x v="10"/>
    <m/>
    <m/>
    <m/>
    <m/>
    <m/>
    <m/>
    <m/>
    <m/>
    <m/>
    <m/>
    <m/>
    <m/>
    <m/>
    <m/>
    <m/>
    <m/>
    <m/>
  </r>
  <r>
    <x v="29"/>
    <x v="11"/>
    <m/>
    <m/>
    <m/>
    <m/>
    <m/>
    <m/>
    <m/>
    <m/>
    <m/>
    <m/>
    <m/>
    <m/>
    <m/>
    <m/>
    <m/>
    <m/>
    <m/>
  </r>
  <r>
    <x v="29"/>
    <x v="12"/>
    <m/>
    <m/>
    <m/>
    <m/>
    <m/>
    <m/>
    <m/>
    <m/>
    <m/>
    <m/>
    <m/>
    <m/>
    <m/>
    <m/>
    <m/>
    <m/>
    <m/>
  </r>
  <r>
    <x v="29"/>
    <x v="13"/>
    <m/>
    <m/>
    <m/>
    <m/>
    <m/>
    <m/>
    <m/>
    <m/>
    <m/>
    <m/>
    <m/>
    <m/>
    <m/>
    <m/>
    <m/>
    <m/>
    <m/>
  </r>
  <r>
    <x v="29"/>
    <x v="14"/>
    <m/>
    <m/>
    <m/>
    <m/>
    <m/>
    <m/>
    <m/>
    <m/>
    <m/>
    <m/>
    <m/>
    <m/>
    <m/>
    <m/>
    <m/>
    <m/>
    <m/>
  </r>
  <r>
    <x v="29"/>
    <x v="15"/>
    <m/>
    <m/>
    <m/>
    <m/>
    <m/>
    <m/>
    <m/>
    <m/>
    <m/>
    <m/>
    <m/>
    <m/>
    <m/>
    <m/>
    <m/>
    <m/>
    <m/>
  </r>
  <r>
    <x v="29"/>
    <x v="16"/>
    <m/>
    <m/>
    <m/>
    <m/>
    <m/>
    <m/>
    <m/>
    <m/>
    <m/>
    <m/>
    <m/>
    <m/>
    <m/>
    <m/>
    <m/>
    <m/>
    <m/>
  </r>
  <r>
    <x v="29"/>
    <x v="17"/>
    <m/>
    <m/>
    <m/>
    <m/>
    <m/>
    <m/>
    <m/>
    <m/>
    <m/>
    <m/>
    <m/>
    <m/>
    <m/>
    <m/>
    <m/>
    <m/>
    <m/>
  </r>
  <r>
    <x v="29"/>
    <x v="18"/>
    <m/>
    <m/>
    <m/>
    <m/>
    <m/>
    <m/>
    <m/>
    <m/>
    <m/>
    <m/>
    <m/>
    <m/>
    <m/>
    <m/>
    <m/>
    <m/>
    <m/>
  </r>
  <r>
    <x v="29"/>
    <x v="19"/>
    <m/>
    <m/>
    <m/>
    <m/>
    <m/>
    <m/>
    <m/>
    <m/>
    <m/>
    <m/>
    <m/>
    <m/>
    <m/>
    <m/>
    <m/>
    <m/>
    <m/>
  </r>
  <r>
    <x v="29"/>
    <x v="20"/>
    <m/>
    <m/>
    <m/>
    <m/>
    <m/>
    <m/>
    <m/>
    <m/>
    <m/>
    <m/>
    <m/>
    <m/>
    <m/>
    <m/>
    <m/>
    <m/>
    <m/>
  </r>
  <r>
    <x v="29"/>
    <x v="21"/>
    <m/>
    <m/>
    <m/>
    <m/>
    <m/>
    <m/>
    <m/>
    <m/>
    <m/>
    <m/>
    <m/>
    <m/>
    <m/>
    <m/>
    <m/>
    <m/>
    <m/>
  </r>
  <r>
    <x v="29"/>
    <x v="22"/>
    <m/>
    <m/>
    <m/>
    <m/>
    <m/>
    <m/>
    <m/>
    <m/>
    <m/>
    <m/>
    <m/>
    <m/>
    <m/>
    <m/>
    <m/>
    <m/>
    <m/>
  </r>
  <r>
    <x v="29"/>
    <x v="23"/>
    <m/>
    <m/>
    <m/>
    <m/>
    <m/>
    <m/>
    <m/>
    <m/>
    <m/>
    <m/>
    <m/>
    <m/>
    <m/>
    <m/>
    <m/>
    <m/>
    <m/>
  </r>
  <r>
    <x v="29"/>
    <x v="24"/>
    <m/>
    <m/>
    <m/>
    <m/>
    <m/>
    <m/>
    <m/>
    <m/>
    <m/>
    <m/>
    <m/>
    <m/>
    <m/>
    <m/>
    <m/>
    <m/>
    <m/>
  </r>
  <r>
    <x v="29"/>
    <x v="25"/>
    <m/>
    <m/>
    <m/>
    <m/>
    <m/>
    <m/>
    <m/>
    <m/>
    <m/>
    <m/>
    <m/>
    <m/>
    <m/>
    <m/>
    <m/>
    <m/>
    <m/>
  </r>
  <r>
    <x v="29"/>
    <x v="26"/>
    <m/>
    <m/>
    <m/>
    <m/>
    <m/>
    <m/>
    <m/>
    <m/>
    <m/>
    <m/>
    <m/>
    <m/>
    <m/>
    <m/>
    <m/>
    <m/>
    <m/>
  </r>
  <r>
    <x v="29"/>
    <x v="27"/>
    <m/>
    <m/>
    <m/>
    <m/>
    <m/>
    <m/>
    <m/>
    <m/>
    <m/>
    <m/>
    <m/>
    <m/>
    <m/>
    <m/>
    <m/>
    <m/>
    <m/>
  </r>
  <r>
    <x v="29"/>
    <x v="28"/>
    <m/>
    <m/>
    <m/>
    <m/>
    <m/>
    <m/>
    <m/>
    <m/>
    <m/>
    <m/>
    <m/>
    <m/>
    <m/>
    <m/>
    <m/>
    <m/>
    <m/>
  </r>
  <r>
    <x v="29"/>
    <x v="29"/>
    <m/>
    <m/>
    <m/>
    <m/>
    <m/>
    <m/>
    <m/>
    <m/>
    <m/>
    <m/>
    <m/>
    <m/>
    <m/>
    <m/>
    <m/>
    <m/>
    <m/>
  </r>
  <r>
    <x v="29"/>
    <x v="30"/>
    <m/>
    <m/>
    <m/>
    <m/>
    <m/>
    <m/>
    <m/>
    <m/>
    <m/>
    <m/>
    <m/>
    <m/>
    <m/>
    <m/>
    <m/>
    <m/>
    <m/>
  </r>
  <r>
    <x v="29"/>
    <x v="31"/>
    <m/>
    <m/>
    <m/>
    <m/>
    <m/>
    <m/>
    <m/>
    <m/>
    <m/>
    <m/>
    <m/>
    <m/>
    <m/>
    <m/>
    <m/>
    <m/>
    <m/>
  </r>
  <r>
    <x v="29"/>
    <x v="32"/>
    <m/>
    <m/>
    <m/>
    <m/>
    <m/>
    <m/>
    <m/>
    <m/>
    <m/>
    <m/>
    <m/>
    <m/>
    <m/>
    <m/>
    <m/>
    <m/>
    <m/>
  </r>
  <r>
    <x v="29"/>
    <x v="33"/>
    <m/>
    <m/>
    <m/>
    <m/>
    <m/>
    <m/>
    <m/>
    <m/>
    <m/>
    <m/>
    <m/>
    <m/>
    <m/>
    <m/>
    <m/>
    <m/>
    <m/>
  </r>
  <r>
    <x v="29"/>
    <x v="34"/>
    <m/>
    <m/>
    <m/>
    <m/>
    <m/>
    <m/>
    <m/>
    <m/>
    <m/>
    <m/>
    <m/>
    <m/>
    <m/>
    <m/>
    <m/>
    <m/>
    <m/>
  </r>
  <r>
    <x v="29"/>
    <x v="35"/>
    <m/>
    <m/>
    <m/>
    <m/>
    <m/>
    <m/>
    <m/>
    <m/>
    <m/>
    <m/>
    <m/>
    <m/>
    <m/>
    <m/>
    <m/>
    <m/>
    <m/>
  </r>
  <r>
    <x v="29"/>
    <x v="36"/>
    <m/>
    <m/>
    <m/>
    <m/>
    <m/>
    <m/>
    <m/>
    <m/>
    <m/>
    <m/>
    <m/>
    <m/>
    <m/>
    <m/>
    <m/>
    <m/>
    <m/>
  </r>
  <r>
    <x v="29"/>
    <x v="37"/>
    <m/>
    <m/>
    <m/>
    <m/>
    <m/>
    <m/>
    <m/>
    <m/>
    <m/>
    <m/>
    <m/>
    <m/>
    <m/>
    <m/>
    <m/>
    <m/>
    <m/>
  </r>
  <r>
    <x v="29"/>
    <x v="38"/>
    <m/>
    <m/>
    <m/>
    <m/>
    <m/>
    <m/>
    <m/>
    <m/>
    <m/>
    <m/>
    <m/>
    <m/>
    <m/>
    <m/>
    <m/>
    <m/>
    <m/>
  </r>
  <r>
    <x v="29"/>
    <x v="39"/>
    <m/>
    <m/>
    <m/>
    <m/>
    <m/>
    <m/>
    <m/>
    <m/>
    <m/>
    <m/>
    <m/>
    <m/>
    <m/>
    <m/>
    <m/>
    <m/>
    <m/>
  </r>
  <r>
    <x v="29"/>
    <x v="40"/>
    <m/>
    <m/>
    <m/>
    <m/>
    <m/>
    <m/>
    <m/>
    <m/>
    <m/>
    <m/>
    <m/>
    <m/>
    <m/>
    <m/>
    <m/>
    <m/>
    <m/>
  </r>
  <r>
    <x v="29"/>
    <x v="41"/>
    <m/>
    <m/>
    <m/>
    <m/>
    <m/>
    <m/>
    <m/>
    <m/>
    <m/>
    <m/>
    <m/>
    <m/>
    <m/>
    <m/>
    <m/>
    <m/>
    <m/>
  </r>
  <r>
    <x v="29"/>
    <x v="42"/>
    <m/>
    <m/>
    <m/>
    <m/>
    <m/>
    <m/>
    <n v="1"/>
    <m/>
    <m/>
    <m/>
    <n v="1"/>
    <m/>
    <m/>
    <n v="2"/>
    <n v="1"/>
    <n v="5"/>
    <m/>
  </r>
  <r>
    <x v="29"/>
    <x v="43"/>
    <m/>
    <m/>
    <m/>
    <m/>
    <m/>
    <m/>
    <m/>
    <m/>
    <m/>
    <m/>
    <m/>
    <m/>
    <m/>
    <m/>
    <m/>
    <m/>
    <m/>
  </r>
  <r>
    <x v="29"/>
    <x v="44"/>
    <m/>
    <m/>
    <m/>
    <m/>
    <m/>
    <m/>
    <m/>
    <m/>
    <m/>
    <m/>
    <m/>
    <m/>
    <m/>
    <m/>
    <m/>
    <m/>
    <m/>
  </r>
  <r>
    <x v="29"/>
    <x v="45"/>
    <m/>
    <m/>
    <m/>
    <m/>
    <m/>
    <m/>
    <m/>
    <m/>
    <m/>
    <m/>
    <m/>
    <m/>
    <m/>
    <m/>
    <m/>
    <m/>
    <m/>
  </r>
  <r>
    <x v="29"/>
    <x v="46"/>
    <m/>
    <m/>
    <m/>
    <m/>
    <m/>
    <m/>
    <m/>
    <m/>
    <m/>
    <m/>
    <m/>
    <m/>
    <m/>
    <m/>
    <m/>
    <m/>
    <m/>
  </r>
  <r>
    <x v="29"/>
    <x v="47"/>
    <m/>
    <m/>
    <m/>
    <m/>
    <m/>
    <m/>
    <m/>
    <m/>
    <m/>
    <m/>
    <m/>
    <m/>
    <m/>
    <m/>
    <m/>
    <m/>
    <m/>
  </r>
  <r>
    <x v="29"/>
    <x v="48"/>
    <m/>
    <m/>
    <m/>
    <m/>
    <m/>
    <m/>
    <m/>
    <m/>
    <m/>
    <m/>
    <m/>
    <m/>
    <m/>
    <m/>
    <m/>
    <m/>
    <m/>
  </r>
  <r>
    <x v="29"/>
    <x v="49"/>
    <m/>
    <m/>
    <m/>
    <m/>
    <m/>
    <m/>
    <m/>
    <m/>
    <m/>
    <m/>
    <m/>
    <m/>
    <m/>
    <m/>
    <m/>
    <m/>
    <m/>
  </r>
  <r>
    <x v="29"/>
    <x v="50"/>
    <m/>
    <m/>
    <m/>
    <m/>
    <m/>
    <m/>
    <m/>
    <m/>
    <m/>
    <m/>
    <m/>
    <m/>
    <m/>
    <m/>
    <m/>
    <m/>
    <m/>
  </r>
  <r>
    <x v="29"/>
    <x v="51"/>
    <m/>
    <m/>
    <m/>
    <m/>
    <m/>
    <m/>
    <m/>
    <m/>
    <m/>
    <m/>
    <m/>
    <m/>
    <m/>
    <m/>
    <m/>
    <m/>
    <m/>
  </r>
  <r>
    <x v="30"/>
    <x v="0"/>
    <m/>
    <m/>
    <m/>
    <m/>
    <m/>
    <m/>
    <m/>
    <m/>
    <m/>
    <m/>
    <m/>
    <m/>
    <m/>
    <m/>
    <m/>
    <m/>
    <m/>
  </r>
  <r>
    <x v="30"/>
    <x v="1"/>
    <m/>
    <m/>
    <m/>
    <m/>
    <m/>
    <m/>
    <m/>
    <m/>
    <m/>
    <m/>
    <m/>
    <m/>
    <m/>
    <m/>
    <m/>
    <m/>
    <m/>
  </r>
  <r>
    <x v="30"/>
    <x v="2"/>
    <m/>
    <m/>
    <m/>
    <m/>
    <m/>
    <m/>
    <m/>
    <m/>
    <m/>
    <m/>
    <m/>
    <m/>
    <m/>
    <m/>
    <m/>
    <m/>
    <m/>
  </r>
  <r>
    <x v="30"/>
    <x v="3"/>
    <m/>
    <m/>
    <m/>
    <m/>
    <m/>
    <m/>
    <m/>
    <m/>
    <m/>
    <m/>
    <m/>
    <m/>
    <m/>
    <m/>
    <m/>
    <m/>
    <m/>
  </r>
  <r>
    <x v="30"/>
    <x v="4"/>
    <m/>
    <m/>
    <m/>
    <m/>
    <m/>
    <m/>
    <m/>
    <m/>
    <m/>
    <m/>
    <m/>
    <m/>
    <m/>
    <m/>
    <m/>
    <m/>
    <m/>
  </r>
  <r>
    <x v="30"/>
    <x v="5"/>
    <m/>
    <m/>
    <m/>
    <m/>
    <m/>
    <m/>
    <m/>
    <m/>
    <m/>
    <m/>
    <m/>
    <m/>
    <m/>
    <m/>
    <m/>
    <m/>
    <m/>
  </r>
  <r>
    <x v="30"/>
    <x v="6"/>
    <m/>
    <m/>
    <m/>
    <m/>
    <m/>
    <m/>
    <m/>
    <m/>
    <m/>
    <m/>
    <m/>
    <m/>
    <m/>
    <m/>
    <m/>
    <m/>
    <m/>
  </r>
  <r>
    <x v="30"/>
    <x v="7"/>
    <m/>
    <m/>
    <m/>
    <m/>
    <m/>
    <m/>
    <m/>
    <m/>
    <m/>
    <m/>
    <m/>
    <m/>
    <m/>
    <m/>
    <m/>
    <m/>
    <m/>
  </r>
  <r>
    <x v="30"/>
    <x v="8"/>
    <m/>
    <m/>
    <m/>
    <m/>
    <m/>
    <m/>
    <m/>
    <m/>
    <m/>
    <m/>
    <m/>
    <m/>
    <m/>
    <m/>
    <m/>
    <m/>
    <m/>
  </r>
  <r>
    <x v="30"/>
    <x v="9"/>
    <m/>
    <m/>
    <m/>
    <m/>
    <m/>
    <m/>
    <m/>
    <m/>
    <m/>
    <m/>
    <m/>
    <m/>
    <m/>
    <m/>
    <m/>
    <m/>
    <m/>
  </r>
  <r>
    <x v="30"/>
    <x v="10"/>
    <m/>
    <m/>
    <m/>
    <m/>
    <m/>
    <m/>
    <m/>
    <m/>
    <m/>
    <m/>
    <m/>
    <m/>
    <m/>
    <m/>
    <m/>
    <m/>
    <m/>
  </r>
  <r>
    <x v="30"/>
    <x v="11"/>
    <m/>
    <m/>
    <m/>
    <m/>
    <m/>
    <m/>
    <m/>
    <m/>
    <m/>
    <m/>
    <m/>
    <m/>
    <m/>
    <m/>
    <m/>
    <m/>
    <m/>
  </r>
  <r>
    <x v="30"/>
    <x v="12"/>
    <m/>
    <m/>
    <m/>
    <m/>
    <m/>
    <m/>
    <m/>
    <m/>
    <m/>
    <m/>
    <m/>
    <m/>
    <m/>
    <m/>
    <m/>
    <m/>
    <m/>
  </r>
  <r>
    <x v="30"/>
    <x v="13"/>
    <m/>
    <m/>
    <m/>
    <m/>
    <m/>
    <m/>
    <m/>
    <m/>
    <m/>
    <m/>
    <m/>
    <m/>
    <m/>
    <m/>
    <m/>
    <m/>
    <m/>
  </r>
  <r>
    <x v="30"/>
    <x v="14"/>
    <m/>
    <m/>
    <m/>
    <m/>
    <m/>
    <m/>
    <m/>
    <m/>
    <m/>
    <m/>
    <m/>
    <m/>
    <m/>
    <m/>
    <m/>
    <m/>
    <m/>
  </r>
  <r>
    <x v="30"/>
    <x v="15"/>
    <m/>
    <m/>
    <m/>
    <m/>
    <m/>
    <m/>
    <m/>
    <m/>
    <m/>
    <m/>
    <m/>
    <m/>
    <m/>
    <m/>
    <m/>
    <m/>
    <m/>
  </r>
  <r>
    <x v="30"/>
    <x v="16"/>
    <m/>
    <m/>
    <m/>
    <m/>
    <m/>
    <m/>
    <m/>
    <m/>
    <m/>
    <m/>
    <m/>
    <m/>
    <m/>
    <m/>
    <m/>
    <m/>
    <m/>
  </r>
  <r>
    <x v="30"/>
    <x v="17"/>
    <m/>
    <m/>
    <m/>
    <m/>
    <m/>
    <m/>
    <m/>
    <m/>
    <m/>
    <m/>
    <m/>
    <m/>
    <m/>
    <m/>
    <m/>
    <m/>
    <m/>
  </r>
  <r>
    <x v="30"/>
    <x v="18"/>
    <m/>
    <m/>
    <m/>
    <m/>
    <m/>
    <m/>
    <m/>
    <m/>
    <m/>
    <m/>
    <m/>
    <m/>
    <m/>
    <m/>
    <m/>
    <m/>
    <m/>
  </r>
  <r>
    <x v="30"/>
    <x v="19"/>
    <m/>
    <m/>
    <m/>
    <m/>
    <m/>
    <m/>
    <m/>
    <m/>
    <m/>
    <m/>
    <m/>
    <m/>
    <m/>
    <m/>
    <m/>
    <m/>
    <m/>
  </r>
  <r>
    <x v="30"/>
    <x v="20"/>
    <m/>
    <m/>
    <m/>
    <m/>
    <m/>
    <m/>
    <m/>
    <m/>
    <m/>
    <m/>
    <m/>
    <m/>
    <m/>
    <m/>
    <m/>
    <m/>
    <m/>
  </r>
  <r>
    <x v="30"/>
    <x v="21"/>
    <m/>
    <m/>
    <m/>
    <m/>
    <m/>
    <m/>
    <m/>
    <m/>
    <m/>
    <m/>
    <m/>
    <m/>
    <m/>
    <m/>
    <m/>
    <m/>
    <m/>
  </r>
  <r>
    <x v="30"/>
    <x v="22"/>
    <m/>
    <m/>
    <m/>
    <m/>
    <m/>
    <m/>
    <m/>
    <m/>
    <m/>
    <m/>
    <m/>
    <m/>
    <m/>
    <m/>
    <m/>
    <m/>
    <m/>
  </r>
  <r>
    <x v="30"/>
    <x v="23"/>
    <m/>
    <m/>
    <m/>
    <m/>
    <m/>
    <m/>
    <m/>
    <m/>
    <m/>
    <m/>
    <m/>
    <m/>
    <m/>
    <m/>
    <m/>
    <m/>
    <m/>
  </r>
  <r>
    <x v="30"/>
    <x v="24"/>
    <m/>
    <m/>
    <m/>
    <m/>
    <m/>
    <m/>
    <m/>
    <m/>
    <m/>
    <m/>
    <m/>
    <m/>
    <m/>
    <m/>
    <m/>
    <m/>
    <m/>
  </r>
  <r>
    <x v="30"/>
    <x v="25"/>
    <m/>
    <m/>
    <m/>
    <m/>
    <m/>
    <m/>
    <m/>
    <m/>
    <m/>
    <m/>
    <m/>
    <m/>
    <m/>
    <m/>
    <m/>
    <m/>
    <m/>
  </r>
  <r>
    <x v="30"/>
    <x v="26"/>
    <m/>
    <m/>
    <m/>
    <m/>
    <m/>
    <m/>
    <m/>
    <m/>
    <m/>
    <m/>
    <m/>
    <m/>
    <m/>
    <m/>
    <m/>
    <m/>
    <m/>
  </r>
  <r>
    <x v="30"/>
    <x v="27"/>
    <m/>
    <m/>
    <m/>
    <m/>
    <m/>
    <m/>
    <m/>
    <m/>
    <m/>
    <m/>
    <m/>
    <m/>
    <m/>
    <m/>
    <m/>
    <m/>
    <m/>
  </r>
  <r>
    <x v="30"/>
    <x v="28"/>
    <m/>
    <m/>
    <m/>
    <m/>
    <m/>
    <m/>
    <m/>
    <m/>
    <m/>
    <m/>
    <m/>
    <m/>
    <m/>
    <m/>
    <m/>
    <m/>
    <m/>
  </r>
  <r>
    <x v="30"/>
    <x v="29"/>
    <m/>
    <m/>
    <m/>
    <m/>
    <m/>
    <m/>
    <m/>
    <m/>
    <m/>
    <m/>
    <m/>
    <m/>
    <m/>
    <m/>
    <m/>
    <m/>
    <m/>
  </r>
  <r>
    <x v="30"/>
    <x v="30"/>
    <m/>
    <m/>
    <m/>
    <m/>
    <m/>
    <m/>
    <m/>
    <m/>
    <m/>
    <m/>
    <m/>
    <m/>
    <m/>
    <m/>
    <m/>
    <m/>
    <m/>
  </r>
  <r>
    <x v="30"/>
    <x v="31"/>
    <m/>
    <m/>
    <m/>
    <m/>
    <m/>
    <m/>
    <m/>
    <m/>
    <m/>
    <m/>
    <m/>
    <m/>
    <m/>
    <m/>
    <m/>
    <m/>
    <m/>
  </r>
  <r>
    <x v="30"/>
    <x v="32"/>
    <m/>
    <m/>
    <m/>
    <m/>
    <m/>
    <m/>
    <m/>
    <m/>
    <m/>
    <m/>
    <m/>
    <m/>
    <m/>
    <m/>
    <m/>
    <m/>
    <m/>
  </r>
  <r>
    <x v="30"/>
    <x v="33"/>
    <m/>
    <m/>
    <m/>
    <m/>
    <m/>
    <m/>
    <m/>
    <m/>
    <m/>
    <m/>
    <m/>
    <m/>
    <m/>
    <m/>
    <m/>
    <m/>
    <m/>
  </r>
  <r>
    <x v="30"/>
    <x v="34"/>
    <m/>
    <m/>
    <m/>
    <m/>
    <m/>
    <m/>
    <m/>
    <m/>
    <m/>
    <m/>
    <m/>
    <m/>
    <m/>
    <m/>
    <m/>
    <m/>
    <m/>
  </r>
  <r>
    <x v="30"/>
    <x v="35"/>
    <m/>
    <m/>
    <m/>
    <m/>
    <m/>
    <m/>
    <m/>
    <m/>
    <m/>
    <m/>
    <m/>
    <m/>
    <m/>
    <m/>
    <m/>
    <m/>
    <m/>
  </r>
  <r>
    <x v="30"/>
    <x v="36"/>
    <m/>
    <m/>
    <m/>
    <m/>
    <m/>
    <m/>
    <n v="1"/>
    <m/>
    <m/>
    <m/>
    <n v="1"/>
    <n v="1"/>
    <n v="1"/>
    <n v="1"/>
    <n v="1"/>
    <n v="1"/>
    <m/>
  </r>
  <r>
    <x v="30"/>
    <x v="37"/>
    <m/>
    <m/>
    <m/>
    <m/>
    <m/>
    <m/>
    <m/>
    <m/>
    <m/>
    <m/>
    <m/>
    <m/>
    <m/>
    <m/>
    <m/>
    <m/>
    <m/>
  </r>
  <r>
    <x v="30"/>
    <x v="38"/>
    <m/>
    <m/>
    <m/>
    <m/>
    <m/>
    <m/>
    <m/>
    <m/>
    <m/>
    <m/>
    <m/>
    <m/>
    <m/>
    <m/>
    <m/>
    <m/>
    <m/>
  </r>
  <r>
    <x v="30"/>
    <x v="39"/>
    <m/>
    <m/>
    <m/>
    <m/>
    <m/>
    <m/>
    <m/>
    <m/>
    <m/>
    <m/>
    <m/>
    <m/>
    <m/>
    <m/>
    <m/>
    <m/>
    <m/>
  </r>
  <r>
    <x v="30"/>
    <x v="40"/>
    <m/>
    <m/>
    <m/>
    <m/>
    <m/>
    <m/>
    <m/>
    <m/>
    <m/>
    <m/>
    <m/>
    <m/>
    <m/>
    <m/>
    <m/>
    <m/>
    <m/>
  </r>
  <r>
    <x v="30"/>
    <x v="41"/>
    <m/>
    <m/>
    <m/>
    <m/>
    <m/>
    <m/>
    <m/>
    <m/>
    <m/>
    <m/>
    <m/>
    <m/>
    <m/>
    <m/>
    <m/>
    <m/>
    <m/>
  </r>
  <r>
    <x v="30"/>
    <x v="42"/>
    <m/>
    <m/>
    <m/>
    <m/>
    <m/>
    <m/>
    <m/>
    <m/>
    <m/>
    <m/>
    <m/>
    <m/>
    <m/>
    <m/>
    <m/>
    <m/>
    <m/>
  </r>
  <r>
    <x v="30"/>
    <x v="43"/>
    <m/>
    <m/>
    <m/>
    <m/>
    <m/>
    <m/>
    <m/>
    <m/>
    <m/>
    <m/>
    <m/>
    <m/>
    <m/>
    <m/>
    <m/>
    <m/>
    <m/>
  </r>
  <r>
    <x v="30"/>
    <x v="44"/>
    <m/>
    <m/>
    <m/>
    <m/>
    <m/>
    <m/>
    <m/>
    <m/>
    <m/>
    <m/>
    <m/>
    <m/>
    <m/>
    <m/>
    <m/>
    <m/>
    <m/>
  </r>
  <r>
    <x v="30"/>
    <x v="45"/>
    <m/>
    <m/>
    <m/>
    <m/>
    <m/>
    <m/>
    <m/>
    <m/>
    <m/>
    <m/>
    <m/>
    <m/>
    <m/>
    <m/>
    <m/>
    <m/>
    <m/>
  </r>
  <r>
    <x v="30"/>
    <x v="46"/>
    <m/>
    <m/>
    <m/>
    <m/>
    <m/>
    <m/>
    <m/>
    <m/>
    <m/>
    <m/>
    <m/>
    <m/>
    <m/>
    <m/>
    <m/>
    <m/>
    <m/>
  </r>
  <r>
    <x v="30"/>
    <x v="47"/>
    <m/>
    <m/>
    <m/>
    <m/>
    <m/>
    <m/>
    <m/>
    <m/>
    <m/>
    <m/>
    <m/>
    <m/>
    <m/>
    <m/>
    <m/>
    <m/>
    <m/>
  </r>
  <r>
    <x v="30"/>
    <x v="48"/>
    <m/>
    <m/>
    <m/>
    <m/>
    <m/>
    <m/>
    <m/>
    <m/>
    <m/>
    <m/>
    <m/>
    <m/>
    <m/>
    <m/>
    <m/>
    <m/>
    <m/>
  </r>
  <r>
    <x v="30"/>
    <x v="49"/>
    <m/>
    <m/>
    <m/>
    <m/>
    <m/>
    <m/>
    <m/>
    <m/>
    <m/>
    <m/>
    <m/>
    <m/>
    <m/>
    <m/>
    <m/>
    <m/>
    <m/>
  </r>
  <r>
    <x v="30"/>
    <x v="50"/>
    <m/>
    <m/>
    <m/>
    <m/>
    <m/>
    <m/>
    <m/>
    <m/>
    <m/>
    <m/>
    <m/>
    <m/>
    <m/>
    <m/>
    <m/>
    <m/>
    <m/>
  </r>
  <r>
    <x v="30"/>
    <x v="51"/>
    <m/>
    <m/>
    <m/>
    <m/>
    <m/>
    <m/>
    <m/>
    <m/>
    <m/>
    <m/>
    <m/>
    <m/>
    <m/>
    <m/>
    <m/>
    <m/>
    <m/>
  </r>
  <r>
    <x v="31"/>
    <x v="0"/>
    <m/>
    <m/>
    <m/>
    <m/>
    <m/>
    <m/>
    <m/>
    <m/>
    <m/>
    <m/>
    <m/>
    <m/>
    <m/>
    <m/>
    <m/>
    <m/>
    <m/>
  </r>
  <r>
    <x v="31"/>
    <x v="1"/>
    <m/>
    <m/>
    <m/>
    <m/>
    <m/>
    <m/>
    <m/>
    <m/>
    <m/>
    <m/>
    <m/>
    <m/>
    <m/>
    <m/>
    <m/>
    <m/>
    <m/>
  </r>
  <r>
    <x v="31"/>
    <x v="2"/>
    <m/>
    <m/>
    <m/>
    <m/>
    <m/>
    <m/>
    <m/>
    <m/>
    <m/>
    <m/>
    <m/>
    <m/>
    <m/>
    <m/>
    <m/>
    <m/>
    <m/>
  </r>
  <r>
    <x v="31"/>
    <x v="3"/>
    <m/>
    <m/>
    <m/>
    <m/>
    <m/>
    <m/>
    <m/>
    <m/>
    <m/>
    <m/>
    <m/>
    <m/>
    <m/>
    <m/>
    <m/>
    <m/>
    <m/>
  </r>
  <r>
    <x v="31"/>
    <x v="4"/>
    <m/>
    <m/>
    <m/>
    <m/>
    <m/>
    <m/>
    <m/>
    <m/>
    <m/>
    <m/>
    <m/>
    <m/>
    <m/>
    <m/>
    <m/>
    <m/>
    <m/>
  </r>
  <r>
    <x v="31"/>
    <x v="5"/>
    <m/>
    <m/>
    <m/>
    <m/>
    <m/>
    <m/>
    <n v="2"/>
    <n v="4"/>
    <n v="2"/>
    <m/>
    <n v="4"/>
    <n v="2"/>
    <n v="2"/>
    <m/>
    <n v="1"/>
    <m/>
    <m/>
  </r>
  <r>
    <x v="31"/>
    <x v="6"/>
    <m/>
    <m/>
    <m/>
    <m/>
    <m/>
    <m/>
    <m/>
    <m/>
    <m/>
    <m/>
    <m/>
    <m/>
    <m/>
    <m/>
    <m/>
    <m/>
    <m/>
  </r>
  <r>
    <x v="31"/>
    <x v="7"/>
    <m/>
    <m/>
    <m/>
    <m/>
    <m/>
    <m/>
    <m/>
    <m/>
    <m/>
    <m/>
    <m/>
    <m/>
    <m/>
    <m/>
    <m/>
    <m/>
    <m/>
  </r>
  <r>
    <x v="31"/>
    <x v="8"/>
    <m/>
    <m/>
    <m/>
    <m/>
    <m/>
    <m/>
    <m/>
    <m/>
    <m/>
    <m/>
    <m/>
    <m/>
    <m/>
    <m/>
    <m/>
    <m/>
    <m/>
  </r>
  <r>
    <x v="31"/>
    <x v="9"/>
    <m/>
    <m/>
    <m/>
    <m/>
    <m/>
    <m/>
    <m/>
    <m/>
    <m/>
    <m/>
    <m/>
    <m/>
    <m/>
    <m/>
    <m/>
    <m/>
    <m/>
  </r>
  <r>
    <x v="31"/>
    <x v="10"/>
    <m/>
    <m/>
    <m/>
    <m/>
    <m/>
    <m/>
    <m/>
    <m/>
    <m/>
    <m/>
    <m/>
    <m/>
    <m/>
    <m/>
    <m/>
    <m/>
    <m/>
  </r>
  <r>
    <x v="31"/>
    <x v="11"/>
    <m/>
    <m/>
    <m/>
    <m/>
    <m/>
    <m/>
    <m/>
    <m/>
    <m/>
    <m/>
    <m/>
    <m/>
    <m/>
    <m/>
    <m/>
    <m/>
    <m/>
  </r>
  <r>
    <x v="31"/>
    <x v="12"/>
    <m/>
    <m/>
    <m/>
    <m/>
    <m/>
    <m/>
    <m/>
    <m/>
    <m/>
    <m/>
    <m/>
    <m/>
    <m/>
    <m/>
    <m/>
    <m/>
    <m/>
  </r>
  <r>
    <x v="31"/>
    <x v="13"/>
    <m/>
    <m/>
    <m/>
    <m/>
    <m/>
    <m/>
    <m/>
    <m/>
    <m/>
    <m/>
    <m/>
    <m/>
    <m/>
    <m/>
    <m/>
    <m/>
    <m/>
  </r>
  <r>
    <x v="31"/>
    <x v="14"/>
    <m/>
    <m/>
    <m/>
    <m/>
    <m/>
    <m/>
    <m/>
    <m/>
    <m/>
    <m/>
    <m/>
    <m/>
    <m/>
    <m/>
    <m/>
    <m/>
    <m/>
  </r>
  <r>
    <x v="31"/>
    <x v="15"/>
    <m/>
    <m/>
    <m/>
    <m/>
    <m/>
    <m/>
    <m/>
    <m/>
    <m/>
    <m/>
    <m/>
    <m/>
    <m/>
    <m/>
    <m/>
    <m/>
    <m/>
  </r>
  <r>
    <x v="31"/>
    <x v="16"/>
    <m/>
    <m/>
    <m/>
    <m/>
    <m/>
    <m/>
    <m/>
    <m/>
    <m/>
    <m/>
    <m/>
    <m/>
    <m/>
    <m/>
    <m/>
    <m/>
    <m/>
  </r>
  <r>
    <x v="31"/>
    <x v="17"/>
    <m/>
    <m/>
    <m/>
    <m/>
    <m/>
    <m/>
    <m/>
    <m/>
    <m/>
    <m/>
    <m/>
    <m/>
    <m/>
    <m/>
    <m/>
    <m/>
    <m/>
  </r>
  <r>
    <x v="31"/>
    <x v="18"/>
    <m/>
    <m/>
    <m/>
    <m/>
    <m/>
    <m/>
    <m/>
    <m/>
    <m/>
    <m/>
    <m/>
    <m/>
    <m/>
    <m/>
    <m/>
    <m/>
    <m/>
  </r>
  <r>
    <x v="31"/>
    <x v="19"/>
    <m/>
    <m/>
    <m/>
    <m/>
    <m/>
    <m/>
    <m/>
    <m/>
    <m/>
    <m/>
    <m/>
    <m/>
    <m/>
    <m/>
    <m/>
    <m/>
    <m/>
  </r>
  <r>
    <x v="31"/>
    <x v="20"/>
    <m/>
    <m/>
    <m/>
    <m/>
    <m/>
    <m/>
    <m/>
    <m/>
    <m/>
    <m/>
    <m/>
    <m/>
    <m/>
    <m/>
    <m/>
    <m/>
    <m/>
  </r>
  <r>
    <x v="31"/>
    <x v="21"/>
    <m/>
    <m/>
    <m/>
    <m/>
    <m/>
    <m/>
    <m/>
    <m/>
    <m/>
    <m/>
    <m/>
    <m/>
    <m/>
    <m/>
    <m/>
    <m/>
    <m/>
  </r>
  <r>
    <x v="31"/>
    <x v="22"/>
    <m/>
    <m/>
    <m/>
    <m/>
    <m/>
    <m/>
    <m/>
    <m/>
    <m/>
    <m/>
    <m/>
    <m/>
    <m/>
    <m/>
    <m/>
    <m/>
    <m/>
  </r>
  <r>
    <x v="31"/>
    <x v="23"/>
    <m/>
    <m/>
    <m/>
    <m/>
    <m/>
    <m/>
    <m/>
    <m/>
    <m/>
    <m/>
    <m/>
    <m/>
    <m/>
    <m/>
    <m/>
    <m/>
    <m/>
  </r>
  <r>
    <x v="31"/>
    <x v="24"/>
    <m/>
    <m/>
    <m/>
    <m/>
    <m/>
    <m/>
    <m/>
    <m/>
    <m/>
    <m/>
    <m/>
    <m/>
    <m/>
    <m/>
    <m/>
    <m/>
    <m/>
  </r>
  <r>
    <x v="31"/>
    <x v="25"/>
    <m/>
    <m/>
    <m/>
    <m/>
    <m/>
    <m/>
    <m/>
    <m/>
    <m/>
    <m/>
    <m/>
    <m/>
    <m/>
    <m/>
    <m/>
    <m/>
    <m/>
  </r>
  <r>
    <x v="31"/>
    <x v="26"/>
    <m/>
    <m/>
    <m/>
    <m/>
    <m/>
    <m/>
    <m/>
    <m/>
    <m/>
    <m/>
    <m/>
    <m/>
    <m/>
    <m/>
    <m/>
    <m/>
    <m/>
  </r>
  <r>
    <x v="31"/>
    <x v="27"/>
    <m/>
    <m/>
    <m/>
    <m/>
    <m/>
    <m/>
    <m/>
    <m/>
    <m/>
    <m/>
    <m/>
    <m/>
    <m/>
    <m/>
    <m/>
    <m/>
    <m/>
  </r>
  <r>
    <x v="31"/>
    <x v="28"/>
    <m/>
    <m/>
    <m/>
    <m/>
    <m/>
    <m/>
    <m/>
    <m/>
    <m/>
    <m/>
    <m/>
    <m/>
    <m/>
    <m/>
    <m/>
    <m/>
    <m/>
  </r>
  <r>
    <x v="31"/>
    <x v="29"/>
    <m/>
    <m/>
    <m/>
    <m/>
    <m/>
    <m/>
    <m/>
    <m/>
    <m/>
    <m/>
    <m/>
    <m/>
    <m/>
    <m/>
    <m/>
    <m/>
    <m/>
  </r>
  <r>
    <x v="31"/>
    <x v="30"/>
    <m/>
    <m/>
    <m/>
    <m/>
    <m/>
    <m/>
    <m/>
    <m/>
    <m/>
    <m/>
    <m/>
    <m/>
    <m/>
    <m/>
    <m/>
    <m/>
    <m/>
  </r>
  <r>
    <x v="31"/>
    <x v="31"/>
    <m/>
    <m/>
    <m/>
    <m/>
    <m/>
    <m/>
    <m/>
    <m/>
    <m/>
    <m/>
    <m/>
    <m/>
    <m/>
    <m/>
    <m/>
    <m/>
    <m/>
  </r>
  <r>
    <x v="31"/>
    <x v="32"/>
    <m/>
    <m/>
    <m/>
    <m/>
    <m/>
    <m/>
    <m/>
    <m/>
    <m/>
    <m/>
    <m/>
    <m/>
    <m/>
    <m/>
    <m/>
    <m/>
    <m/>
  </r>
  <r>
    <x v="31"/>
    <x v="33"/>
    <m/>
    <m/>
    <m/>
    <m/>
    <m/>
    <m/>
    <m/>
    <m/>
    <m/>
    <m/>
    <m/>
    <m/>
    <m/>
    <m/>
    <m/>
    <m/>
    <m/>
  </r>
  <r>
    <x v="31"/>
    <x v="34"/>
    <m/>
    <m/>
    <m/>
    <m/>
    <m/>
    <m/>
    <m/>
    <m/>
    <m/>
    <m/>
    <m/>
    <m/>
    <m/>
    <m/>
    <m/>
    <m/>
    <m/>
  </r>
  <r>
    <x v="31"/>
    <x v="35"/>
    <m/>
    <m/>
    <m/>
    <m/>
    <m/>
    <m/>
    <m/>
    <m/>
    <m/>
    <m/>
    <m/>
    <m/>
    <m/>
    <m/>
    <m/>
    <m/>
    <m/>
  </r>
  <r>
    <x v="31"/>
    <x v="36"/>
    <m/>
    <m/>
    <m/>
    <m/>
    <m/>
    <m/>
    <m/>
    <m/>
    <m/>
    <m/>
    <m/>
    <m/>
    <m/>
    <m/>
    <m/>
    <m/>
    <m/>
  </r>
  <r>
    <x v="31"/>
    <x v="37"/>
    <m/>
    <m/>
    <m/>
    <m/>
    <m/>
    <m/>
    <m/>
    <m/>
    <m/>
    <m/>
    <m/>
    <m/>
    <m/>
    <m/>
    <m/>
    <m/>
    <m/>
  </r>
  <r>
    <x v="31"/>
    <x v="38"/>
    <m/>
    <m/>
    <m/>
    <m/>
    <m/>
    <m/>
    <m/>
    <m/>
    <m/>
    <m/>
    <m/>
    <m/>
    <m/>
    <m/>
    <m/>
    <m/>
    <m/>
  </r>
  <r>
    <x v="31"/>
    <x v="39"/>
    <m/>
    <m/>
    <m/>
    <m/>
    <m/>
    <m/>
    <m/>
    <m/>
    <m/>
    <m/>
    <m/>
    <m/>
    <m/>
    <m/>
    <m/>
    <m/>
    <m/>
  </r>
  <r>
    <x v="31"/>
    <x v="40"/>
    <m/>
    <m/>
    <m/>
    <m/>
    <m/>
    <m/>
    <m/>
    <m/>
    <m/>
    <m/>
    <m/>
    <m/>
    <m/>
    <m/>
    <m/>
    <m/>
    <m/>
  </r>
  <r>
    <x v="31"/>
    <x v="41"/>
    <m/>
    <m/>
    <m/>
    <m/>
    <m/>
    <m/>
    <m/>
    <m/>
    <m/>
    <m/>
    <m/>
    <m/>
    <m/>
    <m/>
    <m/>
    <m/>
    <m/>
  </r>
  <r>
    <x v="31"/>
    <x v="42"/>
    <m/>
    <m/>
    <m/>
    <m/>
    <m/>
    <m/>
    <m/>
    <m/>
    <m/>
    <m/>
    <m/>
    <m/>
    <m/>
    <m/>
    <m/>
    <m/>
    <m/>
  </r>
  <r>
    <x v="31"/>
    <x v="43"/>
    <m/>
    <m/>
    <m/>
    <m/>
    <m/>
    <m/>
    <m/>
    <m/>
    <m/>
    <m/>
    <m/>
    <m/>
    <m/>
    <m/>
    <m/>
    <m/>
    <m/>
  </r>
  <r>
    <x v="31"/>
    <x v="44"/>
    <m/>
    <m/>
    <m/>
    <m/>
    <m/>
    <m/>
    <m/>
    <m/>
    <m/>
    <m/>
    <m/>
    <m/>
    <m/>
    <m/>
    <m/>
    <m/>
    <m/>
  </r>
  <r>
    <x v="31"/>
    <x v="45"/>
    <m/>
    <m/>
    <m/>
    <m/>
    <m/>
    <m/>
    <m/>
    <m/>
    <m/>
    <m/>
    <m/>
    <m/>
    <m/>
    <m/>
    <m/>
    <m/>
    <m/>
  </r>
  <r>
    <x v="31"/>
    <x v="46"/>
    <m/>
    <m/>
    <m/>
    <m/>
    <m/>
    <m/>
    <m/>
    <m/>
    <m/>
    <m/>
    <m/>
    <m/>
    <m/>
    <m/>
    <m/>
    <m/>
    <m/>
  </r>
  <r>
    <x v="31"/>
    <x v="47"/>
    <m/>
    <m/>
    <m/>
    <m/>
    <m/>
    <m/>
    <m/>
    <m/>
    <m/>
    <m/>
    <m/>
    <m/>
    <m/>
    <m/>
    <m/>
    <m/>
    <m/>
  </r>
  <r>
    <x v="31"/>
    <x v="48"/>
    <m/>
    <m/>
    <m/>
    <m/>
    <m/>
    <m/>
    <m/>
    <m/>
    <m/>
    <m/>
    <m/>
    <m/>
    <m/>
    <m/>
    <m/>
    <m/>
    <m/>
  </r>
  <r>
    <x v="31"/>
    <x v="49"/>
    <m/>
    <m/>
    <m/>
    <m/>
    <m/>
    <m/>
    <m/>
    <m/>
    <m/>
    <m/>
    <m/>
    <m/>
    <m/>
    <m/>
    <m/>
    <m/>
    <m/>
  </r>
  <r>
    <x v="31"/>
    <x v="50"/>
    <m/>
    <m/>
    <m/>
    <m/>
    <m/>
    <m/>
    <m/>
    <m/>
    <m/>
    <m/>
    <m/>
    <m/>
    <m/>
    <m/>
    <m/>
    <m/>
    <m/>
  </r>
  <r>
    <x v="31"/>
    <x v="51"/>
    <m/>
    <m/>
    <m/>
    <m/>
    <m/>
    <m/>
    <m/>
    <m/>
    <m/>
    <m/>
    <m/>
    <m/>
    <m/>
    <m/>
    <m/>
    <m/>
    <m/>
  </r>
  <r>
    <x v="32"/>
    <x v="0"/>
    <m/>
    <m/>
    <m/>
    <m/>
    <m/>
    <m/>
    <m/>
    <m/>
    <m/>
    <m/>
    <m/>
    <m/>
    <m/>
    <m/>
    <m/>
    <m/>
    <m/>
  </r>
  <r>
    <x v="32"/>
    <x v="1"/>
    <m/>
    <m/>
    <m/>
    <m/>
    <m/>
    <m/>
    <m/>
    <m/>
    <m/>
    <m/>
    <m/>
    <m/>
    <m/>
    <m/>
    <m/>
    <m/>
    <m/>
  </r>
  <r>
    <x v="32"/>
    <x v="2"/>
    <m/>
    <m/>
    <m/>
    <m/>
    <m/>
    <m/>
    <m/>
    <m/>
    <m/>
    <m/>
    <m/>
    <m/>
    <m/>
    <m/>
    <m/>
    <m/>
    <m/>
  </r>
  <r>
    <x v="32"/>
    <x v="3"/>
    <m/>
    <m/>
    <m/>
    <m/>
    <m/>
    <m/>
    <m/>
    <m/>
    <m/>
    <m/>
    <m/>
    <m/>
    <m/>
    <m/>
    <m/>
    <m/>
    <m/>
  </r>
  <r>
    <x v="32"/>
    <x v="4"/>
    <m/>
    <m/>
    <m/>
    <m/>
    <m/>
    <m/>
    <m/>
    <m/>
    <m/>
    <m/>
    <m/>
    <m/>
    <m/>
    <m/>
    <m/>
    <m/>
    <m/>
  </r>
  <r>
    <x v="32"/>
    <x v="5"/>
    <m/>
    <m/>
    <m/>
    <m/>
    <m/>
    <m/>
    <m/>
    <m/>
    <m/>
    <m/>
    <m/>
    <m/>
    <m/>
    <m/>
    <m/>
    <m/>
    <m/>
  </r>
  <r>
    <x v="32"/>
    <x v="6"/>
    <m/>
    <m/>
    <m/>
    <m/>
    <m/>
    <m/>
    <m/>
    <m/>
    <m/>
    <m/>
    <m/>
    <m/>
    <m/>
    <m/>
    <m/>
    <m/>
    <m/>
  </r>
  <r>
    <x v="32"/>
    <x v="7"/>
    <m/>
    <m/>
    <m/>
    <m/>
    <m/>
    <m/>
    <m/>
    <m/>
    <m/>
    <m/>
    <m/>
    <m/>
    <m/>
    <m/>
    <m/>
    <m/>
    <m/>
  </r>
  <r>
    <x v="32"/>
    <x v="8"/>
    <m/>
    <m/>
    <m/>
    <m/>
    <m/>
    <m/>
    <m/>
    <m/>
    <m/>
    <m/>
    <m/>
    <m/>
    <m/>
    <m/>
    <m/>
    <m/>
    <m/>
  </r>
  <r>
    <x v="32"/>
    <x v="9"/>
    <m/>
    <m/>
    <m/>
    <m/>
    <m/>
    <m/>
    <m/>
    <m/>
    <m/>
    <m/>
    <m/>
    <m/>
    <m/>
    <m/>
    <m/>
    <m/>
    <m/>
  </r>
  <r>
    <x v="32"/>
    <x v="10"/>
    <m/>
    <m/>
    <m/>
    <m/>
    <m/>
    <m/>
    <m/>
    <m/>
    <m/>
    <m/>
    <m/>
    <m/>
    <m/>
    <m/>
    <m/>
    <m/>
    <m/>
  </r>
  <r>
    <x v="32"/>
    <x v="11"/>
    <m/>
    <m/>
    <m/>
    <m/>
    <m/>
    <m/>
    <m/>
    <m/>
    <m/>
    <m/>
    <m/>
    <m/>
    <m/>
    <m/>
    <m/>
    <m/>
    <m/>
  </r>
  <r>
    <x v="32"/>
    <x v="12"/>
    <m/>
    <m/>
    <m/>
    <m/>
    <m/>
    <m/>
    <m/>
    <m/>
    <m/>
    <m/>
    <m/>
    <m/>
    <m/>
    <m/>
    <m/>
    <m/>
    <m/>
  </r>
  <r>
    <x v="32"/>
    <x v="13"/>
    <m/>
    <m/>
    <m/>
    <m/>
    <m/>
    <m/>
    <m/>
    <m/>
    <m/>
    <m/>
    <m/>
    <m/>
    <m/>
    <m/>
    <m/>
    <m/>
    <m/>
  </r>
  <r>
    <x v="32"/>
    <x v="14"/>
    <m/>
    <m/>
    <m/>
    <m/>
    <m/>
    <m/>
    <m/>
    <m/>
    <m/>
    <m/>
    <m/>
    <m/>
    <m/>
    <m/>
    <m/>
    <m/>
    <m/>
  </r>
  <r>
    <x v="32"/>
    <x v="15"/>
    <m/>
    <m/>
    <m/>
    <m/>
    <m/>
    <m/>
    <m/>
    <m/>
    <m/>
    <m/>
    <m/>
    <m/>
    <m/>
    <m/>
    <m/>
    <m/>
    <m/>
  </r>
  <r>
    <x v="32"/>
    <x v="16"/>
    <m/>
    <m/>
    <m/>
    <m/>
    <m/>
    <m/>
    <m/>
    <m/>
    <m/>
    <m/>
    <m/>
    <m/>
    <m/>
    <m/>
    <m/>
    <m/>
    <m/>
  </r>
  <r>
    <x v="32"/>
    <x v="17"/>
    <m/>
    <m/>
    <m/>
    <m/>
    <m/>
    <m/>
    <m/>
    <m/>
    <m/>
    <m/>
    <m/>
    <m/>
    <m/>
    <m/>
    <m/>
    <m/>
    <m/>
  </r>
  <r>
    <x v="32"/>
    <x v="18"/>
    <m/>
    <m/>
    <m/>
    <m/>
    <m/>
    <m/>
    <m/>
    <m/>
    <m/>
    <m/>
    <m/>
    <m/>
    <m/>
    <m/>
    <m/>
    <m/>
    <m/>
  </r>
  <r>
    <x v="32"/>
    <x v="19"/>
    <m/>
    <m/>
    <m/>
    <m/>
    <m/>
    <m/>
    <m/>
    <m/>
    <m/>
    <m/>
    <m/>
    <m/>
    <m/>
    <m/>
    <m/>
    <m/>
    <m/>
  </r>
  <r>
    <x v="32"/>
    <x v="20"/>
    <m/>
    <m/>
    <m/>
    <m/>
    <m/>
    <m/>
    <m/>
    <m/>
    <m/>
    <m/>
    <m/>
    <m/>
    <m/>
    <m/>
    <m/>
    <m/>
    <m/>
  </r>
  <r>
    <x v="32"/>
    <x v="21"/>
    <m/>
    <m/>
    <m/>
    <m/>
    <m/>
    <m/>
    <m/>
    <m/>
    <m/>
    <m/>
    <m/>
    <m/>
    <m/>
    <m/>
    <m/>
    <m/>
    <m/>
  </r>
  <r>
    <x v="32"/>
    <x v="22"/>
    <m/>
    <m/>
    <m/>
    <m/>
    <m/>
    <m/>
    <m/>
    <m/>
    <m/>
    <m/>
    <m/>
    <m/>
    <m/>
    <m/>
    <m/>
    <m/>
    <m/>
  </r>
  <r>
    <x v="32"/>
    <x v="23"/>
    <m/>
    <m/>
    <m/>
    <m/>
    <m/>
    <m/>
    <m/>
    <m/>
    <m/>
    <m/>
    <m/>
    <m/>
    <m/>
    <m/>
    <m/>
    <m/>
    <m/>
  </r>
  <r>
    <x v="32"/>
    <x v="24"/>
    <m/>
    <m/>
    <m/>
    <m/>
    <m/>
    <m/>
    <m/>
    <m/>
    <m/>
    <m/>
    <m/>
    <m/>
    <m/>
    <m/>
    <m/>
    <m/>
    <m/>
  </r>
  <r>
    <x v="32"/>
    <x v="25"/>
    <m/>
    <m/>
    <m/>
    <m/>
    <m/>
    <m/>
    <m/>
    <m/>
    <m/>
    <m/>
    <m/>
    <m/>
    <m/>
    <m/>
    <m/>
    <m/>
    <m/>
  </r>
  <r>
    <x v="32"/>
    <x v="26"/>
    <m/>
    <m/>
    <m/>
    <m/>
    <m/>
    <m/>
    <m/>
    <m/>
    <m/>
    <m/>
    <m/>
    <m/>
    <m/>
    <m/>
    <m/>
    <m/>
    <m/>
  </r>
  <r>
    <x v="32"/>
    <x v="27"/>
    <m/>
    <m/>
    <m/>
    <m/>
    <m/>
    <m/>
    <m/>
    <m/>
    <m/>
    <m/>
    <m/>
    <m/>
    <m/>
    <m/>
    <m/>
    <m/>
    <m/>
  </r>
  <r>
    <x v="32"/>
    <x v="28"/>
    <m/>
    <m/>
    <m/>
    <m/>
    <m/>
    <m/>
    <m/>
    <m/>
    <m/>
    <m/>
    <m/>
    <m/>
    <m/>
    <m/>
    <m/>
    <m/>
    <m/>
  </r>
  <r>
    <x v="32"/>
    <x v="29"/>
    <m/>
    <m/>
    <m/>
    <m/>
    <m/>
    <m/>
    <m/>
    <m/>
    <m/>
    <m/>
    <m/>
    <m/>
    <m/>
    <m/>
    <m/>
    <m/>
    <m/>
  </r>
  <r>
    <x v="32"/>
    <x v="30"/>
    <m/>
    <m/>
    <m/>
    <m/>
    <m/>
    <m/>
    <m/>
    <m/>
    <m/>
    <m/>
    <m/>
    <m/>
    <m/>
    <m/>
    <m/>
    <m/>
    <m/>
  </r>
  <r>
    <x v="32"/>
    <x v="31"/>
    <m/>
    <m/>
    <m/>
    <m/>
    <m/>
    <m/>
    <m/>
    <m/>
    <m/>
    <m/>
    <m/>
    <m/>
    <m/>
    <m/>
    <m/>
    <m/>
    <m/>
  </r>
  <r>
    <x v="32"/>
    <x v="32"/>
    <m/>
    <m/>
    <m/>
    <m/>
    <m/>
    <m/>
    <m/>
    <m/>
    <m/>
    <m/>
    <m/>
    <m/>
    <m/>
    <m/>
    <m/>
    <m/>
    <m/>
  </r>
  <r>
    <x v="32"/>
    <x v="33"/>
    <m/>
    <m/>
    <m/>
    <m/>
    <m/>
    <m/>
    <m/>
    <m/>
    <m/>
    <m/>
    <m/>
    <m/>
    <m/>
    <m/>
    <m/>
    <m/>
    <m/>
  </r>
  <r>
    <x v="32"/>
    <x v="34"/>
    <m/>
    <m/>
    <m/>
    <m/>
    <m/>
    <m/>
    <n v="1"/>
    <n v="1"/>
    <m/>
    <m/>
    <n v="1"/>
    <n v="1"/>
    <n v="1"/>
    <n v="1"/>
    <n v="1"/>
    <n v="1"/>
    <m/>
  </r>
  <r>
    <x v="32"/>
    <x v="35"/>
    <m/>
    <m/>
    <m/>
    <m/>
    <m/>
    <m/>
    <m/>
    <m/>
    <m/>
    <m/>
    <m/>
    <m/>
    <m/>
    <m/>
    <m/>
    <m/>
    <m/>
  </r>
  <r>
    <x v="32"/>
    <x v="36"/>
    <m/>
    <m/>
    <m/>
    <m/>
    <m/>
    <m/>
    <m/>
    <m/>
    <m/>
    <m/>
    <m/>
    <m/>
    <m/>
    <m/>
    <m/>
    <m/>
    <m/>
  </r>
  <r>
    <x v="32"/>
    <x v="37"/>
    <m/>
    <m/>
    <m/>
    <m/>
    <m/>
    <m/>
    <m/>
    <m/>
    <m/>
    <m/>
    <m/>
    <m/>
    <m/>
    <m/>
    <m/>
    <m/>
    <m/>
  </r>
  <r>
    <x v="32"/>
    <x v="38"/>
    <m/>
    <m/>
    <m/>
    <m/>
    <m/>
    <m/>
    <m/>
    <m/>
    <m/>
    <m/>
    <m/>
    <m/>
    <m/>
    <m/>
    <m/>
    <m/>
    <m/>
  </r>
  <r>
    <x v="32"/>
    <x v="39"/>
    <m/>
    <m/>
    <m/>
    <m/>
    <m/>
    <m/>
    <m/>
    <m/>
    <m/>
    <m/>
    <m/>
    <m/>
    <m/>
    <m/>
    <m/>
    <m/>
    <m/>
  </r>
  <r>
    <x v="32"/>
    <x v="40"/>
    <m/>
    <m/>
    <m/>
    <m/>
    <m/>
    <m/>
    <m/>
    <m/>
    <m/>
    <m/>
    <m/>
    <m/>
    <m/>
    <m/>
    <m/>
    <m/>
    <m/>
  </r>
  <r>
    <x v="32"/>
    <x v="41"/>
    <m/>
    <m/>
    <m/>
    <m/>
    <m/>
    <m/>
    <m/>
    <m/>
    <m/>
    <m/>
    <m/>
    <m/>
    <m/>
    <m/>
    <m/>
    <m/>
    <m/>
  </r>
  <r>
    <x v="32"/>
    <x v="42"/>
    <m/>
    <m/>
    <m/>
    <m/>
    <m/>
    <m/>
    <m/>
    <m/>
    <m/>
    <m/>
    <m/>
    <m/>
    <m/>
    <m/>
    <m/>
    <m/>
    <m/>
  </r>
  <r>
    <x v="32"/>
    <x v="43"/>
    <m/>
    <m/>
    <m/>
    <m/>
    <m/>
    <m/>
    <m/>
    <m/>
    <m/>
    <m/>
    <m/>
    <m/>
    <m/>
    <m/>
    <m/>
    <m/>
    <m/>
  </r>
  <r>
    <x v="32"/>
    <x v="44"/>
    <m/>
    <m/>
    <m/>
    <m/>
    <m/>
    <m/>
    <m/>
    <m/>
    <m/>
    <m/>
    <m/>
    <m/>
    <m/>
    <m/>
    <m/>
    <m/>
    <m/>
  </r>
  <r>
    <x v="32"/>
    <x v="45"/>
    <m/>
    <m/>
    <m/>
    <m/>
    <m/>
    <m/>
    <m/>
    <m/>
    <m/>
    <m/>
    <m/>
    <m/>
    <m/>
    <m/>
    <m/>
    <m/>
    <m/>
  </r>
  <r>
    <x v="32"/>
    <x v="46"/>
    <m/>
    <m/>
    <m/>
    <m/>
    <m/>
    <m/>
    <m/>
    <m/>
    <m/>
    <m/>
    <m/>
    <m/>
    <m/>
    <m/>
    <m/>
    <m/>
    <m/>
  </r>
  <r>
    <x v="32"/>
    <x v="47"/>
    <m/>
    <m/>
    <m/>
    <m/>
    <m/>
    <m/>
    <m/>
    <m/>
    <m/>
    <m/>
    <m/>
    <m/>
    <m/>
    <m/>
    <m/>
    <m/>
    <m/>
  </r>
  <r>
    <x v="32"/>
    <x v="48"/>
    <m/>
    <m/>
    <m/>
    <m/>
    <m/>
    <m/>
    <m/>
    <m/>
    <m/>
    <m/>
    <m/>
    <m/>
    <m/>
    <m/>
    <m/>
    <m/>
    <m/>
  </r>
  <r>
    <x v="32"/>
    <x v="49"/>
    <m/>
    <m/>
    <m/>
    <m/>
    <m/>
    <m/>
    <m/>
    <m/>
    <m/>
    <m/>
    <m/>
    <m/>
    <m/>
    <m/>
    <m/>
    <m/>
    <m/>
  </r>
  <r>
    <x v="32"/>
    <x v="50"/>
    <m/>
    <m/>
    <m/>
    <m/>
    <m/>
    <m/>
    <m/>
    <m/>
    <m/>
    <m/>
    <m/>
    <m/>
    <m/>
    <m/>
    <m/>
    <m/>
    <m/>
  </r>
  <r>
    <x v="32"/>
    <x v="51"/>
    <m/>
    <m/>
    <m/>
    <m/>
    <m/>
    <m/>
    <m/>
    <m/>
    <m/>
    <m/>
    <m/>
    <m/>
    <m/>
    <m/>
    <m/>
    <m/>
    <m/>
  </r>
  <r>
    <x v="33"/>
    <x v="0"/>
    <m/>
    <m/>
    <m/>
    <m/>
    <m/>
    <m/>
    <m/>
    <m/>
    <m/>
    <m/>
    <m/>
    <m/>
    <m/>
    <m/>
    <m/>
    <m/>
    <m/>
  </r>
  <r>
    <x v="33"/>
    <x v="1"/>
    <m/>
    <m/>
    <m/>
    <m/>
    <m/>
    <m/>
    <m/>
    <m/>
    <m/>
    <m/>
    <m/>
    <m/>
    <m/>
    <m/>
    <m/>
    <m/>
    <m/>
  </r>
  <r>
    <x v="33"/>
    <x v="2"/>
    <m/>
    <m/>
    <m/>
    <m/>
    <m/>
    <m/>
    <m/>
    <m/>
    <m/>
    <m/>
    <m/>
    <m/>
    <m/>
    <m/>
    <m/>
    <m/>
    <m/>
  </r>
  <r>
    <x v="33"/>
    <x v="3"/>
    <m/>
    <m/>
    <m/>
    <m/>
    <m/>
    <m/>
    <m/>
    <m/>
    <m/>
    <m/>
    <m/>
    <m/>
    <m/>
    <m/>
    <m/>
    <m/>
    <m/>
  </r>
  <r>
    <x v="33"/>
    <x v="4"/>
    <m/>
    <m/>
    <m/>
    <m/>
    <m/>
    <m/>
    <m/>
    <m/>
    <m/>
    <m/>
    <m/>
    <m/>
    <m/>
    <m/>
    <m/>
    <m/>
    <m/>
  </r>
  <r>
    <x v="33"/>
    <x v="5"/>
    <m/>
    <m/>
    <m/>
    <m/>
    <m/>
    <m/>
    <m/>
    <m/>
    <m/>
    <m/>
    <m/>
    <m/>
    <m/>
    <m/>
    <m/>
    <m/>
    <m/>
  </r>
  <r>
    <x v="33"/>
    <x v="6"/>
    <m/>
    <m/>
    <m/>
    <m/>
    <m/>
    <m/>
    <m/>
    <m/>
    <m/>
    <m/>
    <m/>
    <m/>
    <m/>
    <m/>
    <m/>
    <m/>
    <m/>
  </r>
  <r>
    <x v="33"/>
    <x v="7"/>
    <m/>
    <m/>
    <m/>
    <m/>
    <m/>
    <m/>
    <m/>
    <m/>
    <m/>
    <m/>
    <m/>
    <m/>
    <m/>
    <m/>
    <m/>
    <m/>
    <m/>
  </r>
  <r>
    <x v="33"/>
    <x v="8"/>
    <m/>
    <m/>
    <m/>
    <m/>
    <m/>
    <m/>
    <m/>
    <m/>
    <m/>
    <m/>
    <m/>
    <m/>
    <m/>
    <m/>
    <m/>
    <m/>
    <m/>
  </r>
  <r>
    <x v="33"/>
    <x v="9"/>
    <m/>
    <m/>
    <m/>
    <m/>
    <m/>
    <m/>
    <m/>
    <m/>
    <m/>
    <m/>
    <m/>
    <m/>
    <m/>
    <m/>
    <m/>
    <m/>
    <m/>
  </r>
  <r>
    <x v="33"/>
    <x v="10"/>
    <m/>
    <m/>
    <m/>
    <m/>
    <m/>
    <m/>
    <m/>
    <m/>
    <m/>
    <m/>
    <m/>
    <m/>
    <m/>
    <m/>
    <m/>
    <m/>
    <m/>
  </r>
  <r>
    <x v="33"/>
    <x v="11"/>
    <m/>
    <m/>
    <m/>
    <m/>
    <m/>
    <m/>
    <m/>
    <m/>
    <m/>
    <m/>
    <m/>
    <m/>
    <m/>
    <m/>
    <m/>
    <m/>
    <m/>
  </r>
  <r>
    <x v="33"/>
    <x v="12"/>
    <m/>
    <m/>
    <m/>
    <m/>
    <m/>
    <m/>
    <m/>
    <m/>
    <m/>
    <m/>
    <m/>
    <m/>
    <m/>
    <m/>
    <m/>
    <m/>
    <m/>
  </r>
  <r>
    <x v="33"/>
    <x v="13"/>
    <m/>
    <m/>
    <m/>
    <m/>
    <m/>
    <m/>
    <m/>
    <m/>
    <m/>
    <m/>
    <m/>
    <m/>
    <m/>
    <m/>
    <m/>
    <m/>
    <m/>
  </r>
  <r>
    <x v="33"/>
    <x v="14"/>
    <m/>
    <m/>
    <m/>
    <m/>
    <m/>
    <m/>
    <m/>
    <m/>
    <m/>
    <m/>
    <m/>
    <m/>
    <m/>
    <m/>
    <m/>
    <m/>
    <m/>
  </r>
  <r>
    <x v="33"/>
    <x v="15"/>
    <m/>
    <m/>
    <m/>
    <m/>
    <m/>
    <m/>
    <m/>
    <m/>
    <m/>
    <m/>
    <m/>
    <m/>
    <m/>
    <m/>
    <m/>
    <m/>
    <m/>
  </r>
  <r>
    <x v="33"/>
    <x v="16"/>
    <m/>
    <m/>
    <m/>
    <m/>
    <m/>
    <m/>
    <m/>
    <m/>
    <m/>
    <m/>
    <m/>
    <m/>
    <m/>
    <m/>
    <m/>
    <m/>
    <m/>
  </r>
  <r>
    <x v="33"/>
    <x v="17"/>
    <m/>
    <m/>
    <m/>
    <m/>
    <m/>
    <m/>
    <m/>
    <m/>
    <m/>
    <m/>
    <m/>
    <m/>
    <m/>
    <m/>
    <m/>
    <m/>
    <m/>
  </r>
  <r>
    <x v="33"/>
    <x v="18"/>
    <m/>
    <m/>
    <m/>
    <m/>
    <m/>
    <m/>
    <m/>
    <m/>
    <m/>
    <m/>
    <m/>
    <m/>
    <m/>
    <m/>
    <m/>
    <m/>
    <m/>
  </r>
  <r>
    <x v="33"/>
    <x v="19"/>
    <m/>
    <m/>
    <m/>
    <m/>
    <m/>
    <m/>
    <m/>
    <m/>
    <m/>
    <m/>
    <m/>
    <m/>
    <m/>
    <m/>
    <m/>
    <m/>
    <m/>
  </r>
  <r>
    <x v="33"/>
    <x v="20"/>
    <m/>
    <m/>
    <m/>
    <m/>
    <m/>
    <m/>
    <m/>
    <n v="4"/>
    <m/>
    <n v="4"/>
    <n v="4"/>
    <n v="8"/>
    <m/>
    <n v="8"/>
    <n v="2"/>
    <m/>
    <m/>
  </r>
  <r>
    <x v="33"/>
    <x v="21"/>
    <m/>
    <m/>
    <m/>
    <m/>
    <m/>
    <m/>
    <m/>
    <m/>
    <m/>
    <m/>
    <m/>
    <m/>
    <m/>
    <m/>
    <m/>
    <m/>
    <m/>
  </r>
  <r>
    <x v="33"/>
    <x v="22"/>
    <m/>
    <m/>
    <m/>
    <m/>
    <m/>
    <m/>
    <m/>
    <m/>
    <m/>
    <m/>
    <m/>
    <m/>
    <m/>
    <m/>
    <m/>
    <m/>
    <m/>
  </r>
  <r>
    <x v="33"/>
    <x v="23"/>
    <m/>
    <m/>
    <m/>
    <m/>
    <m/>
    <m/>
    <m/>
    <n v="4"/>
    <m/>
    <n v="4"/>
    <m/>
    <n v="8"/>
    <m/>
    <n v="4"/>
    <m/>
    <m/>
    <m/>
  </r>
  <r>
    <x v="33"/>
    <x v="24"/>
    <m/>
    <m/>
    <m/>
    <m/>
    <m/>
    <m/>
    <m/>
    <m/>
    <m/>
    <m/>
    <m/>
    <m/>
    <m/>
    <m/>
    <m/>
    <m/>
    <m/>
  </r>
  <r>
    <x v="33"/>
    <x v="25"/>
    <m/>
    <m/>
    <m/>
    <m/>
    <m/>
    <m/>
    <m/>
    <m/>
    <m/>
    <m/>
    <m/>
    <m/>
    <m/>
    <m/>
    <m/>
    <m/>
    <m/>
  </r>
  <r>
    <x v="33"/>
    <x v="26"/>
    <m/>
    <m/>
    <m/>
    <m/>
    <m/>
    <m/>
    <m/>
    <n v="4"/>
    <m/>
    <n v="4"/>
    <m/>
    <n v="8"/>
    <m/>
    <n v="4"/>
    <m/>
    <m/>
    <m/>
  </r>
  <r>
    <x v="33"/>
    <x v="27"/>
    <m/>
    <m/>
    <m/>
    <m/>
    <m/>
    <m/>
    <m/>
    <m/>
    <m/>
    <m/>
    <m/>
    <m/>
    <m/>
    <m/>
    <m/>
    <m/>
    <m/>
  </r>
  <r>
    <x v="33"/>
    <x v="28"/>
    <m/>
    <m/>
    <m/>
    <m/>
    <m/>
    <m/>
    <m/>
    <m/>
    <m/>
    <m/>
    <m/>
    <m/>
    <m/>
    <m/>
    <m/>
    <m/>
    <m/>
  </r>
  <r>
    <x v="33"/>
    <x v="29"/>
    <m/>
    <m/>
    <m/>
    <m/>
    <m/>
    <m/>
    <m/>
    <m/>
    <m/>
    <m/>
    <m/>
    <m/>
    <m/>
    <m/>
    <m/>
    <m/>
    <m/>
  </r>
  <r>
    <x v="33"/>
    <x v="30"/>
    <m/>
    <m/>
    <m/>
    <m/>
    <m/>
    <m/>
    <m/>
    <m/>
    <m/>
    <m/>
    <m/>
    <m/>
    <m/>
    <m/>
    <m/>
    <m/>
    <m/>
  </r>
  <r>
    <x v="33"/>
    <x v="31"/>
    <m/>
    <m/>
    <m/>
    <m/>
    <m/>
    <m/>
    <m/>
    <m/>
    <m/>
    <m/>
    <m/>
    <m/>
    <m/>
    <m/>
    <m/>
    <m/>
    <m/>
  </r>
  <r>
    <x v="33"/>
    <x v="32"/>
    <m/>
    <m/>
    <m/>
    <m/>
    <m/>
    <m/>
    <m/>
    <m/>
    <m/>
    <m/>
    <m/>
    <m/>
    <m/>
    <m/>
    <m/>
    <m/>
    <m/>
  </r>
  <r>
    <x v="33"/>
    <x v="33"/>
    <m/>
    <m/>
    <m/>
    <m/>
    <m/>
    <m/>
    <m/>
    <m/>
    <m/>
    <m/>
    <m/>
    <m/>
    <m/>
    <m/>
    <m/>
    <m/>
    <m/>
  </r>
  <r>
    <x v="33"/>
    <x v="34"/>
    <m/>
    <m/>
    <m/>
    <m/>
    <m/>
    <m/>
    <m/>
    <m/>
    <m/>
    <m/>
    <m/>
    <m/>
    <m/>
    <m/>
    <m/>
    <m/>
    <m/>
  </r>
  <r>
    <x v="33"/>
    <x v="35"/>
    <m/>
    <m/>
    <m/>
    <m/>
    <m/>
    <m/>
    <m/>
    <m/>
    <m/>
    <m/>
    <m/>
    <m/>
    <m/>
    <m/>
    <m/>
    <m/>
    <m/>
  </r>
  <r>
    <x v="33"/>
    <x v="36"/>
    <m/>
    <m/>
    <m/>
    <m/>
    <m/>
    <m/>
    <m/>
    <m/>
    <m/>
    <m/>
    <m/>
    <m/>
    <m/>
    <m/>
    <m/>
    <m/>
    <m/>
  </r>
  <r>
    <x v="33"/>
    <x v="37"/>
    <m/>
    <m/>
    <m/>
    <m/>
    <m/>
    <m/>
    <m/>
    <m/>
    <m/>
    <m/>
    <m/>
    <m/>
    <m/>
    <m/>
    <m/>
    <m/>
    <m/>
  </r>
  <r>
    <x v="33"/>
    <x v="38"/>
    <m/>
    <m/>
    <m/>
    <m/>
    <m/>
    <m/>
    <m/>
    <m/>
    <m/>
    <m/>
    <m/>
    <m/>
    <m/>
    <m/>
    <m/>
    <m/>
    <m/>
  </r>
  <r>
    <x v="33"/>
    <x v="39"/>
    <m/>
    <m/>
    <m/>
    <m/>
    <m/>
    <m/>
    <m/>
    <m/>
    <m/>
    <m/>
    <m/>
    <m/>
    <m/>
    <m/>
    <m/>
    <m/>
    <m/>
  </r>
  <r>
    <x v="33"/>
    <x v="40"/>
    <m/>
    <m/>
    <m/>
    <m/>
    <m/>
    <m/>
    <m/>
    <m/>
    <m/>
    <m/>
    <m/>
    <m/>
    <m/>
    <m/>
    <m/>
    <m/>
    <m/>
  </r>
  <r>
    <x v="33"/>
    <x v="41"/>
    <m/>
    <m/>
    <m/>
    <m/>
    <m/>
    <m/>
    <m/>
    <m/>
    <m/>
    <m/>
    <m/>
    <m/>
    <m/>
    <m/>
    <m/>
    <m/>
    <m/>
  </r>
  <r>
    <x v="33"/>
    <x v="42"/>
    <m/>
    <m/>
    <m/>
    <m/>
    <m/>
    <m/>
    <m/>
    <m/>
    <m/>
    <m/>
    <m/>
    <m/>
    <m/>
    <m/>
    <m/>
    <m/>
    <m/>
  </r>
  <r>
    <x v="33"/>
    <x v="43"/>
    <m/>
    <m/>
    <m/>
    <m/>
    <m/>
    <m/>
    <m/>
    <m/>
    <m/>
    <m/>
    <m/>
    <m/>
    <m/>
    <m/>
    <m/>
    <m/>
    <m/>
  </r>
  <r>
    <x v="33"/>
    <x v="44"/>
    <m/>
    <m/>
    <m/>
    <m/>
    <m/>
    <m/>
    <m/>
    <m/>
    <m/>
    <m/>
    <m/>
    <m/>
    <m/>
    <m/>
    <m/>
    <m/>
    <m/>
  </r>
  <r>
    <x v="33"/>
    <x v="45"/>
    <m/>
    <m/>
    <m/>
    <m/>
    <m/>
    <m/>
    <m/>
    <m/>
    <m/>
    <m/>
    <m/>
    <m/>
    <m/>
    <m/>
    <m/>
    <m/>
    <m/>
  </r>
  <r>
    <x v="33"/>
    <x v="46"/>
    <m/>
    <m/>
    <m/>
    <m/>
    <m/>
    <m/>
    <m/>
    <m/>
    <m/>
    <m/>
    <m/>
    <m/>
    <m/>
    <m/>
    <m/>
    <m/>
    <m/>
  </r>
  <r>
    <x v="33"/>
    <x v="47"/>
    <m/>
    <m/>
    <m/>
    <m/>
    <m/>
    <m/>
    <m/>
    <m/>
    <m/>
    <m/>
    <m/>
    <m/>
    <m/>
    <m/>
    <m/>
    <m/>
    <m/>
  </r>
  <r>
    <x v="33"/>
    <x v="48"/>
    <m/>
    <m/>
    <m/>
    <m/>
    <m/>
    <m/>
    <m/>
    <m/>
    <m/>
    <m/>
    <m/>
    <m/>
    <m/>
    <m/>
    <m/>
    <m/>
    <m/>
  </r>
  <r>
    <x v="33"/>
    <x v="49"/>
    <m/>
    <m/>
    <m/>
    <m/>
    <m/>
    <m/>
    <m/>
    <m/>
    <m/>
    <m/>
    <m/>
    <m/>
    <m/>
    <m/>
    <m/>
    <m/>
    <m/>
  </r>
  <r>
    <x v="33"/>
    <x v="50"/>
    <m/>
    <m/>
    <m/>
    <m/>
    <m/>
    <m/>
    <m/>
    <m/>
    <m/>
    <m/>
    <m/>
    <m/>
    <m/>
    <m/>
    <m/>
    <m/>
    <m/>
  </r>
  <r>
    <x v="33"/>
    <x v="51"/>
    <m/>
    <m/>
    <m/>
    <m/>
    <m/>
    <m/>
    <m/>
    <m/>
    <m/>
    <m/>
    <m/>
    <m/>
    <m/>
    <m/>
    <m/>
    <m/>
    <m/>
  </r>
  <r>
    <x v="34"/>
    <x v="0"/>
    <m/>
    <m/>
    <m/>
    <m/>
    <m/>
    <m/>
    <m/>
    <m/>
    <m/>
    <m/>
    <m/>
    <m/>
    <m/>
    <m/>
    <m/>
    <m/>
    <m/>
  </r>
  <r>
    <x v="34"/>
    <x v="1"/>
    <m/>
    <m/>
    <m/>
    <m/>
    <m/>
    <m/>
    <m/>
    <m/>
    <m/>
    <m/>
    <m/>
    <m/>
    <m/>
    <m/>
    <m/>
    <m/>
    <m/>
  </r>
  <r>
    <x v="34"/>
    <x v="2"/>
    <m/>
    <m/>
    <m/>
    <m/>
    <m/>
    <m/>
    <m/>
    <m/>
    <m/>
    <m/>
    <m/>
    <m/>
    <m/>
    <m/>
    <m/>
    <m/>
    <m/>
  </r>
  <r>
    <x v="34"/>
    <x v="3"/>
    <m/>
    <m/>
    <m/>
    <m/>
    <m/>
    <m/>
    <m/>
    <m/>
    <m/>
    <m/>
    <m/>
    <m/>
    <m/>
    <m/>
    <m/>
    <m/>
    <m/>
  </r>
  <r>
    <x v="34"/>
    <x v="4"/>
    <m/>
    <m/>
    <m/>
    <m/>
    <m/>
    <m/>
    <m/>
    <m/>
    <m/>
    <m/>
    <m/>
    <m/>
    <m/>
    <m/>
    <m/>
    <m/>
    <m/>
  </r>
  <r>
    <x v="34"/>
    <x v="5"/>
    <m/>
    <m/>
    <m/>
    <m/>
    <m/>
    <m/>
    <m/>
    <m/>
    <m/>
    <m/>
    <m/>
    <m/>
    <m/>
    <m/>
    <m/>
    <m/>
    <m/>
  </r>
  <r>
    <x v="34"/>
    <x v="6"/>
    <m/>
    <m/>
    <m/>
    <m/>
    <m/>
    <m/>
    <m/>
    <m/>
    <m/>
    <m/>
    <m/>
    <m/>
    <m/>
    <m/>
    <m/>
    <m/>
    <m/>
  </r>
  <r>
    <x v="34"/>
    <x v="7"/>
    <m/>
    <m/>
    <m/>
    <m/>
    <m/>
    <m/>
    <m/>
    <m/>
    <m/>
    <m/>
    <m/>
    <m/>
    <m/>
    <m/>
    <m/>
    <m/>
    <m/>
  </r>
  <r>
    <x v="34"/>
    <x v="8"/>
    <m/>
    <m/>
    <m/>
    <m/>
    <m/>
    <m/>
    <m/>
    <m/>
    <m/>
    <m/>
    <m/>
    <m/>
    <m/>
    <m/>
    <m/>
    <m/>
    <m/>
  </r>
  <r>
    <x v="34"/>
    <x v="9"/>
    <m/>
    <m/>
    <m/>
    <m/>
    <m/>
    <m/>
    <m/>
    <m/>
    <m/>
    <m/>
    <m/>
    <m/>
    <m/>
    <m/>
    <m/>
    <m/>
    <m/>
  </r>
  <r>
    <x v="34"/>
    <x v="10"/>
    <m/>
    <m/>
    <m/>
    <m/>
    <m/>
    <m/>
    <m/>
    <m/>
    <m/>
    <m/>
    <m/>
    <m/>
    <m/>
    <m/>
    <m/>
    <m/>
    <m/>
  </r>
  <r>
    <x v="34"/>
    <x v="11"/>
    <m/>
    <m/>
    <m/>
    <m/>
    <m/>
    <m/>
    <m/>
    <m/>
    <m/>
    <m/>
    <m/>
    <m/>
    <m/>
    <m/>
    <m/>
    <m/>
    <m/>
  </r>
  <r>
    <x v="34"/>
    <x v="12"/>
    <m/>
    <m/>
    <m/>
    <m/>
    <m/>
    <m/>
    <m/>
    <m/>
    <m/>
    <m/>
    <m/>
    <m/>
    <m/>
    <m/>
    <m/>
    <m/>
    <m/>
  </r>
  <r>
    <x v="34"/>
    <x v="13"/>
    <m/>
    <m/>
    <m/>
    <m/>
    <m/>
    <m/>
    <m/>
    <m/>
    <m/>
    <m/>
    <m/>
    <m/>
    <m/>
    <m/>
    <m/>
    <m/>
    <m/>
  </r>
  <r>
    <x v="34"/>
    <x v="14"/>
    <m/>
    <m/>
    <m/>
    <m/>
    <m/>
    <m/>
    <m/>
    <m/>
    <m/>
    <m/>
    <m/>
    <m/>
    <m/>
    <m/>
    <m/>
    <m/>
    <m/>
  </r>
  <r>
    <x v="34"/>
    <x v="15"/>
    <m/>
    <m/>
    <m/>
    <m/>
    <m/>
    <m/>
    <m/>
    <m/>
    <m/>
    <m/>
    <m/>
    <m/>
    <m/>
    <m/>
    <m/>
    <m/>
    <m/>
  </r>
  <r>
    <x v="34"/>
    <x v="16"/>
    <m/>
    <m/>
    <m/>
    <m/>
    <m/>
    <m/>
    <m/>
    <m/>
    <m/>
    <m/>
    <m/>
    <m/>
    <m/>
    <m/>
    <m/>
    <m/>
    <m/>
  </r>
  <r>
    <x v="34"/>
    <x v="17"/>
    <m/>
    <m/>
    <m/>
    <m/>
    <m/>
    <m/>
    <m/>
    <m/>
    <m/>
    <m/>
    <m/>
    <m/>
    <m/>
    <m/>
    <m/>
    <m/>
    <m/>
  </r>
  <r>
    <x v="34"/>
    <x v="18"/>
    <m/>
    <m/>
    <m/>
    <m/>
    <m/>
    <m/>
    <m/>
    <m/>
    <m/>
    <m/>
    <m/>
    <m/>
    <m/>
    <m/>
    <m/>
    <m/>
    <m/>
  </r>
  <r>
    <x v="34"/>
    <x v="19"/>
    <m/>
    <m/>
    <m/>
    <m/>
    <m/>
    <m/>
    <m/>
    <m/>
    <m/>
    <m/>
    <m/>
    <m/>
    <m/>
    <m/>
    <m/>
    <m/>
    <m/>
  </r>
  <r>
    <x v="34"/>
    <x v="20"/>
    <m/>
    <m/>
    <m/>
    <m/>
    <m/>
    <m/>
    <m/>
    <m/>
    <m/>
    <m/>
    <m/>
    <m/>
    <m/>
    <m/>
    <m/>
    <m/>
    <m/>
  </r>
  <r>
    <x v="34"/>
    <x v="21"/>
    <m/>
    <m/>
    <m/>
    <m/>
    <m/>
    <m/>
    <m/>
    <m/>
    <m/>
    <m/>
    <m/>
    <m/>
    <m/>
    <m/>
    <m/>
    <m/>
    <m/>
  </r>
  <r>
    <x v="34"/>
    <x v="22"/>
    <m/>
    <m/>
    <m/>
    <m/>
    <m/>
    <m/>
    <m/>
    <m/>
    <m/>
    <m/>
    <m/>
    <m/>
    <m/>
    <m/>
    <m/>
    <m/>
    <m/>
  </r>
  <r>
    <x v="34"/>
    <x v="23"/>
    <m/>
    <m/>
    <m/>
    <m/>
    <m/>
    <m/>
    <m/>
    <m/>
    <m/>
    <m/>
    <m/>
    <m/>
    <m/>
    <m/>
    <m/>
    <m/>
    <m/>
  </r>
  <r>
    <x v="34"/>
    <x v="24"/>
    <m/>
    <m/>
    <m/>
    <m/>
    <m/>
    <m/>
    <m/>
    <m/>
    <m/>
    <m/>
    <m/>
    <m/>
    <m/>
    <m/>
    <m/>
    <m/>
    <m/>
  </r>
  <r>
    <x v="34"/>
    <x v="25"/>
    <m/>
    <m/>
    <m/>
    <m/>
    <m/>
    <m/>
    <m/>
    <m/>
    <m/>
    <m/>
    <m/>
    <m/>
    <m/>
    <m/>
    <m/>
    <m/>
    <m/>
  </r>
  <r>
    <x v="34"/>
    <x v="26"/>
    <m/>
    <m/>
    <m/>
    <m/>
    <m/>
    <m/>
    <m/>
    <m/>
    <m/>
    <m/>
    <m/>
    <m/>
    <m/>
    <m/>
    <m/>
    <m/>
    <m/>
  </r>
  <r>
    <x v="34"/>
    <x v="27"/>
    <m/>
    <m/>
    <m/>
    <m/>
    <m/>
    <m/>
    <m/>
    <m/>
    <m/>
    <m/>
    <m/>
    <m/>
    <m/>
    <m/>
    <m/>
    <m/>
    <m/>
  </r>
  <r>
    <x v="34"/>
    <x v="28"/>
    <m/>
    <m/>
    <m/>
    <m/>
    <m/>
    <m/>
    <m/>
    <m/>
    <m/>
    <m/>
    <m/>
    <m/>
    <m/>
    <m/>
    <m/>
    <m/>
    <m/>
  </r>
  <r>
    <x v="34"/>
    <x v="29"/>
    <m/>
    <m/>
    <m/>
    <m/>
    <m/>
    <m/>
    <m/>
    <m/>
    <m/>
    <m/>
    <m/>
    <m/>
    <m/>
    <m/>
    <m/>
    <m/>
    <m/>
  </r>
  <r>
    <x v="34"/>
    <x v="30"/>
    <m/>
    <m/>
    <m/>
    <m/>
    <m/>
    <m/>
    <m/>
    <m/>
    <m/>
    <m/>
    <m/>
    <m/>
    <m/>
    <m/>
    <m/>
    <m/>
    <m/>
  </r>
  <r>
    <x v="34"/>
    <x v="31"/>
    <m/>
    <m/>
    <m/>
    <m/>
    <m/>
    <m/>
    <m/>
    <m/>
    <m/>
    <m/>
    <m/>
    <m/>
    <m/>
    <m/>
    <m/>
    <m/>
    <m/>
  </r>
  <r>
    <x v="34"/>
    <x v="32"/>
    <m/>
    <m/>
    <m/>
    <m/>
    <m/>
    <m/>
    <m/>
    <m/>
    <m/>
    <m/>
    <m/>
    <m/>
    <m/>
    <m/>
    <m/>
    <m/>
    <m/>
  </r>
  <r>
    <x v="34"/>
    <x v="33"/>
    <m/>
    <m/>
    <m/>
    <m/>
    <m/>
    <m/>
    <m/>
    <m/>
    <m/>
    <m/>
    <m/>
    <m/>
    <m/>
    <m/>
    <m/>
    <m/>
    <m/>
  </r>
  <r>
    <x v="34"/>
    <x v="34"/>
    <m/>
    <m/>
    <m/>
    <m/>
    <m/>
    <m/>
    <m/>
    <m/>
    <m/>
    <m/>
    <m/>
    <m/>
    <m/>
    <m/>
    <m/>
    <m/>
    <m/>
  </r>
  <r>
    <x v="34"/>
    <x v="35"/>
    <m/>
    <m/>
    <m/>
    <m/>
    <m/>
    <m/>
    <m/>
    <m/>
    <m/>
    <m/>
    <m/>
    <m/>
    <m/>
    <m/>
    <m/>
    <m/>
    <m/>
  </r>
  <r>
    <x v="34"/>
    <x v="36"/>
    <m/>
    <m/>
    <m/>
    <m/>
    <m/>
    <m/>
    <m/>
    <m/>
    <m/>
    <m/>
    <m/>
    <m/>
    <m/>
    <m/>
    <m/>
    <m/>
    <m/>
  </r>
  <r>
    <x v="34"/>
    <x v="37"/>
    <m/>
    <m/>
    <m/>
    <m/>
    <m/>
    <m/>
    <m/>
    <m/>
    <m/>
    <m/>
    <m/>
    <m/>
    <m/>
    <m/>
    <m/>
    <m/>
    <m/>
  </r>
  <r>
    <x v="34"/>
    <x v="38"/>
    <m/>
    <m/>
    <m/>
    <m/>
    <m/>
    <m/>
    <m/>
    <m/>
    <m/>
    <m/>
    <m/>
    <m/>
    <m/>
    <m/>
    <m/>
    <m/>
    <m/>
  </r>
  <r>
    <x v="34"/>
    <x v="39"/>
    <m/>
    <m/>
    <m/>
    <m/>
    <m/>
    <m/>
    <m/>
    <m/>
    <m/>
    <m/>
    <m/>
    <m/>
    <m/>
    <m/>
    <m/>
    <m/>
    <m/>
  </r>
  <r>
    <x v="34"/>
    <x v="64"/>
    <n v="2"/>
    <m/>
    <m/>
    <m/>
    <m/>
    <m/>
    <m/>
    <m/>
    <m/>
    <m/>
    <m/>
    <n v="2"/>
    <m/>
    <n v="1"/>
    <m/>
    <m/>
    <m/>
  </r>
  <r>
    <x v="34"/>
    <x v="40"/>
    <m/>
    <m/>
    <m/>
    <m/>
    <m/>
    <m/>
    <m/>
    <m/>
    <m/>
    <m/>
    <m/>
    <m/>
    <m/>
    <m/>
    <m/>
    <m/>
    <m/>
  </r>
  <r>
    <x v="34"/>
    <x v="41"/>
    <m/>
    <m/>
    <m/>
    <m/>
    <m/>
    <m/>
    <m/>
    <m/>
    <m/>
    <m/>
    <m/>
    <m/>
    <m/>
    <m/>
    <m/>
    <m/>
    <m/>
  </r>
  <r>
    <x v="34"/>
    <x v="42"/>
    <m/>
    <m/>
    <m/>
    <m/>
    <m/>
    <m/>
    <m/>
    <m/>
    <m/>
    <m/>
    <m/>
    <m/>
    <m/>
    <m/>
    <m/>
    <m/>
    <m/>
  </r>
  <r>
    <x v="34"/>
    <x v="43"/>
    <m/>
    <m/>
    <m/>
    <m/>
    <m/>
    <m/>
    <m/>
    <m/>
    <m/>
    <m/>
    <m/>
    <m/>
    <m/>
    <m/>
    <m/>
    <m/>
    <m/>
  </r>
  <r>
    <x v="34"/>
    <x v="44"/>
    <m/>
    <m/>
    <m/>
    <m/>
    <m/>
    <m/>
    <m/>
    <m/>
    <m/>
    <m/>
    <m/>
    <m/>
    <m/>
    <m/>
    <m/>
    <m/>
    <m/>
  </r>
  <r>
    <x v="34"/>
    <x v="45"/>
    <m/>
    <m/>
    <m/>
    <m/>
    <m/>
    <m/>
    <m/>
    <m/>
    <m/>
    <m/>
    <m/>
    <m/>
    <m/>
    <m/>
    <m/>
    <m/>
    <m/>
  </r>
  <r>
    <x v="34"/>
    <x v="46"/>
    <m/>
    <m/>
    <m/>
    <m/>
    <m/>
    <m/>
    <m/>
    <m/>
    <m/>
    <m/>
    <m/>
    <m/>
    <m/>
    <m/>
    <m/>
    <m/>
    <m/>
  </r>
  <r>
    <x v="34"/>
    <x v="47"/>
    <m/>
    <m/>
    <m/>
    <m/>
    <m/>
    <m/>
    <m/>
    <m/>
    <m/>
    <m/>
    <m/>
    <m/>
    <m/>
    <m/>
    <m/>
    <m/>
    <m/>
  </r>
  <r>
    <x v="34"/>
    <x v="48"/>
    <m/>
    <m/>
    <m/>
    <m/>
    <m/>
    <m/>
    <m/>
    <m/>
    <m/>
    <m/>
    <m/>
    <m/>
    <m/>
    <m/>
    <m/>
    <m/>
    <m/>
  </r>
  <r>
    <x v="34"/>
    <x v="75"/>
    <n v="1"/>
    <n v="2"/>
    <m/>
    <m/>
    <m/>
    <m/>
    <m/>
    <m/>
    <m/>
    <m/>
    <m/>
    <n v="2"/>
    <m/>
    <n v="2"/>
    <m/>
    <m/>
    <m/>
  </r>
  <r>
    <x v="34"/>
    <x v="50"/>
    <m/>
    <m/>
    <m/>
    <m/>
    <m/>
    <m/>
    <m/>
    <m/>
    <m/>
    <m/>
    <m/>
    <m/>
    <m/>
    <m/>
    <m/>
    <m/>
    <m/>
  </r>
  <r>
    <x v="34"/>
    <x v="51"/>
    <m/>
    <m/>
    <m/>
    <m/>
    <m/>
    <m/>
    <m/>
    <m/>
    <m/>
    <m/>
    <m/>
    <m/>
    <m/>
    <m/>
    <m/>
    <m/>
    <m/>
  </r>
  <r>
    <x v="35"/>
    <x v="0"/>
    <m/>
    <m/>
    <m/>
    <m/>
    <m/>
    <m/>
    <m/>
    <m/>
    <m/>
    <m/>
    <m/>
    <m/>
    <m/>
    <m/>
    <m/>
    <m/>
    <m/>
  </r>
  <r>
    <x v="35"/>
    <x v="1"/>
    <m/>
    <m/>
    <m/>
    <m/>
    <m/>
    <m/>
    <m/>
    <m/>
    <m/>
    <m/>
    <m/>
    <m/>
    <m/>
    <m/>
    <m/>
    <m/>
    <m/>
  </r>
  <r>
    <x v="35"/>
    <x v="2"/>
    <m/>
    <m/>
    <m/>
    <m/>
    <m/>
    <m/>
    <m/>
    <m/>
    <m/>
    <m/>
    <m/>
    <m/>
    <m/>
    <m/>
    <m/>
    <m/>
    <m/>
  </r>
  <r>
    <x v="35"/>
    <x v="3"/>
    <m/>
    <m/>
    <m/>
    <m/>
    <m/>
    <m/>
    <m/>
    <m/>
    <m/>
    <m/>
    <m/>
    <m/>
    <m/>
    <m/>
    <m/>
    <m/>
    <m/>
  </r>
  <r>
    <x v="35"/>
    <x v="4"/>
    <m/>
    <m/>
    <m/>
    <m/>
    <m/>
    <m/>
    <m/>
    <m/>
    <m/>
    <m/>
    <m/>
    <m/>
    <m/>
    <m/>
    <m/>
    <m/>
    <m/>
  </r>
  <r>
    <x v="35"/>
    <x v="5"/>
    <m/>
    <m/>
    <m/>
    <m/>
    <m/>
    <m/>
    <m/>
    <m/>
    <m/>
    <m/>
    <m/>
    <m/>
    <m/>
    <m/>
    <m/>
    <m/>
    <m/>
  </r>
  <r>
    <x v="35"/>
    <x v="6"/>
    <m/>
    <m/>
    <m/>
    <m/>
    <m/>
    <m/>
    <m/>
    <m/>
    <m/>
    <m/>
    <m/>
    <m/>
    <m/>
    <m/>
    <m/>
    <m/>
    <m/>
  </r>
  <r>
    <x v="35"/>
    <x v="7"/>
    <m/>
    <m/>
    <m/>
    <m/>
    <m/>
    <m/>
    <m/>
    <m/>
    <m/>
    <m/>
    <m/>
    <m/>
    <m/>
    <m/>
    <m/>
    <m/>
    <m/>
  </r>
  <r>
    <x v="35"/>
    <x v="8"/>
    <m/>
    <m/>
    <m/>
    <m/>
    <m/>
    <m/>
    <m/>
    <m/>
    <m/>
    <m/>
    <m/>
    <m/>
    <m/>
    <m/>
    <m/>
    <m/>
    <m/>
  </r>
  <r>
    <x v="35"/>
    <x v="9"/>
    <m/>
    <m/>
    <m/>
    <m/>
    <m/>
    <m/>
    <m/>
    <m/>
    <m/>
    <m/>
    <m/>
    <m/>
    <m/>
    <m/>
    <m/>
    <m/>
    <m/>
  </r>
  <r>
    <x v="35"/>
    <x v="10"/>
    <m/>
    <m/>
    <m/>
    <m/>
    <m/>
    <m/>
    <m/>
    <m/>
    <m/>
    <m/>
    <m/>
    <m/>
    <m/>
    <m/>
    <m/>
    <m/>
    <m/>
  </r>
  <r>
    <x v="35"/>
    <x v="11"/>
    <m/>
    <m/>
    <m/>
    <m/>
    <m/>
    <m/>
    <m/>
    <m/>
    <m/>
    <m/>
    <m/>
    <m/>
    <m/>
    <m/>
    <m/>
    <m/>
    <m/>
  </r>
  <r>
    <x v="35"/>
    <x v="12"/>
    <m/>
    <m/>
    <m/>
    <m/>
    <m/>
    <m/>
    <m/>
    <m/>
    <m/>
    <m/>
    <m/>
    <m/>
    <m/>
    <m/>
    <m/>
    <m/>
    <m/>
  </r>
  <r>
    <x v="35"/>
    <x v="13"/>
    <m/>
    <m/>
    <m/>
    <m/>
    <m/>
    <m/>
    <m/>
    <m/>
    <m/>
    <m/>
    <m/>
    <m/>
    <m/>
    <m/>
    <m/>
    <m/>
    <m/>
  </r>
  <r>
    <x v="35"/>
    <x v="14"/>
    <m/>
    <m/>
    <m/>
    <m/>
    <m/>
    <m/>
    <m/>
    <m/>
    <m/>
    <m/>
    <m/>
    <m/>
    <m/>
    <m/>
    <m/>
    <m/>
    <m/>
  </r>
  <r>
    <x v="35"/>
    <x v="15"/>
    <m/>
    <m/>
    <m/>
    <m/>
    <m/>
    <m/>
    <m/>
    <m/>
    <m/>
    <m/>
    <m/>
    <m/>
    <m/>
    <m/>
    <m/>
    <m/>
    <m/>
  </r>
  <r>
    <x v="35"/>
    <x v="16"/>
    <m/>
    <m/>
    <m/>
    <m/>
    <m/>
    <m/>
    <m/>
    <m/>
    <m/>
    <m/>
    <m/>
    <m/>
    <m/>
    <m/>
    <m/>
    <m/>
    <m/>
  </r>
  <r>
    <x v="35"/>
    <x v="17"/>
    <m/>
    <m/>
    <m/>
    <m/>
    <m/>
    <m/>
    <m/>
    <m/>
    <m/>
    <m/>
    <m/>
    <m/>
    <m/>
    <m/>
    <m/>
    <m/>
    <m/>
  </r>
  <r>
    <x v="35"/>
    <x v="18"/>
    <m/>
    <m/>
    <m/>
    <m/>
    <m/>
    <m/>
    <m/>
    <m/>
    <m/>
    <m/>
    <m/>
    <m/>
    <m/>
    <m/>
    <m/>
    <m/>
    <m/>
  </r>
  <r>
    <x v="35"/>
    <x v="19"/>
    <m/>
    <m/>
    <m/>
    <m/>
    <m/>
    <m/>
    <m/>
    <m/>
    <m/>
    <m/>
    <m/>
    <m/>
    <m/>
    <m/>
    <m/>
    <m/>
    <m/>
  </r>
  <r>
    <x v="35"/>
    <x v="20"/>
    <m/>
    <m/>
    <m/>
    <m/>
    <m/>
    <m/>
    <m/>
    <m/>
    <m/>
    <m/>
    <m/>
    <m/>
    <m/>
    <m/>
    <m/>
    <m/>
    <m/>
  </r>
  <r>
    <x v="35"/>
    <x v="21"/>
    <m/>
    <m/>
    <m/>
    <m/>
    <m/>
    <m/>
    <m/>
    <m/>
    <m/>
    <m/>
    <m/>
    <m/>
    <m/>
    <m/>
    <m/>
    <m/>
    <m/>
  </r>
  <r>
    <x v="35"/>
    <x v="22"/>
    <m/>
    <m/>
    <m/>
    <m/>
    <m/>
    <m/>
    <m/>
    <m/>
    <m/>
    <m/>
    <m/>
    <m/>
    <m/>
    <m/>
    <m/>
    <m/>
    <m/>
  </r>
  <r>
    <x v="35"/>
    <x v="23"/>
    <m/>
    <m/>
    <m/>
    <m/>
    <m/>
    <m/>
    <m/>
    <m/>
    <m/>
    <m/>
    <m/>
    <m/>
    <m/>
    <m/>
    <m/>
    <m/>
    <m/>
  </r>
  <r>
    <x v="35"/>
    <x v="24"/>
    <m/>
    <m/>
    <m/>
    <m/>
    <m/>
    <m/>
    <m/>
    <m/>
    <m/>
    <m/>
    <m/>
    <m/>
    <m/>
    <m/>
    <m/>
    <m/>
    <m/>
  </r>
  <r>
    <x v="35"/>
    <x v="25"/>
    <m/>
    <m/>
    <m/>
    <m/>
    <m/>
    <m/>
    <m/>
    <m/>
    <m/>
    <m/>
    <m/>
    <m/>
    <m/>
    <m/>
    <m/>
    <m/>
    <m/>
  </r>
  <r>
    <x v="35"/>
    <x v="26"/>
    <m/>
    <m/>
    <m/>
    <m/>
    <m/>
    <m/>
    <m/>
    <m/>
    <m/>
    <m/>
    <m/>
    <m/>
    <m/>
    <m/>
    <m/>
    <m/>
    <m/>
  </r>
  <r>
    <x v="35"/>
    <x v="27"/>
    <m/>
    <m/>
    <m/>
    <m/>
    <m/>
    <m/>
    <m/>
    <m/>
    <m/>
    <m/>
    <m/>
    <m/>
    <m/>
    <m/>
    <m/>
    <m/>
    <m/>
  </r>
  <r>
    <x v="35"/>
    <x v="28"/>
    <m/>
    <m/>
    <m/>
    <m/>
    <m/>
    <m/>
    <m/>
    <m/>
    <m/>
    <m/>
    <n v="3"/>
    <n v="2"/>
    <n v="3"/>
    <n v="2"/>
    <n v="2"/>
    <n v="3"/>
    <m/>
  </r>
  <r>
    <x v="35"/>
    <x v="29"/>
    <m/>
    <m/>
    <m/>
    <m/>
    <m/>
    <m/>
    <m/>
    <m/>
    <m/>
    <m/>
    <m/>
    <m/>
    <m/>
    <m/>
    <m/>
    <m/>
    <m/>
  </r>
  <r>
    <x v="35"/>
    <x v="30"/>
    <m/>
    <m/>
    <m/>
    <m/>
    <m/>
    <m/>
    <m/>
    <m/>
    <m/>
    <m/>
    <m/>
    <m/>
    <m/>
    <m/>
    <m/>
    <m/>
    <m/>
  </r>
  <r>
    <x v="35"/>
    <x v="31"/>
    <m/>
    <m/>
    <m/>
    <m/>
    <m/>
    <m/>
    <m/>
    <m/>
    <m/>
    <m/>
    <m/>
    <m/>
    <m/>
    <m/>
    <m/>
    <m/>
    <m/>
  </r>
  <r>
    <x v="35"/>
    <x v="32"/>
    <m/>
    <m/>
    <m/>
    <m/>
    <m/>
    <m/>
    <m/>
    <m/>
    <m/>
    <m/>
    <m/>
    <m/>
    <m/>
    <m/>
    <m/>
    <m/>
    <m/>
  </r>
  <r>
    <x v="35"/>
    <x v="33"/>
    <m/>
    <m/>
    <m/>
    <m/>
    <m/>
    <m/>
    <m/>
    <m/>
    <m/>
    <m/>
    <m/>
    <m/>
    <m/>
    <m/>
    <m/>
    <m/>
    <m/>
  </r>
  <r>
    <x v="35"/>
    <x v="34"/>
    <m/>
    <m/>
    <m/>
    <m/>
    <m/>
    <m/>
    <m/>
    <m/>
    <m/>
    <m/>
    <m/>
    <m/>
    <m/>
    <m/>
    <m/>
    <m/>
    <m/>
  </r>
  <r>
    <x v="35"/>
    <x v="35"/>
    <m/>
    <m/>
    <m/>
    <m/>
    <m/>
    <m/>
    <m/>
    <m/>
    <m/>
    <m/>
    <m/>
    <m/>
    <m/>
    <m/>
    <m/>
    <m/>
    <m/>
  </r>
  <r>
    <x v="35"/>
    <x v="36"/>
    <m/>
    <m/>
    <m/>
    <m/>
    <m/>
    <m/>
    <m/>
    <m/>
    <m/>
    <m/>
    <m/>
    <m/>
    <m/>
    <m/>
    <m/>
    <m/>
    <m/>
  </r>
  <r>
    <x v="35"/>
    <x v="37"/>
    <m/>
    <m/>
    <m/>
    <m/>
    <m/>
    <m/>
    <m/>
    <m/>
    <m/>
    <m/>
    <m/>
    <m/>
    <m/>
    <m/>
    <m/>
    <m/>
    <m/>
  </r>
  <r>
    <x v="35"/>
    <x v="38"/>
    <m/>
    <m/>
    <m/>
    <m/>
    <m/>
    <m/>
    <m/>
    <m/>
    <m/>
    <m/>
    <m/>
    <m/>
    <m/>
    <m/>
    <m/>
    <m/>
    <m/>
  </r>
  <r>
    <x v="35"/>
    <x v="39"/>
    <m/>
    <m/>
    <m/>
    <m/>
    <m/>
    <m/>
    <m/>
    <m/>
    <m/>
    <m/>
    <m/>
    <m/>
    <m/>
    <m/>
    <m/>
    <m/>
    <m/>
  </r>
  <r>
    <x v="35"/>
    <x v="40"/>
    <m/>
    <m/>
    <m/>
    <m/>
    <m/>
    <m/>
    <m/>
    <m/>
    <m/>
    <m/>
    <m/>
    <m/>
    <m/>
    <m/>
    <m/>
    <m/>
    <m/>
  </r>
  <r>
    <x v="35"/>
    <x v="41"/>
    <m/>
    <m/>
    <m/>
    <m/>
    <m/>
    <m/>
    <m/>
    <m/>
    <m/>
    <m/>
    <m/>
    <m/>
    <m/>
    <m/>
    <m/>
    <m/>
    <m/>
  </r>
  <r>
    <x v="35"/>
    <x v="42"/>
    <m/>
    <m/>
    <m/>
    <m/>
    <m/>
    <m/>
    <m/>
    <m/>
    <m/>
    <m/>
    <m/>
    <m/>
    <m/>
    <m/>
    <m/>
    <m/>
    <m/>
  </r>
  <r>
    <x v="35"/>
    <x v="43"/>
    <m/>
    <m/>
    <m/>
    <m/>
    <m/>
    <m/>
    <m/>
    <m/>
    <m/>
    <m/>
    <m/>
    <m/>
    <m/>
    <m/>
    <m/>
    <m/>
    <m/>
  </r>
  <r>
    <x v="35"/>
    <x v="44"/>
    <m/>
    <m/>
    <m/>
    <m/>
    <m/>
    <m/>
    <m/>
    <m/>
    <m/>
    <m/>
    <m/>
    <m/>
    <m/>
    <m/>
    <m/>
    <m/>
    <m/>
  </r>
  <r>
    <x v="35"/>
    <x v="45"/>
    <m/>
    <m/>
    <m/>
    <m/>
    <m/>
    <m/>
    <m/>
    <m/>
    <m/>
    <m/>
    <m/>
    <m/>
    <m/>
    <m/>
    <m/>
    <m/>
    <m/>
  </r>
  <r>
    <x v="35"/>
    <x v="46"/>
    <m/>
    <m/>
    <m/>
    <m/>
    <m/>
    <m/>
    <m/>
    <m/>
    <m/>
    <m/>
    <m/>
    <m/>
    <m/>
    <m/>
    <m/>
    <m/>
    <m/>
  </r>
  <r>
    <x v="35"/>
    <x v="47"/>
    <m/>
    <m/>
    <m/>
    <m/>
    <m/>
    <m/>
    <m/>
    <m/>
    <m/>
    <m/>
    <m/>
    <m/>
    <m/>
    <m/>
    <m/>
    <m/>
    <m/>
  </r>
  <r>
    <x v="35"/>
    <x v="48"/>
    <m/>
    <m/>
    <m/>
    <m/>
    <m/>
    <m/>
    <m/>
    <m/>
    <m/>
    <m/>
    <m/>
    <m/>
    <m/>
    <m/>
    <m/>
    <m/>
    <m/>
  </r>
  <r>
    <x v="35"/>
    <x v="49"/>
    <m/>
    <m/>
    <m/>
    <m/>
    <m/>
    <m/>
    <m/>
    <m/>
    <m/>
    <m/>
    <m/>
    <m/>
    <m/>
    <m/>
    <m/>
    <m/>
    <m/>
  </r>
  <r>
    <x v="35"/>
    <x v="50"/>
    <m/>
    <m/>
    <m/>
    <m/>
    <m/>
    <m/>
    <m/>
    <m/>
    <m/>
    <m/>
    <m/>
    <m/>
    <m/>
    <m/>
    <m/>
    <m/>
    <m/>
  </r>
  <r>
    <x v="35"/>
    <x v="51"/>
    <m/>
    <m/>
    <m/>
    <m/>
    <m/>
    <m/>
    <m/>
    <m/>
    <m/>
    <m/>
    <m/>
    <m/>
    <m/>
    <m/>
    <m/>
    <m/>
    <m/>
  </r>
  <r>
    <x v="36"/>
    <x v="0"/>
    <m/>
    <m/>
    <m/>
    <m/>
    <m/>
    <m/>
    <m/>
    <m/>
    <m/>
    <m/>
    <m/>
    <m/>
    <m/>
    <m/>
    <m/>
    <m/>
    <m/>
  </r>
  <r>
    <x v="36"/>
    <x v="1"/>
    <m/>
    <m/>
    <m/>
    <m/>
    <m/>
    <m/>
    <m/>
    <m/>
    <m/>
    <m/>
    <m/>
    <m/>
    <m/>
    <m/>
    <m/>
    <m/>
    <m/>
  </r>
  <r>
    <x v="36"/>
    <x v="2"/>
    <m/>
    <m/>
    <m/>
    <m/>
    <m/>
    <m/>
    <m/>
    <m/>
    <m/>
    <m/>
    <m/>
    <m/>
    <m/>
    <m/>
    <m/>
    <m/>
    <m/>
  </r>
  <r>
    <x v="36"/>
    <x v="3"/>
    <m/>
    <m/>
    <m/>
    <m/>
    <m/>
    <m/>
    <m/>
    <m/>
    <m/>
    <m/>
    <m/>
    <m/>
    <m/>
    <m/>
    <m/>
    <m/>
    <m/>
  </r>
  <r>
    <x v="36"/>
    <x v="4"/>
    <m/>
    <m/>
    <m/>
    <m/>
    <m/>
    <m/>
    <m/>
    <m/>
    <m/>
    <m/>
    <m/>
    <m/>
    <m/>
    <m/>
    <m/>
    <m/>
    <m/>
  </r>
  <r>
    <x v="36"/>
    <x v="5"/>
    <m/>
    <m/>
    <m/>
    <m/>
    <m/>
    <m/>
    <m/>
    <m/>
    <m/>
    <m/>
    <m/>
    <m/>
    <m/>
    <m/>
    <m/>
    <m/>
    <m/>
  </r>
  <r>
    <x v="36"/>
    <x v="6"/>
    <m/>
    <m/>
    <m/>
    <m/>
    <m/>
    <m/>
    <m/>
    <m/>
    <m/>
    <m/>
    <m/>
    <m/>
    <m/>
    <m/>
    <m/>
    <m/>
    <m/>
  </r>
  <r>
    <x v="36"/>
    <x v="7"/>
    <m/>
    <m/>
    <m/>
    <m/>
    <m/>
    <m/>
    <m/>
    <m/>
    <m/>
    <m/>
    <m/>
    <m/>
    <m/>
    <m/>
    <m/>
    <m/>
    <m/>
  </r>
  <r>
    <x v="36"/>
    <x v="8"/>
    <m/>
    <m/>
    <m/>
    <m/>
    <m/>
    <m/>
    <m/>
    <m/>
    <m/>
    <m/>
    <m/>
    <m/>
    <m/>
    <m/>
    <m/>
    <m/>
    <m/>
  </r>
  <r>
    <x v="36"/>
    <x v="9"/>
    <m/>
    <m/>
    <m/>
    <m/>
    <m/>
    <m/>
    <m/>
    <m/>
    <m/>
    <m/>
    <m/>
    <m/>
    <m/>
    <m/>
    <m/>
    <m/>
    <m/>
  </r>
  <r>
    <x v="36"/>
    <x v="10"/>
    <m/>
    <m/>
    <m/>
    <m/>
    <m/>
    <m/>
    <m/>
    <m/>
    <m/>
    <m/>
    <m/>
    <m/>
    <m/>
    <m/>
    <m/>
    <m/>
    <m/>
  </r>
  <r>
    <x v="36"/>
    <x v="11"/>
    <m/>
    <m/>
    <m/>
    <m/>
    <m/>
    <m/>
    <m/>
    <m/>
    <m/>
    <m/>
    <m/>
    <m/>
    <m/>
    <m/>
    <m/>
    <m/>
    <m/>
  </r>
  <r>
    <x v="36"/>
    <x v="12"/>
    <m/>
    <m/>
    <m/>
    <m/>
    <m/>
    <m/>
    <m/>
    <m/>
    <m/>
    <m/>
    <m/>
    <m/>
    <m/>
    <m/>
    <m/>
    <m/>
    <m/>
  </r>
  <r>
    <x v="36"/>
    <x v="13"/>
    <m/>
    <m/>
    <m/>
    <m/>
    <m/>
    <m/>
    <m/>
    <m/>
    <m/>
    <m/>
    <m/>
    <m/>
    <m/>
    <m/>
    <m/>
    <m/>
    <m/>
  </r>
  <r>
    <x v="36"/>
    <x v="14"/>
    <m/>
    <m/>
    <m/>
    <m/>
    <m/>
    <m/>
    <m/>
    <m/>
    <m/>
    <m/>
    <m/>
    <m/>
    <m/>
    <m/>
    <m/>
    <m/>
    <m/>
  </r>
  <r>
    <x v="36"/>
    <x v="15"/>
    <m/>
    <m/>
    <m/>
    <m/>
    <m/>
    <m/>
    <m/>
    <m/>
    <m/>
    <m/>
    <m/>
    <m/>
    <m/>
    <m/>
    <m/>
    <m/>
    <m/>
  </r>
  <r>
    <x v="36"/>
    <x v="16"/>
    <m/>
    <m/>
    <m/>
    <m/>
    <m/>
    <m/>
    <m/>
    <m/>
    <m/>
    <m/>
    <m/>
    <m/>
    <m/>
    <m/>
    <m/>
    <m/>
    <m/>
  </r>
  <r>
    <x v="36"/>
    <x v="17"/>
    <m/>
    <m/>
    <m/>
    <m/>
    <m/>
    <m/>
    <m/>
    <m/>
    <m/>
    <m/>
    <m/>
    <m/>
    <m/>
    <m/>
    <m/>
    <m/>
    <m/>
  </r>
  <r>
    <x v="36"/>
    <x v="18"/>
    <m/>
    <m/>
    <m/>
    <m/>
    <m/>
    <m/>
    <m/>
    <m/>
    <m/>
    <m/>
    <m/>
    <m/>
    <m/>
    <m/>
    <m/>
    <m/>
    <m/>
  </r>
  <r>
    <x v="36"/>
    <x v="19"/>
    <m/>
    <m/>
    <m/>
    <m/>
    <m/>
    <m/>
    <m/>
    <m/>
    <m/>
    <m/>
    <m/>
    <m/>
    <m/>
    <m/>
    <m/>
    <m/>
    <m/>
  </r>
  <r>
    <x v="36"/>
    <x v="20"/>
    <m/>
    <m/>
    <m/>
    <m/>
    <m/>
    <m/>
    <m/>
    <m/>
    <m/>
    <m/>
    <m/>
    <m/>
    <m/>
    <m/>
    <m/>
    <m/>
    <m/>
  </r>
  <r>
    <x v="36"/>
    <x v="21"/>
    <m/>
    <m/>
    <m/>
    <m/>
    <m/>
    <m/>
    <m/>
    <m/>
    <m/>
    <m/>
    <m/>
    <m/>
    <m/>
    <m/>
    <m/>
    <m/>
    <m/>
  </r>
  <r>
    <x v="36"/>
    <x v="22"/>
    <m/>
    <m/>
    <m/>
    <m/>
    <m/>
    <m/>
    <m/>
    <m/>
    <m/>
    <m/>
    <m/>
    <m/>
    <m/>
    <m/>
    <m/>
    <m/>
    <m/>
  </r>
  <r>
    <x v="36"/>
    <x v="23"/>
    <m/>
    <m/>
    <m/>
    <m/>
    <m/>
    <m/>
    <m/>
    <m/>
    <m/>
    <m/>
    <m/>
    <m/>
    <m/>
    <m/>
    <m/>
    <m/>
    <m/>
  </r>
  <r>
    <x v="36"/>
    <x v="24"/>
    <m/>
    <m/>
    <m/>
    <m/>
    <m/>
    <m/>
    <m/>
    <m/>
    <m/>
    <m/>
    <m/>
    <m/>
    <m/>
    <m/>
    <m/>
    <m/>
    <m/>
  </r>
  <r>
    <x v="36"/>
    <x v="25"/>
    <m/>
    <m/>
    <m/>
    <m/>
    <m/>
    <m/>
    <m/>
    <m/>
    <m/>
    <m/>
    <m/>
    <m/>
    <m/>
    <m/>
    <m/>
    <m/>
    <m/>
  </r>
  <r>
    <x v="36"/>
    <x v="26"/>
    <m/>
    <m/>
    <m/>
    <m/>
    <m/>
    <m/>
    <m/>
    <m/>
    <m/>
    <m/>
    <m/>
    <m/>
    <m/>
    <m/>
    <m/>
    <m/>
    <m/>
  </r>
  <r>
    <x v="36"/>
    <x v="27"/>
    <m/>
    <m/>
    <m/>
    <m/>
    <m/>
    <m/>
    <m/>
    <m/>
    <m/>
    <m/>
    <m/>
    <m/>
    <m/>
    <m/>
    <m/>
    <m/>
    <m/>
  </r>
  <r>
    <x v="36"/>
    <x v="28"/>
    <m/>
    <m/>
    <m/>
    <m/>
    <m/>
    <m/>
    <m/>
    <m/>
    <m/>
    <m/>
    <m/>
    <m/>
    <m/>
    <m/>
    <m/>
    <m/>
    <m/>
  </r>
  <r>
    <x v="36"/>
    <x v="29"/>
    <m/>
    <m/>
    <m/>
    <m/>
    <m/>
    <m/>
    <m/>
    <m/>
    <m/>
    <m/>
    <m/>
    <m/>
    <m/>
    <m/>
    <m/>
    <m/>
    <m/>
  </r>
  <r>
    <x v="36"/>
    <x v="30"/>
    <m/>
    <m/>
    <m/>
    <m/>
    <m/>
    <m/>
    <m/>
    <m/>
    <m/>
    <m/>
    <m/>
    <m/>
    <m/>
    <m/>
    <m/>
    <m/>
    <m/>
  </r>
  <r>
    <x v="36"/>
    <x v="31"/>
    <m/>
    <m/>
    <m/>
    <m/>
    <m/>
    <m/>
    <m/>
    <m/>
    <m/>
    <m/>
    <m/>
    <m/>
    <m/>
    <m/>
    <m/>
    <m/>
    <m/>
  </r>
  <r>
    <x v="36"/>
    <x v="32"/>
    <m/>
    <m/>
    <m/>
    <m/>
    <m/>
    <m/>
    <m/>
    <m/>
    <m/>
    <m/>
    <m/>
    <m/>
    <m/>
    <m/>
    <m/>
    <m/>
    <m/>
  </r>
  <r>
    <x v="36"/>
    <x v="33"/>
    <m/>
    <m/>
    <m/>
    <m/>
    <m/>
    <m/>
    <m/>
    <m/>
    <m/>
    <m/>
    <m/>
    <m/>
    <m/>
    <m/>
    <m/>
    <m/>
    <m/>
  </r>
  <r>
    <x v="36"/>
    <x v="34"/>
    <m/>
    <m/>
    <m/>
    <m/>
    <m/>
    <m/>
    <m/>
    <m/>
    <m/>
    <m/>
    <m/>
    <m/>
    <m/>
    <m/>
    <m/>
    <m/>
    <m/>
  </r>
  <r>
    <x v="36"/>
    <x v="35"/>
    <m/>
    <m/>
    <m/>
    <m/>
    <m/>
    <m/>
    <m/>
    <m/>
    <m/>
    <m/>
    <m/>
    <m/>
    <m/>
    <m/>
    <m/>
    <m/>
    <m/>
  </r>
  <r>
    <x v="36"/>
    <x v="36"/>
    <m/>
    <m/>
    <m/>
    <m/>
    <m/>
    <m/>
    <m/>
    <m/>
    <m/>
    <m/>
    <m/>
    <m/>
    <m/>
    <m/>
    <m/>
    <m/>
    <m/>
  </r>
  <r>
    <x v="36"/>
    <x v="37"/>
    <m/>
    <m/>
    <m/>
    <m/>
    <m/>
    <m/>
    <m/>
    <m/>
    <m/>
    <m/>
    <m/>
    <m/>
    <m/>
    <m/>
    <m/>
    <m/>
    <m/>
  </r>
  <r>
    <x v="36"/>
    <x v="38"/>
    <m/>
    <m/>
    <m/>
    <m/>
    <m/>
    <m/>
    <m/>
    <m/>
    <m/>
    <m/>
    <m/>
    <m/>
    <m/>
    <m/>
    <m/>
    <m/>
    <m/>
  </r>
  <r>
    <x v="36"/>
    <x v="39"/>
    <m/>
    <m/>
    <m/>
    <m/>
    <m/>
    <m/>
    <m/>
    <m/>
    <m/>
    <m/>
    <m/>
    <m/>
    <m/>
    <m/>
    <m/>
    <n v="1"/>
    <m/>
  </r>
  <r>
    <x v="36"/>
    <x v="40"/>
    <m/>
    <m/>
    <m/>
    <m/>
    <m/>
    <m/>
    <m/>
    <m/>
    <m/>
    <m/>
    <m/>
    <m/>
    <m/>
    <m/>
    <m/>
    <m/>
    <m/>
  </r>
  <r>
    <x v="36"/>
    <x v="41"/>
    <m/>
    <m/>
    <m/>
    <m/>
    <m/>
    <m/>
    <m/>
    <m/>
    <m/>
    <m/>
    <m/>
    <m/>
    <m/>
    <m/>
    <m/>
    <m/>
    <m/>
  </r>
  <r>
    <x v="36"/>
    <x v="42"/>
    <m/>
    <m/>
    <m/>
    <m/>
    <m/>
    <m/>
    <m/>
    <m/>
    <m/>
    <m/>
    <m/>
    <m/>
    <m/>
    <m/>
    <m/>
    <m/>
    <m/>
  </r>
  <r>
    <x v="36"/>
    <x v="43"/>
    <m/>
    <m/>
    <m/>
    <m/>
    <m/>
    <m/>
    <m/>
    <m/>
    <m/>
    <m/>
    <m/>
    <m/>
    <m/>
    <m/>
    <m/>
    <m/>
    <m/>
  </r>
  <r>
    <x v="36"/>
    <x v="44"/>
    <m/>
    <m/>
    <m/>
    <m/>
    <m/>
    <m/>
    <m/>
    <m/>
    <m/>
    <m/>
    <m/>
    <m/>
    <m/>
    <m/>
    <m/>
    <m/>
    <m/>
  </r>
  <r>
    <x v="36"/>
    <x v="45"/>
    <m/>
    <m/>
    <m/>
    <m/>
    <m/>
    <m/>
    <m/>
    <m/>
    <m/>
    <m/>
    <m/>
    <m/>
    <m/>
    <m/>
    <m/>
    <m/>
    <m/>
  </r>
  <r>
    <x v="36"/>
    <x v="46"/>
    <m/>
    <m/>
    <m/>
    <m/>
    <m/>
    <m/>
    <m/>
    <m/>
    <m/>
    <m/>
    <m/>
    <m/>
    <m/>
    <m/>
    <m/>
    <m/>
    <m/>
  </r>
  <r>
    <x v="36"/>
    <x v="47"/>
    <m/>
    <m/>
    <m/>
    <m/>
    <m/>
    <m/>
    <m/>
    <m/>
    <m/>
    <m/>
    <m/>
    <m/>
    <m/>
    <m/>
    <m/>
    <m/>
    <m/>
  </r>
  <r>
    <x v="36"/>
    <x v="48"/>
    <m/>
    <m/>
    <m/>
    <m/>
    <m/>
    <m/>
    <m/>
    <m/>
    <m/>
    <m/>
    <m/>
    <m/>
    <m/>
    <m/>
    <m/>
    <m/>
    <m/>
  </r>
  <r>
    <x v="36"/>
    <x v="49"/>
    <m/>
    <m/>
    <m/>
    <m/>
    <m/>
    <m/>
    <m/>
    <m/>
    <m/>
    <m/>
    <m/>
    <m/>
    <m/>
    <m/>
    <m/>
    <m/>
    <m/>
  </r>
  <r>
    <x v="36"/>
    <x v="50"/>
    <m/>
    <m/>
    <m/>
    <m/>
    <m/>
    <m/>
    <m/>
    <m/>
    <m/>
    <m/>
    <m/>
    <m/>
    <m/>
    <m/>
    <m/>
    <m/>
    <m/>
  </r>
  <r>
    <x v="36"/>
    <x v="51"/>
    <m/>
    <m/>
    <m/>
    <m/>
    <m/>
    <m/>
    <m/>
    <m/>
    <m/>
    <m/>
    <m/>
    <m/>
    <m/>
    <m/>
    <m/>
    <m/>
    <m/>
  </r>
  <r>
    <x v="37"/>
    <x v="0"/>
    <m/>
    <m/>
    <m/>
    <m/>
    <m/>
    <m/>
    <m/>
    <m/>
    <m/>
    <m/>
    <m/>
    <m/>
    <m/>
    <m/>
    <m/>
    <m/>
    <m/>
  </r>
  <r>
    <x v="37"/>
    <x v="1"/>
    <m/>
    <m/>
    <m/>
    <m/>
    <m/>
    <m/>
    <m/>
    <m/>
    <m/>
    <m/>
    <m/>
    <m/>
    <m/>
    <m/>
    <m/>
    <m/>
    <m/>
  </r>
  <r>
    <x v="37"/>
    <x v="2"/>
    <m/>
    <m/>
    <m/>
    <m/>
    <m/>
    <m/>
    <m/>
    <m/>
    <m/>
    <m/>
    <m/>
    <m/>
    <m/>
    <m/>
    <m/>
    <m/>
    <m/>
  </r>
  <r>
    <x v="37"/>
    <x v="3"/>
    <m/>
    <m/>
    <m/>
    <m/>
    <m/>
    <m/>
    <m/>
    <m/>
    <m/>
    <m/>
    <m/>
    <m/>
    <m/>
    <m/>
    <m/>
    <m/>
    <m/>
  </r>
  <r>
    <x v="37"/>
    <x v="4"/>
    <m/>
    <m/>
    <m/>
    <m/>
    <m/>
    <m/>
    <m/>
    <m/>
    <m/>
    <m/>
    <m/>
    <m/>
    <m/>
    <m/>
    <m/>
    <m/>
    <m/>
  </r>
  <r>
    <x v="37"/>
    <x v="5"/>
    <m/>
    <m/>
    <m/>
    <m/>
    <m/>
    <m/>
    <m/>
    <m/>
    <m/>
    <m/>
    <m/>
    <m/>
    <m/>
    <m/>
    <m/>
    <m/>
    <m/>
  </r>
  <r>
    <x v="37"/>
    <x v="6"/>
    <m/>
    <m/>
    <m/>
    <m/>
    <m/>
    <m/>
    <m/>
    <m/>
    <m/>
    <m/>
    <m/>
    <m/>
    <m/>
    <m/>
    <m/>
    <m/>
    <m/>
  </r>
  <r>
    <x v="37"/>
    <x v="7"/>
    <m/>
    <m/>
    <m/>
    <m/>
    <m/>
    <m/>
    <m/>
    <m/>
    <m/>
    <m/>
    <m/>
    <m/>
    <m/>
    <m/>
    <m/>
    <m/>
    <m/>
  </r>
  <r>
    <x v="37"/>
    <x v="8"/>
    <m/>
    <m/>
    <m/>
    <m/>
    <m/>
    <m/>
    <m/>
    <m/>
    <m/>
    <m/>
    <m/>
    <m/>
    <m/>
    <m/>
    <m/>
    <m/>
    <m/>
  </r>
  <r>
    <x v="37"/>
    <x v="9"/>
    <m/>
    <m/>
    <m/>
    <m/>
    <m/>
    <m/>
    <m/>
    <m/>
    <m/>
    <m/>
    <m/>
    <m/>
    <m/>
    <m/>
    <m/>
    <m/>
    <m/>
  </r>
  <r>
    <x v="37"/>
    <x v="10"/>
    <m/>
    <m/>
    <m/>
    <m/>
    <m/>
    <m/>
    <m/>
    <m/>
    <m/>
    <m/>
    <m/>
    <m/>
    <m/>
    <m/>
    <m/>
    <m/>
    <m/>
  </r>
  <r>
    <x v="37"/>
    <x v="11"/>
    <m/>
    <m/>
    <m/>
    <m/>
    <m/>
    <m/>
    <m/>
    <m/>
    <m/>
    <m/>
    <m/>
    <m/>
    <m/>
    <m/>
    <m/>
    <m/>
    <m/>
  </r>
  <r>
    <x v="37"/>
    <x v="12"/>
    <m/>
    <m/>
    <m/>
    <m/>
    <m/>
    <m/>
    <m/>
    <m/>
    <m/>
    <m/>
    <m/>
    <m/>
    <m/>
    <m/>
    <m/>
    <m/>
    <m/>
  </r>
  <r>
    <x v="37"/>
    <x v="13"/>
    <m/>
    <m/>
    <m/>
    <m/>
    <m/>
    <m/>
    <m/>
    <m/>
    <m/>
    <m/>
    <m/>
    <m/>
    <m/>
    <m/>
    <m/>
    <m/>
    <m/>
  </r>
  <r>
    <x v="37"/>
    <x v="14"/>
    <m/>
    <m/>
    <m/>
    <m/>
    <m/>
    <m/>
    <m/>
    <m/>
    <m/>
    <m/>
    <m/>
    <m/>
    <m/>
    <m/>
    <m/>
    <m/>
    <m/>
  </r>
  <r>
    <x v="37"/>
    <x v="15"/>
    <m/>
    <m/>
    <m/>
    <m/>
    <m/>
    <m/>
    <m/>
    <m/>
    <m/>
    <m/>
    <m/>
    <m/>
    <m/>
    <m/>
    <m/>
    <m/>
    <m/>
  </r>
  <r>
    <x v="37"/>
    <x v="16"/>
    <m/>
    <m/>
    <m/>
    <m/>
    <m/>
    <m/>
    <m/>
    <m/>
    <m/>
    <m/>
    <m/>
    <m/>
    <m/>
    <m/>
    <m/>
    <m/>
    <m/>
  </r>
  <r>
    <x v="37"/>
    <x v="17"/>
    <m/>
    <m/>
    <m/>
    <m/>
    <m/>
    <m/>
    <m/>
    <m/>
    <m/>
    <m/>
    <m/>
    <m/>
    <m/>
    <m/>
    <m/>
    <m/>
    <m/>
  </r>
  <r>
    <x v="37"/>
    <x v="18"/>
    <m/>
    <m/>
    <m/>
    <m/>
    <m/>
    <m/>
    <m/>
    <m/>
    <m/>
    <m/>
    <m/>
    <m/>
    <m/>
    <m/>
    <m/>
    <m/>
    <m/>
  </r>
  <r>
    <x v="37"/>
    <x v="19"/>
    <m/>
    <m/>
    <m/>
    <m/>
    <m/>
    <m/>
    <m/>
    <m/>
    <m/>
    <m/>
    <m/>
    <m/>
    <m/>
    <m/>
    <m/>
    <m/>
    <m/>
  </r>
  <r>
    <x v="37"/>
    <x v="20"/>
    <m/>
    <m/>
    <m/>
    <m/>
    <m/>
    <m/>
    <m/>
    <m/>
    <m/>
    <m/>
    <m/>
    <m/>
    <m/>
    <m/>
    <m/>
    <m/>
    <m/>
  </r>
  <r>
    <x v="37"/>
    <x v="21"/>
    <m/>
    <m/>
    <m/>
    <m/>
    <m/>
    <m/>
    <m/>
    <m/>
    <m/>
    <m/>
    <m/>
    <m/>
    <m/>
    <m/>
    <m/>
    <m/>
    <m/>
  </r>
  <r>
    <x v="37"/>
    <x v="22"/>
    <m/>
    <m/>
    <m/>
    <m/>
    <m/>
    <m/>
    <m/>
    <m/>
    <m/>
    <m/>
    <m/>
    <m/>
    <m/>
    <m/>
    <m/>
    <m/>
    <m/>
  </r>
  <r>
    <x v="37"/>
    <x v="23"/>
    <m/>
    <m/>
    <m/>
    <m/>
    <m/>
    <m/>
    <m/>
    <m/>
    <m/>
    <m/>
    <m/>
    <m/>
    <m/>
    <m/>
    <m/>
    <m/>
    <m/>
  </r>
  <r>
    <x v="37"/>
    <x v="24"/>
    <m/>
    <m/>
    <m/>
    <m/>
    <m/>
    <m/>
    <m/>
    <m/>
    <m/>
    <m/>
    <m/>
    <m/>
    <m/>
    <m/>
    <m/>
    <m/>
    <m/>
  </r>
  <r>
    <x v="37"/>
    <x v="25"/>
    <m/>
    <m/>
    <m/>
    <m/>
    <m/>
    <m/>
    <m/>
    <m/>
    <m/>
    <m/>
    <m/>
    <m/>
    <m/>
    <m/>
    <m/>
    <m/>
    <m/>
  </r>
  <r>
    <x v="37"/>
    <x v="26"/>
    <m/>
    <m/>
    <m/>
    <m/>
    <m/>
    <m/>
    <m/>
    <m/>
    <m/>
    <m/>
    <m/>
    <m/>
    <m/>
    <m/>
    <m/>
    <m/>
    <m/>
  </r>
  <r>
    <x v="37"/>
    <x v="27"/>
    <m/>
    <m/>
    <m/>
    <m/>
    <m/>
    <m/>
    <m/>
    <m/>
    <m/>
    <m/>
    <m/>
    <m/>
    <m/>
    <m/>
    <m/>
    <m/>
    <m/>
  </r>
  <r>
    <x v="37"/>
    <x v="28"/>
    <m/>
    <m/>
    <m/>
    <m/>
    <m/>
    <m/>
    <m/>
    <m/>
    <m/>
    <m/>
    <m/>
    <m/>
    <m/>
    <m/>
    <m/>
    <m/>
    <m/>
  </r>
  <r>
    <x v="37"/>
    <x v="29"/>
    <m/>
    <m/>
    <m/>
    <m/>
    <m/>
    <m/>
    <m/>
    <m/>
    <m/>
    <m/>
    <m/>
    <m/>
    <m/>
    <m/>
    <m/>
    <m/>
    <m/>
  </r>
  <r>
    <x v="37"/>
    <x v="30"/>
    <m/>
    <m/>
    <m/>
    <m/>
    <m/>
    <m/>
    <m/>
    <m/>
    <m/>
    <m/>
    <m/>
    <m/>
    <m/>
    <m/>
    <m/>
    <m/>
    <m/>
  </r>
  <r>
    <x v="37"/>
    <x v="31"/>
    <m/>
    <m/>
    <m/>
    <m/>
    <m/>
    <m/>
    <m/>
    <m/>
    <m/>
    <m/>
    <m/>
    <m/>
    <m/>
    <m/>
    <m/>
    <m/>
    <m/>
  </r>
  <r>
    <x v="37"/>
    <x v="32"/>
    <m/>
    <m/>
    <m/>
    <m/>
    <m/>
    <m/>
    <m/>
    <m/>
    <m/>
    <m/>
    <m/>
    <m/>
    <m/>
    <m/>
    <m/>
    <m/>
    <m/>
  </r>
  <r>
    <x v="37"/>
    <x v="33"/>
    <m/>
    <m/>
    <m/>
    <m/>
    <m/>
    <m/>
    <m/>
    <m/>
    <m/>
    <m/>
    <m/>
    <m/>
    <m/>
    <m/>
    <m/>
    <m/>
    <m/>
  </r>
  <r>
    <x v="37"/>
    <x v="34"/>
    <m/>
    <m/>
    <m/>
    <m/>
    <m/>
    <m/>
    <m/>
    <m/>
    <m/>
    <m/>
    <m/>
    <m/>
    <m/>
    <m/>
    <m/>
    <m/>
    <m/>
  </r>
  <r>
    <x v="37"/>
    <x v="35"/>
    <m/>
    <m/>
    <m/>
    <m/>
    <m/>
    <m/>
    <m/>
    <m/>
    <m/>
    <m/>
    <m/>
    <m/>
    <m/>
    <m/>
    <m/>
    <m/>
    <m/>
  </r>
  <r>
    <x v="37"/>
    <x v="36"/>
    <m/>
    <m/>
    <m/>
    <m/>
    <m/>
    <m/>
    <m/>
    <m/>
    <m/>
    <m/>
    <m/>
    <m/>
    <m/>
    <m/>
    <m/>
    <m/>
    <m/>
  </r>
  <r>
    <x v="37"/>
    <x v="37"/>
    <m/>
    <m/>
    <m/>
    <m/>
    <m/>
    <m/>
    <m/>
    <m/>
    <m/>
    <m/>
    <m/>
    <m/>
    <m/>
    <m/>
    <m/>
    <m/>
    <m/>
  </r>
  <r>
    <x v="37"/>
    <x v="38"/>
    <m/>
    <m/>
    <m/>
    <m/>
    <m/>
    <m/>
    <m/>
    <m/>
    <m/>
    <m/>
    <m/>
    <m/>
    <m/>
    <m/>
    <m/>
    <m/>
    <m/>
  </r>
  <r>
    <x v="37"/>
    <x v="39"/>
    <m/>
    <m/>
    <m/>
    <m/>
    <m/>
    <m/>
    <m/>
    <m/>
    <m/>
    <m/>
    <m/>
    <m/>
    <m/>
    <m/>
    <m/>
    <m/>
    <m/>
  </r>
  <r>
    <x v="37"/>
    <x v="40"/>
    <m/>
    <m/>
    <m/>
    <m/>
    <m/>
    <m/>
    <m/>
    <m/>
    <m/>
    <m/>
    <m/>
    <m/>
    <m/>
    <m/>
    <m/>
    <m/>
    <m/>
  </r>
  <r>
    <x v="37"/>
    <x v="41"/>
    <m/>
    <m/>
    <m/>
    <m/>
    <m/>
    <m/>
    <m/>
    <m/>
    <m/>
    <m/>
    <m/>
    <m/>
    <m/>
    <m/>
    <m/>
    <m/>
    <m/>
  </r>
  <r>
    <x v="37"/>
    <x v="42"/>
    <m/>
    <m/>
    <m/>
    <m/>
    <m/>
    <m/>
    <m/>
    <m/>
    <m/>
    <m/>
    <m/>
    <m/>
    <m/>
    <m/>
    <m/>
    <m/>
    <m/>
  </r>
  <r>
    <x v="37"/>
    <x v="43"/>
    <m/>
    <m/>
    <m/>
    <m/>
    <m/>
    <m/>
    <m/>
    <m/>
    <m/>
    <m/>
    <m/>
    <m/>
    <m/>
    <m/>
    <m/>
    <m/>
    <m/>
  </r>
  <r>
    <x v="37"/>
    <x v="44"/>
    <m/>
    <m/>
    <m/>
    <m/>
    <m/>
    <m/>
    <m/>
    <m/>
    <m/>
    <m/>
    <m/>
    <m/>
    <m/>
    <m/>
    <m/>
    <m/>
    <m/>
  </r>
  <r>
    <x v="37"/>
    <x v="45"/>
    <m/>
    <m/>
    <m/>
    <m/>
    <m/>
    <m/>
    <m/>
    <m/>
    <m/>
    <m/>
    <m/>
    <m/>
    <m/>
    <m/>
    <m/>
    <m/>
    <m/>
  </r>
  <r>
    <x v="37"/>
    <x v="46"/>
    <m/>
    <m/>
    <m/>
    <m/>
    <m/>
    <m/>
    <m/>
    <m/>
    <m/>
    <m/>
    <m/>
    <m/>
    <m/>
    <m/>
    <m/>
    <m/>
    <m/>
  </r>
  <r>
    <x v="37"/>
    <x v="47"/>
    <m/>
    <m/>
    <m/>
    <m/>
    <m/>
    <m/>
    <m/>
    <m/>
    <m/>
    <m/>
    <m/>
    <m/>
    <m/>
    <m/>
    <m/>
    <m/>
    <m/>
  </r>
  <r>
    <x v="37"/>
    <x v="48"/>
    <m/>
    <m/>
    <m/>
    <m/>
    <m/>
    <m/>
    <m/>
    <m/>
    <m/>
    <m/>
    <m/>
    <m/>
    <m/>
    <m/>
    <m/>
    <m/>
    <m/>
  </r>
  <r>
    <x v="37"/>
    <x v="49"/>
    <m/>
    <m/>
    <m/>
    <m/>
    <m/>
    <m/>
    <m/>
    <m/>
    <m/>
    <m/>
    <m/>
    <m/>
    <m/>
    <m/>
    <m/>
    <m/>
    <m/>
  </r>
  <r>
    <x v="37"/>
    <x v="50"/>
    <m/>
    <m/>
    <m/>
    <m/>
    <m/>
    <m/>
    <m/>
    <m/>
    <m/>
    <m/>
    <m/>
    <m/>
    <m/>
    <m/>
    <m/>
    <m/>
    <m/>
  </r>
  <r>
    <x v="37"/>
    <x v="51"/>
    <m/>
    <m/>
    <m/>
    <m/>
    <m/>
    <m/>
    <m/>
    <m/>
    <m/>
    <m/>
    <m/>
    <m/>
    <m/>
    <m/>
    <m/>
    <m/>
    <m/>
  </r>
  <r>
    <x v="38"/>
    <x v="0"/>
    <m/>
    <m/>
    <m/>
    <m/>
    <m/>
    <m/>
    <m/>
    <m/>
    <m/>
    <m/>
    <m/>
    <m/>
    <m/>
    <m/>
    <m/>
    <m/>
    <m/>
  </r>
  <r>
    <x v="38"/>
    <x v="1"/>
    <m/>
    <m/>
    <m/>
    <m/>
    <m/>
    <m/>
    <m/>
    <n v="15"/>
    <n v="1"/>
    <m/>
    <m/>
    <m/>
    <n v="4"/>
    <n v="3"/>
    <n v="2"/>
    <m/>
    <m/>
  </r>
  <r>
    <x v="38"/>
    <x v="2"/>
    <m/>
    <m/>
    <m/>
    <m/>
    <m/>
    <m/>
    <m/>
    <n v="8"/>
    <n v="1"/>
    <m/>
    <m/>
    <m/>
    <m/>
    <m/>
    <m/>
    <m/>
    <m/>
  </r>
  <r>
    <x v="38"/>
    <x v="3"/>
    <n v="4"/>
    <n v="2"/>
    <n v="3"/>
    <n v="2"/>
    <n v="4"/>
    <n v="2"/>
    <n v="12"/>
    <n v="10"/>
    <n v="10"/>
    <n v="5"/>
    <n v="7"/>
    <n v="12"/>
    <m/>
    <n v="14"/>
    <n v="2"/>
    <m/>
    <m/>
  </r>
  <r>
    <x v="38"/>
    <x v="4"/>
    <n v="3"/>
    <n v="1"/>
    <n v="2"/>
    <n v="1"/>
    <n v="3"/>
    <n v="1"/>
    <n v="40"/>
    <n v="44"/>
    <n v="14"/>
    <n v="9"/>
    <n v="10"/>
    <n v="17"/>
    <n v="13"/>
    <n v="30"/>
    <n v="13"/>
    <m/>
    <m/>
  </r>
  <r>
    <x v="38"/>
    <x v="5"/>
    <m/>
    <m/>
    <m/>
    <m/>
    <m/>
    <m/>
    <m/>
    <m/>
    <m/>
    <m/>
    <m/>
    <m/>
    <m/>
    <m/>
    <m/>
    <m/>
    <m/>
  </r>
  <r>
    <x v="38"/>
    <x v="6"/>
    <m/>
    <m/>
    <m/>
    <m/>
    <m/>
    <m/>
    <m/>
    <m/>
    <m/>
    <m/>
    <m/>
    <m/>
    <m/>
    <m/>
    <m/>
    <m/>
    <m/>
  </r>
  <r>
    <x v="38"/>
    <x v="7"/>
    <m/>
    <m/>
    <m/>
    <m/>
    <m/>
    <m/>
    <m/>
    <m/>
    <m/>
    <m/>
    <m/>
    <m/>
    <m/>
    <m/>
    <m/>
    <m/>
    <m/>
  </r>
  <r>
    <x v="38"/>
    <x v="8"/>
    <m/>
    <m/>
    <m/>
    <m/>
    <m/>
    <m/>
    <n v="40"/>
    <m/>
    <m/>
    <m/>
    <m/>
    <m/>
    <m/>
    <n v="50"/>
    <n v="6"/>
    <m/>
    <m/>
  </r>
  <r>
    <x v="38"/>
    <x v="9"/>
    <m/>
    <m/>
    <m/>
    <m/>
    <m/>
    <m/>
    <n v="2"/>
    <m/>
    <m/>
    <m/>
    <n v="2"/>
    <n v="2"/>
    <n v="2"/>
    <m/>
    <n v="2"/>
    <n v="2"/>
    <m/>
  </r>
  <r>
    <x v="38"/>
    <x v="10"/>
    <m/>
    <m/>
    <m/>
    <m/>
    <m/>
    <m/>
    <m/>
    <m/>
    <m/>
    <m/>
    <m/>
    <m/>
    <m/>
    <m/>
    <m/>
    <m/>
    <m/>
  </r>
  <r>
    <x v="38"/>
    <x v="11"/>
    <m/>
    <m/>
    <m/>
    <m/>
    <m/>
    <m/>
    <n v="1"/>
    <m/>
    <m/>
    <m/>
    <m/>
    <m/>
    <n v="1"/>
    <m/>
    <m/>
    <m/>
    <m/>
  </r>
  <r>
    <x v="38"/>
    <x v="12"/>
    <m/>
    <m/>
    <m/>
    <m/>
    <m/>
    <m/>
    <n v="25"/>
    <n v="12"/>
    <m/>
    <m/>
    <m/>
    <n v="12"/>
    <m/>
    <n v="30"/>
    <m/>
    <m/>
    <m/>
  </r>
  <r>
    <x v="38"/>
    <x v="13"/>
    <m/>
    <m/>
    <m/>
    <m/>
    <m/>
    <m/>
    <m/>
    <m/>
    <m/>
    <m/>
    <m/>
    <m/>
    <m/>
    <m/>
    <m/>
    <m/>
    <m/>
  </r>
  <r>
    <x v="38"/>
    <x v="14"/>
    <m/>
    <m/>
    <m/>
    <m/>
    <m/>
    <m/>
    <m/>
    <m/>
    <m/>
    <m/>
    <m/>
    <m/>
    <m/>
    <m/>
    <m/>
    <m/>
    <m/>
  </r>
  <r>
    <x v="38"/>
    <x v="15"/>
    <m/>
    <m/>
    <m/>
    <m/>
    <m/>
    <m/>
    <n v="8"/>
    <n v="4"/>
    <m/>
    <n v="6"/>
    <m/>
    <m/>
    <n v="2"/>
    <n v="10"/>
    <n v="2"/>
    <m/>
    <m/>
  </r>
  <r>
    <x v="38"/>
    <x v="16"/>
    <m/>
    <m/>
    <m/>
    <m/>
    <m/>
    <m/>
    <m/>
    <m/>
    <m/>
    <m/>
    <m/>
    <m/>
    <m/>
    <m/>
    <m/>
    <m/>
    <m/>
  </r>
  <r>
    <x v="38"/>
    <x v="17"/>
    <m/>
    <m/>
    <m/>
    <m/>
    <m/>
    <m/>
    <m/>
    <m/>
    <m/>
    <m/>
    <m/>
    <m/>
    <m/>
    <m/>
    <m/>
    <m/>
    <m/>
  </r>
  <r>
    <x v="38"/>
    <x v="18"/>
    <m/>
    <m/>
    <m/>
    <m/>
    <m/>
    <m/>
    <m/>
    <m/>
    <m/>
    <m/>
    <m/>
    <m/>
    <m/>
    <m/>
    <m/>
    <m/>
    <m/>
  </r>
  <r>
    <x v="38"/>
    <x v="19"/>
    <m/>
    <m/>
    <m/>
    <m/>
    <m/>
    <m/>
    <m/>
    <m/>
    <m/>
    <m/>
    <m/>
    <m/>
    <m/>
    <m/>
    <m/>
    <m/>
    <m/>
  </r>
  <r>
    <x v="38"/>
    <x v="20"/>
    <m/>
    <m/>
    <m/>
    <m/>
    <m/>
    <m/>
    <m/>
    <m/>
    <m/>
    <m/>
    <m/>
    <m/>
    <m/>
    <m/>
    <m/>
    <m/>
    <m/>
  </r>
  <r>
    <x v="38"/>
    <x v="21"/>
    <m/>
    <m/>
    <m/>
    <m/>
    <m/>
    <m/>
    <m/>
    <m/>
    <m/>
    <m/>
    <m/>
    <m/>
    <m/>
    <m/>
    <m/>
    <m/>
    <m/>
  </r>
  <r>
    <x v="38"/>
    <x v="22"/>
    <m/>
    <m/>
    <m/>
    <m/>
    <m/>
    <m/>
    <m/>
    <m/>
    <m/>
    <m/>
    <m/>
    <m/>
    <m/>
    <m/>
    <m/>
    <m/>
    <m/>
  </r>
  <r>
    <x v="38"/>
    <x v="23"/>
    <m/>
    <m/>
    <m/>
    <m/>
    <m/>
    <m/>
    <m/>
    <m/>
    <m/>
    <m/>
    <m/>
    <m/>
    <m/>
    <m/>
    <m/>
    <m/>
    <m/>
  </r>
  <r>
    <x v="38"/>
    <x v="24"/>
    <m/>
    <m/>
    <m/>
    <m/>
    <m/>
    <m/>
    <n v="1"/>
    <m/>
    <m/>
    <m/>
    <n v="1"/>
    <n v="1"/>
    <n v="1"/>
    <m/>
    <n v="1"/>
    <n v="1"/>
    <m/>
  </r>
  <r>
    <x v="38"/>
    <x v="25"/>
    <m/>
    <m/>
    <m/>
    <m/>
    <m/>
    <m/>
    <n v="30"/>
    <m/>
    <m/>
    <m/>
    <n v="18"/>
    <m/>
    <m/>
    <n v="23"/>
    <n v="6"/>
    <m/>
    <m/>
  </r>
  <r>
    <x v="38"/>
    <x v="26"/>
    <m/>
    <m/>
    <m/>
    <m/>
    <m/>
    <m/>
    <m/>
    <m/>
    <m/>
    <m/>
    <m/>
    <m/>
    <m/>
    <m/>
    <m/>
    <m/>
    <m/>
  </r>
  <r>
    <x v="38"/>
    <x v="27"/>
    <m/>
    <m/>
    <m/>
    <m/>
    <m/>
    <m/>
    <m/>
    <m/>
    <m/>
    <m/>
    <m/>
    <m/>
    <m/>
    <m/>
    <m/>
    <m/>
    <m/>
  </r>
  <r>
    <x v="38"/>
    <x v="28"/>
    <m/>
    <m/>
    <m/>
    <m/>
    <m/>
    <m/>
    <m/>
    <m/>
    <m/>
    <m/>
    <m/>
    <m/>
    <m/>
    <m/>
    <m/>
    <m/>
    <m/>
  </r>
  <r>
    <x v="38"/>
    <x v="29"/>
    <m/>
    <m/>
    <m/>
    <m/>
    <m/>
    <m/>
    <m/>
    <m/>
    <m/>
    <m/>
    <m/>
    <m/>
    <m/>
    <m/>
    <m/>
    <m/>
    <m/>
  </r>
  <r>
    <x v="38"/>
    <x v="30"/>
    <m/>
    <m/>
    <m/>
    <m/>
    <m/>
    <m/>
    <m/>
    <m/>
    <m/>
    <m/>
    <m/>
    <m/>
    <m/>
    <m/>
    <m/>
    <m/>
    <m/>
  </r>
  <r>
    <x v="38"/>
    <x v="31"/>
    <m/>
    <m/>
    <m/>
    <m/>
    <m/>
    <m/>
    <n v="5"/>
    <m/>
    <m/>
    <m/>
    <m/>
    <m/>
    <m/>
    <m/>
    <m/>
    <m/>
    <m/>
  </r>
  <r>
    <x v="38"/>
    <x v="32"/>
    <m/>
    <m/>
    <m/>
    <m/>
    <m/>
    <m/>
    <n v="1"/>
    <m/>
    <m/>
    <m/>
    <m/>
    <m/>
    <n v="1"/>
    <m/>
    <m/>
    <m/>
    <m/>
  </r>
  <r>
    <x v="38"/>
    <x v="33"/>
    <m/>
    <m/>
    <m/>
    <m/>
    <m/>
    <m/>
    <m/>
    <m/>
    <m/>
    <m/>
    <m/>
    <m/>
    <m/>
    <m/>
    <m/>
    <m/>
    <m/>
  </r>
  <r>
    <x v="38"/>
    <x v="34"/>
    <m/>
    <m/>
    <m/>
    <m/>
    <m/>
    <m/>
    <n v="3"/>
    <m/>
    <m/>
    <m/>
    <m/>
    <m/>
    <n v="3"/>
    <m/>
    <m/>
    <m/>
    <m/>
  </r>
  <r>
    <x v="38"/>
    <x v="35"/>
    <n v="4"/>
    <n v="6"/>
    <n v="3"/>
    <n v="5"/>
    <n v="4"/>
    <n v="6"/>
    <n v="30"/>
    <n v="14"/>
    <m/>
    <n v="4"/>
    <n v="6"/>
    <n v="18"/>
    <m/>
    <n v="30"/>
    <n v="4"/>
    <n v="8"/>
    <m/>
  </r>
  <r>
    <x v="38"/>
    <x v="36"/>
    <m/>
    <m/>
    <m/>
    <m/>
    <m/>
    <m/>
    <n v="4"/>
    <m/>
    <m/>
    <m/>
    <n v="4"/>
    <n v="4"/>
    <n v="4"/>
    <n v="1"/>
    <n v="4"/>
    <n v="4"/>
    <m/>
  </r>
  <r>
    <x v="38"/>
    <x v="37"/>
    <m/>
    <m/>
    <m/>
    <m/>
    <m/>
    <m/>
    <m/>
    <m/>
    <m/>
    <m/>
    <m/>
    <m/>
    <m/>
    <m/>
    <m/>
    <m/>
    <m/>
  </r>
  <r>
    <x v="38"/>
    <x v="38"/>
    <m/>
    <m/>
    <m/>
    <m/>
    <m/>
    <m/>
    <m/>
    <m/>
    <m/>
    <m/>
    <m/>
    <m/>
    <m/>
    <m/>
    <m/>
    <m/>
    <m/>
  </r>
  <r>
    <x v="38"/>
    <x v="39"/>
    <m/>
    <m/>
    <m/>
    <m/>
    <m/>
    <m/>
    <m/>
    <m/>
    <m/>
    <m/>
    <m/>
    <m/>
    <m/>
    <m/>
    <m/>
    <m/>
    <m/>
  </r>
  <r>
    <x v="38"/>
    <x v="40"/>
    <m/>
    <m/>
    <m/>
    <m/>
    <m/>
    <m/>
    <m/>
    <m/>
    <m/>
    <m/>
    <m/>
    <m/>
    <m/>
    <m/>
    <m/>
    <m/>
    <m/>
  </r>
  <r>
    <x v="38"/>
    <x v="41"/>
    <m/>
    <m/>
    <m/>
    <m/>
    <m/>
    <m/>
    <m/>
    <m/>
    <m/>
    <m/>
    <m/>
    <m/>
    <m/>
    <m/>
    <m/>
    <m/>
    <m/>
  </r>
  <r>
    <x v="38"/>
    <x v="42"/>
    <n v="35"/>
    <n v="30"/>
    <n v="15"/>
    <n v="15"/>
    <n v="15"/>
    <n v="15"/>
    <n v="160"/>
    <n v="20"/>
    <m/>
    <n v="30"/>
    <n v="30"/>
    <n v="30"/>
    <m/>
    <n v="100"/>
    <m/>
    <m/>
    <m/>
  </r>
  <r>
    <x v="38"/>
    <x v="43"/>
    <m/>
    <m/>
    <m/>
    <m/>
    <m/>
    <m/>
    <n v="1"/>
    <m/>
    <m/>
    <m/>
    <m/>
    <m/>
    <n v="1"/>
    <m/>
    <m/>
    <m/>
    <m/>
  </r>
  <r>
    <x v="38"/>
    <x v="44"/>
    <m/>
    <m/>
    <m/>
    <m/>
    <m/>
    <m/>
    <n v="20"/>
    <n v="10"/>
    <m/>
    <m/>
    <n v="10"/>
    <n v="10"/>
    <m/>
    <n v="20"/>
    <m/>
    <m/>
    <m/>
  </r>
  <r>
    <x v="38"/>
    <x v="45"/>
    <m/>
    <m/>
    <m/>
    <m/>
    <m/>
    <m/>
    <m/>
    <m/>
    <m/>
    <m/>
    <m/>
    <m/>
    <m/>
    <m/>
    <m/>
    <m/>
    <m/>
  </r>
  <r>
    <x v="38"/>
    <x v="46"/>
    <m/>
    <m/>
    <m/>
    <m/>
    <m/>
    <m/>
    <m/>
    <m/>
    <m/>
    <m/>
    <m/>
    <m/>
    <m/>
    <m/>
    <m/>
    <n v="2"/>
    <m/>
  </r>
  <r>
    <x v="38"/>
    <x v="47"/>
    <m/>
    <m/>
    <m/>
    <m/>
    <m/>
    <m/>
    <m/>
    <m/>
    <m/>
    <m/>
    <m/>
    <m/>
    <m/>
    <m/>
    <m/>
    <m/>
    <m/>
  </r>
  <r>
    <x v="38"/>
    <x v="48"/>
    <m/>
    <m/>
    <m/>
    <m/>
    <m/>
    <m/>
    <m/>
    <m/>
    <m/>
    <m/>
    <m/>
    <m/>
    <m/>
    <m/>
    <m/>
    <m/>
    <m/>
  </r>
  <r>
    <x v="38"/>
    <x v="49"/>
    <m/>
    <m/>
    <m/>
    <m/>
    <m/>
    <m/>
    <m/>
    <m/>
    <m/>
    <m/>
    <m/>
    <m/>
    <m/>
    <m/>
    <m/>
    <m/>
    <m/>
  </r>
  <r>
    <x v="38"/>
    <x v="50"/>
    <m/>
    <m/>
    <m/>
    <m/>
    <m/>
    <m/>
    <n v="1"/>
    <m/>
    <m/>
    <m/>
    <m/>
    <m/>
    <n v="1"/>
    <m/>
    <m/>
    <m/>
    <m/>
  </r>
  <r>
    <x v="38"/>
    <x v="51"/>
    <n v="4"/>
    <n v="4"/>
    <n v="4"/>
    <m/>
    <m/>
    <m/>
    <n v="45"/>
    <n v="10"/>
    <m/>
    <m/>
    <m/>
    <n v="14"/>
    <n v="4"/>
    <n v="34"/>
    <n v="2"/>
    <n v="4"/>
    <m/>
  </r>
  <r>
    <x v="39"/>
    <x v="0"/>
    <m/>
    <m/>
    <m/>
    <m/>
    <m/>
    <m/>
    <n v="1"/>
    <m/>
    <m/>
    <m/>
    <m/>
    <m/>
    <m/>
    <m/>
    <n v="1"/>
    <m/>
    <m/>
  </r>
  <r>
    <x v="39"/>
    <x v="1"/>
    <m/>
    <m/>
    <m/>
    <m/>
    <m/>
    <m/>
    <m/>
    <m/>
    <m/>
    <m/>
    <m/>
    <m/>
    <m/>
    <m/>
    <m/>
    <m/>
    <m/>
  </r>
  <r>
    <x v="39"/>
    <x v="2"/>
    <m/>
    <m/>
    <m/>
    <m/>
    <m/>
    <m/>
    <m/>
    <m/>
    <m/>
    <m/>
    <m/>
    <m/>
    <m/>
    <m/>
    <m/>
    <m/>
    <m/>
  </r>
  <r>
    <x v="39"/>
    <x v="3"/>
    <m/>
    <m/>
    <m/>
    <m/>
    <m/>
    <m/>
    <m/>
    <n v="1"/>
    <n v="1"/>
    <m/>
    <n v="1"/>
    <n v="2"/>
    <n v="2"/>
    <n v="1"/>
    <n v="2"/>
    <n v="3"/>
    <m/>
  </r>
  <r>
    <x v="39"/>
    <x v="4"/>
    <m/>
    <m/>
    <m/>
    <m/>
    <m/>
    <m/>
    <m/>
    <n v="1"/>
    <n v="2"/>
    <m/>
    <n v="1"/>
    <n v="1"/>
    <n v="2"/>
    <n v="0"/>
    <n v="2"/>
    <n v="2"/>
    <m/>
  </r>
  <r>
    <x v="39"/>
    <x v="5"/>
    <m/>
    <m/>
    <m/>
    <m/>
    <m/>
    <m/>
    <m/>
    <m/>
    <m/>
    <m/>
    <m/>
    <m/>
    <m/>
    <m/>
    <m/>
    <m/>
    <m/>
  </r>
  <r>
    <x v="39"/>
    <x v="6"/>
    <m/>
    <m/>
    <m/>
    <m/>
    <m/>
    <m/>
    <m/>
    <m/>
    <m/>
    <m/>
    <m/>
    <m/>
    <m/>
    <m/>
    <m/>
    <m/>
    <m/>
  </r>
  <r>
    <x v="39"/>
    <x v="7"/>
    <m/>
    <m/>
    <m/>
    <m/>
    <m/>
    <m/>
    <m/>
    <m/>
    <m/>
    <m/>
    <m/>
    <m/>
    <m/>
    <m/>
    <m/>
    <m/>
    <m/>
  </r>
  <r>
    <x v="39"/>
    <x v="8"/>
    <m/>
    <m/>
    <m/>
    <m/>
    <m/>
    <m/>
    <m/>
    <m/>
    <m/>
    <m/>
    <m/>
    <m/>
    <m/>
    <m/>
    <m/>
    <m/>
    <m/>
  </r>
  <r>
    <x v="39"/>
    <x v="9"/>
    <m/>
    <m/>
    <m/>
    <m/>
    <m/>
    <m/>
    <m/>
    <m/>
    <m/>
    <m/>
    <m/>
    <m/>
    <m/>
    <m/>
    <m/>
    <m/>
    <m/>
  </r>
  <r>
    <x v="39"/>
    <x v="10"/>
    <m/>
    <m/>
    <m/>
    <m/>
    <m/>
    <m/>
    <m/>
    <m/>
    <m/>
    <m/>
    <m/>
    <m/>
    <m/>
    <m/>
    <m/>
    <m/>
    <m/>
  </r>
  <r>
    <x v="39"/>
    <x v="11"/>
    <m/>
    <m/>
    <m/>
    <m/>
    <m/>
    <m/>
    <m/>
    <m/>
    <m/>
    <m/>
    <m/>
    <m/>
    <m/>
    <m/>
    <m/>
    <m/>
    <m/>
  </r>
  <r>
    <x v="39"/>
    <x v="12"/>
    <m/>
    <m/>
    <m/>
    <m/>
    <m/>
    <m/>
    <m/>
    <m/>
    <m/>
    <m/>
    <m/>
    <m/>
    <m/>
    <m/>
    <m/>
    <m/>
    <m/>
  </r>
  <r>
    <x v="39"/>
    <x v="13"/>
    <m/>
    <m/>
    <m/>
    <m/>
    <m/>
    <m/>
    <m/>
    <m/>
    <m/>
    <m/>
    <m/>
    <m/>
    <m/>
    <m/>
    <m/>
    <m/>
    <m/>
  </r>
  <r>
    <x v="39"/>
    <x v="14"/>
    <m/>
    <m/>
    <m/>
    <m/>
    <m/>
    <m/>
    <m/>
    <m/>
    <m/>
    <m/>
    <m/>
    <m/>
    <m/>
    <m/>
    <m/>
    <m/>
    <m/>
  </r>
  <r>
    <x v="39"/>
    <x v="15"/>
    <m/>
    <m/>
    <m/>
    <m/>
    <m/>
    <m/>
    <m/>
    <m/>
    <m/>
    <m/>
    <m/>
    <m/>
    <m/>
    <m/>
    <m/>
    <m/>
    <m/>
  </r>
  <r>
    <x v="39"/>
    <x v="16"/>
    <m/>
    <m/>
    <m/>
    <m/>
    <m/>
    <m/>
    <m/>
    <m/>
    <m/>
    <m/>
    <m/>
    <m/>
    <m/>
    <m/>
    <m/>
    <m/>
    <m/>
  </r>
  <r>
    <x v="39"/>
    <x v="17"/>
    <m/>
    <m/>
    <m/>
    <m/>
    <m/>
    <m/>
    <m/>
    <m/>
    <m/>
    <m/>
    <m/>
    <m/>
    <m/>
    <m/>
    <m/>
    <m/>
    <m/>
  </r>
  <r>
    <x v="39"/>
    <x v="18"/>
    <m/>
    <m/>
    <m/>
    <m/>
    <m/>
    <m/>
    <m/>
    <m/>
    <m/>
    <m/>
    <m/>
    <m/>
    <m/>
    <m/>
    <m/>
    <m/>
    <m/>
  </r>
  <r>
    <x v="39"/>
    <x v="19"/>
    <m/>
    <m/>
    <m/>
    <m/>
    <m/>
    <m/>
    <m/>
    <m/>
    <m/>
    <m/>
    <m/>
    <m/>
    <m/>
    <m/>
    <m/>
    <m/>
    <m/>
  </r>
  <r>
    <x v="39"/>
    <x v="20"/>
    <m/>
    <m/>
    <m/>
    <m/>
    <m/>
    <m/>
    <m/>
    <m/>
    <m/>
    <m/>
    <m/>
    <m/>
    <m/>
    <m/>
    <m/>
    <m/>
    <m/>
  </r>
  <r>
    <x v="39"/>
    <x v="21"/>
    <m/>
    <m/>
    <m/>
    <m/>
    <m/>
    <m/>
    <m/>
    <m/>
    <m/>
    <m/>
    <m/>
    <m/>
    <m/>
    <m/>
    <m/>
    <m/>
    <m/>
  </r>
  <r>
    <x v="39"/>
    <x v="22"/>
    <m/>
    <m/>
    <m/>
    <m/>
    <m/>
    <m/>
    <m/>
    <m/>
    <n v="1"/>
    <m/>
    <n v="1"/>
    <n v="1"/>
    <n v="3"/>
    <n v="1"/>
    <n v="3"/>
    <n v="2"/>
    <m/>
  </r>
  <r>
    <x v="39"/>
    <x v="23"/>
    <m/>
    <m/>
    <m/>
    <m/>
    <m/>
    <m/>
    <m/>
    <m/>
    <m/>
    <m/>
    <m/>
    <m/>
    <m/>
    <m/>
    <m/>
    <m/>
    <m/>
  </r>
  <r>
    <x v="39"/>
    <x v="24"/>
    <m/>
    <m/>
    <m/>
    <m/>
    <m/>
    <m/>
    <m/>
    <m/>
    <m/>
    <m/>
    <m/>
    <m/>
    <m/>
    <m/>
    <m/>
    <m/>
    <m/>
  </r>
  <r>
    <x v="39"/>
    <x v="25"/>
    <m/>
    <m/>
    <m/>
    <m/>
    <m/>
    <m/>
    <m/>
    <m/>
    <m/>
    <m/>
    <m/>
    <m/>
    <m/>
    <m/>
    <m/>
    <m/>
    <m/>
  </r>
  <r>
    <x v="39"/>
    <x v="26"/>
    <m/>
    <m/>
    <m/>
    <m/>
    <m/>
    <m/>
    <m/>
    <m/>
    <m/>
    <m/>
    <m/>
    <m/>
    <m/>
    <m/>
    <m/>
    <m/>
    <m/>
  </r>
  <r>
    <x v="39"/>
    <x v="27"/>
    <m/>
    <m/>
    <m/>
    <m/>
    <m/>
    <m/>
    <m/>
    <m/>
    <m/>
    <m/>
    <m/>
    <m/>
    <m/>
    <m/>
    <m/>
    <m/>
    <m/>
  </r>
  <r>
    <x v="39"/>
    <x v="28"/>
    <m/>
    <m/>
    <m/>
    <m/>
    <m/>
    <m/>
    <m/>
    <m/>
    <m/>
    <m/>
    <m/>
    <m/>
    <m/>
    <m/>
    <m/>
    <m/>
    <m/>
  </r>
  <r>
    <x v="39"/>
    <x v="29"/>
    <m/>
    <m/>
    <m/>
    <m/>
    <m/>
    <m/>
    <m/>
    <m/>
    <m/>
    <m/>
    <m/>
    <m/>
    <m/>
    <m/>
    <m/>
    <m/>
    <m/>
  </r>
  <r>
    <x v="39"/>
    <x v="30"/>
    <m/>
    <m/>
    <m/>
    <m/>
    <m/>
    <m/>
    <m/>
    <m/>
    <m/>
    <m/>
    <m/>
    <m/>
    <m/>
    <m/>
    <m/>
    <m/>
    <m/>
  </r>
  <r>
    <x v="39"/>
    <x v="31"/>
    <m/>
    <m/>
    <m/>
    <m/>
    <m/>
    <m/>
    <m/>
    <m/>
    <m/>
    <m/>
    <m/>
    <m/>
    <m/>
    <m/>
    <m/>
    <m/>
    <m/>
  </r>
  <r>
    <x v="39"/>
    <x v="32"/>
    <m/>
    <m/>
    <m/>
    <m/>
    <m/>
    <m/>
    <m/>
    <m/>
    <m/>
    <m/>
    <m/>
    <m/>
    <m/>
    <m/>
    <m/>
    <m/>
    <m/>
  </r>
  <r>
    <x v="39"/>
    <x v="33"/>
    <m/>
    <m/>
    <m/>
    <m/>
    <m/>
    <m/>
    <m/>
    <m/>
    <m/>
    <m/>
    <m/>
    <m/>
    <m/>
    <m/>
    <m/>
    <m/>
    <m/>
  </r>
  <r>
    <x v="39"/>
    <x v="34"/>
    <m/>
    <m/>
    <m/>
    <m/>
    <m/>
    <m/>
    <m/>
    <m/>
    <m/>
    <m/>
    <m/>
    <m/>
    <m/>
    <m/>
    <m/>
    <m/>
    <m/>
  </r>
  <r>
    <x v="39"/>
    <x v="35"/>
    <m/>
    <m/>
    <m/>
    <m/>
    <m/>
    <m/>
    <m/>
    <m/>
    <m/>
    <m/>
    <m/>
    <m/>
    <m/>
    <m/>
    <m/>
    <m/>
    <m/>
  </r>
  <r>
    <x v="39"/>
    <x v="36"/>
    <m/>
    <m/>
    <m/>
    <m/>
    <m/>
    <m/>
    <m/>
    <m/>
    <m/>
    <m/>
    <m/>
    <m/>
    <m/>
    <m/>
    <m/>
    <m/>
    <m/>
  </r>
  <r>
    <x v="39"/>
    <x v="37"/>
    <m/>
    <m/>
    <m/>
    <m/>
    <m/>
    <m/>
    <m/>
    <m/>
    <m/>
    <m/>
    <m/>
    <m/>
    <m/>
    <m/>
    <m/>
    <m/>
    <m/>
  </r>
  <r>
    <x v="39"/>
    <x v="38"/>
    <m/>
    <m/>
    <m/>
    <m/>
    <m/>
    <m/>
    <m/>
    <m/>
    <m/>
    <m/>
    <m/>
    <m/>
    <m/>
    <m/>
    <m/>
    <m/>
    <m/>
  </r>
  <r>
    <x v="39"/>
    <x v="39"/>
    <m/>
    <m/>
    <m/>
    <m/>
    <m/>
    <m/>
    <m/>
    <m/>
    <m/>
    <m/>
    <m/>
    <m/>
    <m/>
    <m/>
    <m/>
    <m/>
    <m/>
  </r>
  <r>
    <x v="39"/>
    <x v="40"/>
    <m/>
    <m/>
    <m/>
    <m/>
    <m/>
    <m/>
    <m/>
    <m/>
    <m/>
    <m/>
    <m/>
    <m/>
    <m/>
    <m/>
    <m/>
    <m/>
    <m/>
  </r>
  <r>
    <x v="39"/>
    <x v="41"/>
    <m/>
    <m/>
    <m/>
    <m/>
    <m/>
    <m/>
    <m/>
    <m/>
    <m/>
    <m/>
    <m/>
    <m/>
    <m/>
    <m/>
    <m/>
    <m/>
    <m/>
  </r>
  <r>
    <x v="39"/>
    <x v="42"/>
    <m/>
    <m/>
    <m/>
    <m/>
    <m/>
    <m/>
    <m/>
    <m/>
    <m/>
    <m/>
    <m/>
    <m/>
    <m/>
    <m/>
    <m/>
    <m/>
    <m/>
  </r>
  <r>
    <x v="39"/>
    <x v="43"/>
    <m/>
    <m/>
    <m/>
    <m/>
    <m/>
    <m/>
    <m/>
    <m/>
    <m/>
    <m/>
    <m/>
    <m/>
    <m/>
    <m/>
    <m/>
    <m/>
    <m/>
  </r>
  <r>
    <x v="39"/>
    <x v="44"/>
    <m/>
    <m/>
    <m/>
    <m/>
    <m/>
    <m/>
    <m/>
    <m/>
    <m/>
    <m/>
    <m/>
    <m/>
    <m/>
    <m/>
    <m/>
    <m/>
    <m/>
  </r>
  <r>
    <x v="39"/>
    <x v="45"/>
    <m/>
    <m/>
    <m/>
    <m/>
    <m/>
    <m/>
    <m/>
    <m/>
    <m/>
    <m/>
    <m/>
    <m/>
    <m/>
    <m/>
    <m/>
    <m/>
    <m/>
  </r>
  <r>
    <x v="39"/>
    <x v="46"/>
    <m/>
    <m/>
    <m/>
    <m/>
    <m/>
    <m/>
    <m/>
    <m/>
    <m/>
    <m/>
    <m/>
    <m/>
    <m/>
    <m/>
    <m/>
    <m/>
    <m/>
  </r>
  <r>
    <x v="39"/>
    <x v="47"/>
    <m/>
    <m/>
    <m/>
    <m/>
    <m/>
    <m/>
    <m/>
    <m/>
    <m/>
    <m/>
    <m/>
    <m/>
    <m/>
    <m/>
    <m/>
    <m/>
    <m/>
  </r>
  <r>
    <x v="39"/>
    <x v="48"/>
    <m/>
    <m/>
    <m/>
    <m/>
    <m/>
    <m/>
    <m/>
    <m/>
    <m/>
    <m/>
    <m/>
    <m/>
    <m/>
    <m/>
    <m/>
    <m/>
    <m/>
  </r>
  <r>
    <x v="39"/>
    <x v="49"/>
    <m/>
    <m/>
    <m/>
    <m/>
    <m/>
    <m/>
    <m/>
    <m/>
    <m/>
    <m/>
    <m/>
    <m/>
    <m/>
    <m/>
    <m/>
    <m/>
    <m/>
  </r>
  <r>
    <x v="39"/>
    <x v="50"/>
    <m/>
    <m/>
    <m/>
    <m/>
    <m/>
    <m/>
    <m/>
    <m/>
    <m/>
    <m/>
    <m/>
    <m/>
    <m/>
    <m/>
    <m/>
    <m/>
    <m/>
  </r>
  <r>
    <x v="39"/>
    <x v="51"/>
    <m/>
    <m/>
    <m/>
    <m/>
    <m/>
    <m/>
    <m/>
    <m/>
    <m/>
    <m/>
    <m/>
    <m/>
    <m/>
    <m/>
    <m/>
    <m/>
    <m/>
  </r>
  <r>
    <x v="40"/>
    <x v="0"/>
    <m/>
    <m/>
    <m/>
    <m/>
    <m/>
    <m/>
    <m/>
    <m/>
    <m/>
    <m/>
    <m/>
    <m/>
    <m/>
    <m/>
    <m/>
    <m/>
    <m/>
  </r>
  <r>
    <x v="40"/>
    <x v="1"/>
    <m/>
    <m/>
    <m/>
    <m/>
    <m/>
    <m/>
    <m/>
    <m/>
    <m/>
    <m/>
    <m/>
    <m/>
    <m/>
    <m/>
    <m/>
    <m/>
    <m/>
  </r>
  <r>
    <x v="40"/>
    <x v="2"/>
    <m/>
    <m/>
    <m/>
    <m/>
    <m/>
    <m/>
    <m/>
    <m/>
    <m/>
    <m/>
    <m/>
    <m/>
    <m/>
    <m/>
    <m/>
    <m/>
    <m/>
  </r>
  <r>
    <x v="40"/>
    <x v="3"/>
    <m/>
    <m/>
    <m/>
    <m/>
    <m/>
    <m/>
    <m/>
    <m/>
    <m/>
    <m/>
    <m/>
    <m/>
    <m/>
    <m/>
    <m/>
    <m/>
    <m/>
  </r>
  <r>
    <x v="40"/>
    <x v="4"/>
    <m/>
    <m/>
    <m/>
    <m/>
    <m/>
    <m/>
    <m/>
    <m/>
    <m/>
    <m/>
    <m/>
    <m/>
    <m/>
    <m/>
    <m/>
    <m/>
    <m/>
  </r>
  <r>
    <x v="40"/>
    <x v="5"/>
    <m/>
    <m/>
    <m/>
    <m/>
    <m/>
    <m/>
    <m/>
    <m/>
    <m/>
    <m/>
    <m/>
    <m/>
    <m/>
    <m/>
    <m/>
    <m/>
    <m/>
  </r>
  <r>
    <x v="40"/>
    <x v="6"/>
    <m/>
    <m/>
    <m/>
    <m/>
    <m/>
    <m/>
    <m/>
    <m/>
    <m/>
    <m/>
    <m/>
    <m/>
    <m/>
    <m/>
    <m/>
    <m/>
    <m/>
  </r>
  <r>
    <x v="40"/>
    <x v="7"/>
    <m/>
    <m/>
    <m/>
    <m/>
    <m/>
    <m/>
    <m/>
    <m/>
    <m/>
    <m/>
    <m/>
    <m/>
    <m/>
    <m/>
    <m/>
    <m/>
    <m/>
  </r>
  <r>
    <x v="40"/>
    <x v="8"/>
    <m/>
    <m/>
    <m/>
    <m/>
    <m/>
    <m/>
    <m/>
    <m/>
    <m/>
    <m/>
    <m/>
    <m/>
    <m/>
    <m/>
    <m/>
    <m/>
    <m/>
  </r>
  <r>
    <x v="40"/>
    <x v="9"/>
    <m/>
    <m/>
    <m/>
    <m/>
    <m/>
    <m/>
    <m/>
    <m/>
    <m/>
    <m/>
    <m/>
    <m/>
    <m/>
    <m/>
    <m/>
    <m/>
    <m/>
  </r>
  <r>
    <x v="40"/>
    <x v="10"/>
    <m/>
    <m/>
    <m/>
    <m/>
    <m/>
    <m/>
    <m/>
    <m/>
    <m/>
    <m/>
    <m/>
    <m/>
    <m/>
    <m/>
    <m/>
    <m/>
    <m/>
  </r>
  <r>
    <x v="40"/>
    <x v="11"/>
    <m/>
    <m/>
    <m/>
    <m/>
    <m/>
    <m/>
    <m/>
    <m/>
    <m/>
    <m/>
    <m/>
    <m/>
    <m/>
    <m/>
    <m/>
    <m/>
    <m/>
  </r>
  <r>
    <x v="40"/>
    <x v="12"/>
    <m/>
    <m/>
    <m/>
    <m/>
    <m/>
    <m/>
    <m/>
    <m/>
    <m/>
    <m/>
    <m/>
    <m/>
    <m/>
    <m/>
    <m/>
    <m/>
    <m/>
  </r>
  <r>
    <x v="40"/>
    <x v="13"/>
    <m/>
    <m/>
    <m/>
    <m/>
    <m/>
    <m/>
    <m/>
    <m/>
    <m/>
    <m/>
    <m/>
    <m/>
    <m/>
    <m/>
    <m/>
    <m/>
    <m/>
  </r>
  <r>
    <x v="40"/>
    <x v="14"/>
    <m/>
    <m/>
    <m/>
    <m/>
    <m/>
    <m/>
    <m/>
    <m/>
    <m/>
    <m/>
    <m/>
    <m/>
    <m/>
    <m/>
    <m/>
    <m/>
    <m/>
  </r>
  <r>
    <x v="40"/>
    <x v="15"/>
    <m/>
    <m/>
    <m/>
    <m/>
    <m/>
    <m/>
    <m/>
    <m/>
    <n v="2"/>
    <m/>
    <m/>
    <m/>
    <m/>
    <n v="4"/>
    <m/>
    <m/>
    <m/>
  </r>
  <r>
    <x v="40"/>
    <x v="16"/>
    <m/>
    <m/>
    <m/>
    <m/>
    <m/>
    <m/>
    <m/>
    <m/>
    <m/>
    <m/>
    <m/>
    <m/>
    <m/>
    <m/>
    <m/>
    <m/>
    <m/>
  </r>
  <r>
    <x v="40"/>
    <x v="17"/>
    <m/>
    <m/>
    <m/>
    <m/>
    <m/>
    <m/>
    <n v="5"/>
    <m/>
    <n v="8"/>
    <m/>
    <m/>
    <m/>
    <n v="1"/>
    <n v="8"/>
    <n v="2"/>
    <m/>
    <m/>
  </r>
  <r>
    <x v="40"/>
    <x v="18"/>
    <m/>
    <m/>
    <m/>
    <m/>
    <m/>
    <m/>
    <m/>
    <m/>
    <m/>
    <m/>
    <m/>
    <m/>
    <m/>
    <m/>
    <m/>
    <m/>
    <m/>
  </r>
  <r>
    <x v="40"/>
    <x v="19"/>
    <m/>
    <m/>
    <m/>
    <m/>
    <m/>
    <m/>
    <m/>
    <m/>
    <m/>
    <m/>
    <m/>
    <m/>
    <m/>
    <m/>
    <m/>
    <m/>
    <m/>
  </r>
  <r>
    <x v="40"/>
    <x v="20"/>
    <m/>
    <n v="6"/>
    <m/>
    <n v="1"/>
    <m/>
    <n v="4"/>
    <n v="47"/>
    <n v="27"/>
    <m/>
    <m/>
    <n v="8"/>
    <n v="17"/>
    <n v="6"/>
    <n v="22"/>
    <n v="7"/>
    <n v="7"/>
    <m/>
  </r>
  <r>
    <x v="40"/>
    <x v="21"/>
    <m/>
    <m/>
    <m/>
    <m/>
    <m/>
    <m/>
    <m/>
    <m/>
    <m/>
    <m/>
    <m/>
    <m/>
    <m/>
    <m/>
    <m/>
    <m/>
    <m/>
  </r>
  <r>
    <x v="40"/>
    <x v="22"/>
    <m/>
    <m/>
    <m/>
    <m/>
    <m/>
    <m/>
    <m/>
    <m/>
    <m/>
    <m/>
    <m/>
    <m/>
    <m/>
    <m/>
    <m/>
    <m/>
    <m/>
  </r>
  <r>
    <x v="40"/>
    <x v="23"/>
    <m/>
    <m/>
    <m/>
    <m/>
    <m/>
    <m/>
    <m/>
    <m/>
    <m/>
    <m/>
    <n v="2"/>
    <m/>
    <n v="2"/>
    <n v="2"/>
    <n v="2"/>
    <n v="4"/>
    <m/>
  </r>
  <r>
    <x v="40"/>
    <x v="24"/>
    <m/>
    <m/>
    <m/>
    <m/>
    <m/>
    <m/>
    <m/>
    <m/>
    <m/>
    <m/>
    <m/>
    <m/>
    <m/>
    <m/>
    <m/>
    <m/>
    <m/>
  </r>
  <r>
    <x v="40"/>
    <x v="25"/>
    <m/>
    <m/>
    <m/>
    <m/>
    <m/>
    <m/>
    <m/>
    <m/>
    <m/>
    <m/>
    <m/>
    <m/>
    <m/>
    <m/>
    <m/>
    <m/>
    <m/>
  </r>
  <r>
    <x v="40"/>
    <x v="26"/>
    <m/>
    <m/>
    <m/>
    <m/>
    <m/>
    <m/>
    <n v="26"/>
    <n v="11"/>
    <m/>
    <m/>
    <n v="6"/>
    <n v="13"/>
    <n v="6"/>
    <n v="18"/>
    <n v="6"/>
    <n v="6"/>
    <m/>
  </r>
  <r>
    <x v="40"/>
    <x v="27"/>
    <m/>
    <m/>
    <m/>
    <m/>
    <m/>
    <m/>
    <m/>
    <m/>
    <m/>
    <m/>
    <m/>
    <m/>
    <m/>
    <m/>
    <m/>
    <m/>
    <m/>
  </r>
  <r>
    <x v="40"/>
    <x v="28"/>
    <m/>
    <m/>
    <m/>
    <m/>
    <m/>
    <m/>
    <m/>
    <m/>
    <m/>
    <m/>
    <m/>
    <n v="1"/>
    <m/>
    <n v="3"/>
    <m/>
    <m/>
    <m/>
  </r>
  <r>
    <x v="40"/>
    <x v="29"/>
    <m/>
    <m/>
    <m/>
    <m/>
    <m/>
    <m/>
    <m/>
    <n v="1"/>
    <m/>
    <m/>
    <n v="1"/>
    <m/>
    <n v="3"/>
    <n v="1"/>
    <n v="1"/>
    <n v="3"/>
    <m/>
  </r>
  <r>
    <x v="40"/>
    <x v="30"/>
    <m/>
    <m/>
    <m/>
    <m/>
    <m/>
    <m/>
    <m/>
    <m/>
    <m/>
    <m/>
    <m/>
    <m/>
    <m/>
    <n v="2"/>
    <m/>
    <m/>
    <m/>
  </r>
  <r>
    <x v="40"/>
    <x v="31"/>
    <n v="11"/>
    <n v="5"/>
    <n v="4"/>
    <n v="3"/>
    <n v="8"/>
    <n v="2"/>
    <n v="220"/>
    <n v="33"/>
    <n v="13"/>
    <n v="11"/>
    <n v="21"/>
    <n v="33"/>
    <n v="31"/>
    <n v="99"/>
    <n v="23"/>
    <n v="47"/>
    <m/>
  </r>
  <r>
    <x v="40"/>
    <x v="32"/>
    <m/>
    <m/>
    <m/>
    <m/>
    <m/>
    <m/>
    <m/>
    <m/>
    <m/>
    <m/>
    <m/>
    <m/>
    <m/>
    <n v="2"/>
    <m/>
    <m/>
    <m/>
  </r>
  <r>
    <x v="40"/>
    <x v="33"/>
    <m/>
    <m/>
    <m/>
    <m/>
    <m/>
    <m/>
    <m/>
    <m/>
    <m/>
    <m/>
    <m/>
    <m/>
    <m/>
    <m/>
    <m/>
    <m/>
    <m/>
  </r>
  <r>
    <x v="40"/>
    <x v="34"/>
    <m/>
    <m/>
    <m/>
    <m/>
    <m/>
    <m/>
    <m/>
    <m/>
    <m/>
    <m/>
    <m/>
    <m/>
    <m/>
    <m/>
    <m/>
    <m/>
    <m/>
  </r>
  <r>
    <x v="40"/>
    <x v="35"/>
    <m/>
    <m/>
    <m/>
    <m/>
    <m/>
    <m/>
    <m/>
    <m/>
    <n v="2"/>
    <m/>
    <m/>
    <m/>
    <m/>
    <n v="1"/>
    <m/>
    <m/>
    <m/>
  </r>
  <r>
    <x v="40"/>
    <x v="36"/>
    <m/>
    <m/>
    <m/>
    <m/>
    <m/>
    <m/>
    <m/>
    <m/>
    <m/>
    <m/>
    <m/>
    <m/>
    <m/>
    <m/>
    <m/>
    <m/>
    <m/>
  </r>
  <r>
    <x v="40"/>
    <x v="37"/>
    <m/>
    <m/>
    <m/>
    <m/>
    <m/>
    <m/>
    <m/>
    <m/>
    <m/>
    <m/>
    <m/>
    <m/>
    <m/>
    <m/>
    <m/>
    <m/>
    <m/>
  </r>
  <r>
    <x v="40"/>
    <x v="38"/>
    <m/>
    <m/>
    <m/>
    <m/>
    <m/>
    <m/>
    <n v="7"/>
    <n v="3"/>
    <n v="8"/>
    <m/>
    <m/>
    <n v="1"/>
    <n v="1"/>
    <n v="9"/>
    <m/>
    <m/>
    <m/>
  </r>
  <r>
    <x v="40"/>
    <x v="39"/>
    <m/>
    <m/>
    <m/>
    <m/>
    <m/>
    <m/>
    <m/>
    <m/>
    <m/>
    <m/>
    <m/>
    <m/>
    <m/>
    <m/>
    <m/>
    <m/>
    <m/>
  </r>
  <r>
    <x v="40"/>
    <x v="40"/>
    <m/>
    <m/>
    <m/>
    <m/>
    <m/>
    <m/>
    <m/>
    <m/>
    <m/>
    <m/>
    <m/>
    <m/>
    <m/>
    <m/>
    <m/>
    <m/>
    <m/>
  </r>
  <r>
    <x v="40"/>
    <x v="41"/>
    <m/>
    <m/>
    <m/>
    <m/>
    <m/>
    <m/>
    <m/>
    <m/>
    <m/>
    <m/>
    <m/>
    <m/>
    <m/>
    <m/>
    <m/>
    <m/>
    <m/>
  </r>
  <r>
    <x v="40"/>
    <x v="42"/>
    <m/>
    <m/>
    <m/>
    <m/>
    <m/>
    <m/>
    <n v="5"/>
    <m/>
    <m/>
    <m/>
    <m/>
    <m/>
    <m/>
    <n v="5"/>
    <m/>
    <m/>
    <m/>
  </r>
  <r>
    <x v="40"/>
    <x v="43"/>
    <m/>
    <m/>
    <m/>
    <m/>
    <m/>
    <m/>
    <m/>
    <m/>
    <m/>
    <m/>
    <m/>
    <m/>
    <m/>
    <m/>
    <m/>
    <m/>
    <m/>
  </r>
  <r>
    <x v="40"/>
    <x v="44"/>
    <m/>
    <m/>
    <m/>
    <m/>
    <m/>
    <m/>
    <m/>
    <m/>
    <m/>
    <m/>
    <m/>
    <m/>
    <m/>
    <n v="4"/>
    <m/>
    <m/>
    <m/>
  </r>
  <r>
    <x v="40"/>
    <x v="45"/>
    <m/>
    <m/>
    <m/>
    <m/>
    <m/>
    <m/>
    <m/>
    <m/>
    <m/>
    <m/>
    <m/>
    <m/>
    <m/>
    <n v="6"/>
    <m/>
    <m/>
    <m/>
  </r>
  <r>
    <x v="40"/>
    <x v="46"/>
    <m/>
    <m/>
    <m/>
    <m/>
    <m/>
    <m/>
    <m/>
    <m/>
    <m/>
    <m/>
    <m/>
    <m/>
    <m/>
    <n v="5"/>
    <m/>
    <m/>
    <m/>
  </r>
  <r>
    <x v="40"/>
    <x v="47"/>
    <m/>
    <m/>
    <m/>
    <m/>
    <m/>
    <m/>
    <m/>
    <m/>
    <m/>
    <m/>
    <m/>
    <m/>
    <m/>
    <m/>
    <m/>
    <m/>
    <m/>
  </r>
  <r>
    <x v="40"/>
    <x v="48"/>
    <m/>
    <m/>
    <m/>
    <m/>
    <m/>
    <m/>
    <n v="27"/>
    <m/>
    <m/>
    <m/>
    <m/>
    <m/>
    <n v="14"/>
    <n v="62"/>
    <n v="2"/>
    <n v="2"/>
    <m/>
  </r>
  <r>
    <x v="40"/>
    <x v="49"/>
    <m/>
    <m/>
    <m/>
    <m/>
    <m/>
    <m/>
    <m/>
    <m/>
    <m/>
    <m/>
    <m/>
    <m/>
    <m/>
    <m/>
    <m/>
    <m/>
    <m/>
  </r>
  <r>
    <x v="40"/>
    <x v="50"/>
    <m/>
    <m/>
    <m/>
    <m/>
    <m/>
    <m/>
    <m/>
    <m/>
    <m/>
    <m/>
    <m/>
    <m/>
    <m/>
    <m/>
    <m/>
    <m/>
    <m/>
  </r>
  <r>
    <x v="40"/>
    <x v="51"/>
    <m/>
    <m/>
    <m/>
    <m/>
    <m/>
    <m/>
    <m/>
    <m/>
    <m/>
    <m/>
    <m/>
    <m/>
    <m/>
    <m/>
    <m/>
    <m/>
    <m/>
  </r>
  <r>
    <x v="41"/>
    <x v="0"/>
    <m/>
    <m/>
    <m/>
    <m/>
    <m/>
    <m/>
    <m/>
    <m/>
    <m/>
    <m/>
    <m/>
    <m/>
    <m/>
    <m/>
    <m/>
    <m/>
    <m/>
  </r>
  <r>
    <x v="41"/>
    <x v="1"/>
    <m/>
    <m/>
    <m/>
    <m/>
    <m/>
    <m/>
    <m/>
    <m/>
    <m/>
    <m/>
    <m/>
    <m/>
    <m/>
    <m/>
    <m/>
    <m/>
    <m/>
  </r>
  <r>
    <x v="41"/>
    <x v="2"/>
    <m/>
    <m/>
    <m/>
    <m/>
    <m/>
    <m/>
    <m/>
    <m/>
    <m/>
    <m/>
    <m/>
    <m/>
    <m/>
    <m/>
    <m/>
    <m/>
    <m/>
  </r>
  <r>
    <x v="41"/>
    <x v="3"/>
    <m/>
    <m/>
    <m/>
    <m/>
    <m/>
    <m/>
    <m/>
    <m/>
    <m/>
    <m/>
    <m/>
    <m/>
    <m/>
    <m/>
    <m/>
    <m/>
    <m/>
  </r>
  <r>
    <x v="41"/>
    <x v="4"/>
    <m/>
    <m/>
    <m/>
    <m/>
    <m/>
    <m/>
    <m/>
    <m/>
    <m/>
    <m/>
    <m/>
    <m/>
    <m/>
    <m/>
    <m/>
    <m/>
    <m/>
  </r>
  <r>
    <x v="41"/>
    <x v="5"/>
    <m/>
    <m/>
    <m/>
    <m/>
    <m/>
    <m/>
    <m/>
    <m/>
    <m/>
    <m/>
    <m/>
    <m/>
    <m/>
    <m/>
    <m/>
    <m/>
    <m/>
  </r>
  <r>
    <x v="41"/>
    <x v="6"/>
    <m/>
    <m/>
    <m/>
    <m/>
    <m/>
    <m/>
    <m/>
    <m/>
    <m/>
    <m/>
    <m/>
    <m/>
    <m/>
    <m/>
    <m/>
    <m/>
    <m/>
  </r>
  <r>
    <x v="41"/>
    <x v="7"/>
    <m/>
    <m/>
    <m/>
    <m/>
    <m/>
    <m/>
    <m/>
    <m/>
    <m/>
    <m/>
    <m/>
    <m/>
    <m/>
    <m/>
    <m/>
    <m/>
    <m/>
  </r>
  <r>
    <x v="41"/>
    <x v="8"/>
    <m/>
    <m/>
    <m/>
    <m/>
    <m/>
    <m/>
    <m/>
    <m/>
    <m/>
    <m/>
    <m/>
    <m/>
    <m/>
    <m/>
    <m/>
    <m/>
    <m/>
  </r>
  <r>
    <x v="41"/>
    <x v="9"/>
    <m/>
    <m/>
    <m/>
    <m/>
    <m/>
    <m/>
    <m/>
    <m/>
    <m/>
    <m/>
    <m/>
    <m/>
    <m/>
    <m/>
    <m/>
    <m/>
    <m/>
  </r>
  <r>
    <x v="41"/>
    <x v="10"/>
    <m/>
    <m/>
    <m/>
    <m/>
    <m/>
    <m/>
    <m/>
    <m/>
    <m/>
    <m/>
    <m/>
    <m/>
    <m/>
    <m/>
    <m/>
    <m/>
    <m/>
  </r>
  <r>
    <x v="41"/>
    <x v="11"/>
    <m/>
    <m/>
    <m/>
    <m/>
    <m/>
    <m/>
    <m/>
    <m/>
    <m/>
    <m/>
    <m/>
    <m/>
    <m/>
    <m/>
    <m/>
    <m/>
    <m/>
  </r>
  <r>
    <x v="41"/>
    <x v="12"/>
    <m/>
    <m/>
    <m/>
    <m/>
    <m/>
    <m/>
    <m/>
    <m/>
    <m/>
    <m/>
    <m/>
    <m/>
    <m/>
    <m/>
    <m/>
    <m/>
    <m/>
  </r>
  <r>
    <x v="41"/>
    <x v="13"/>
    <m/>
    <m/>
    <m/>
    <m/>
    <m/>
    <m/>
    <m/>
    <m/>
    <m/>
    <m/>
    <m/>
    <m/>
    <m/>
    <m/>
    <m/>
    <m/>
    <m/>
  </r>
  <r>
    <x v="41"/>
    <x v="14"/>
    <m/>
    <m/>
    <m/>
    <m/>
    <m/>
    <m/>
    <m/>
    <m/>
    <m/>
    <m/>
    <m/>
    <m/>
    <m/>
    <m/>
    <m/>
    <m/>
    <m/>
  </r>
  <r>
    <x v="41"/>
    <x v="15"/>
    <m/>
    <m/>
    <m/>
    <m/>
    <m/>
    <m/>
    <m/>
    <m/>
    <m/>
    <m/>
    <m/>
    <m/>
    <m/>
    <m/>
    <m/>
    <m/>
    <m/>
  </r>
  <r>
    <x v="41"/>
    <x v="16"/>
    <m/>
    <m/>
    <m/>
    <m/>
    <m/>
    <m/>
    <m/>
    <m/>
    <m/>
    <m/>
    <m/>
    <m/>
    <m/>
    <m/>
    <m/>
    <m/>
    <m/>
  </r>
  <r>
    <x v="41"/>
    <x v="17"/>
    <m/>
    <m/>
    <m/>
    <m/>
    <m/>
    <m/>
    <m/>
    <m/>
    <m/>
    <m/>
    <m/>
    <m/>
    <m/>
    <m/>
    <m/>
    <m/>
    <m/>
  </r>
  <r>
    <x v="41"/>
    <x v="18"/>
    <m/>
    <m/>
    <m/>
    <m/>
    <m/>
    <m/>
    <m/>
    <m/>
    <m/>
    <m/>
    <m/>
    <m/>
    <m/>
    <m/>
    <m/>
    <m/>
    <m/>
  </r>
  <r>
    <x v="41"/>
    <x v="19"/>
    <m/>
    <m/>
    <m/>
    <m/>
    <m/>
    <m/>
    <m/>
    <m/>
    <m/>
    <m/>
    <m/>
    <m/>
    <m/>
    <m/>
    <m/>
    <m/>
    <m/>
  </r>
  <r>
    <x v="41"/>
    <x v="20"/>
    <m/>
    <m/>
    <m/>
    <m/>
    <m/>
    <m/>
    <m/>
    <m/>
    <m/>
    <m/>
    <m/>
    <m/>
    <m/>
    <m/>
    <m/>
    <m/>
    <m/>
  </r>
  <r>
    <x v="41"/>
    <x v="21"/>
    <m/>
    <m/>
    <m/>
    <m/>
    <m/>
    <m/>
    <m/>
    <m/>
    <m/>
    <m/>
    <m/>
    <m/>
    <m/>
    <m/>
    <m/>
    <m/>
    <m/>
  </r>
  <r>
    <x v="41"/>
    <x v="22"/>
    <m/>
    <m/>
    <m/>
    <m/>
    <m/>
    <m/>
    <m/>
    <m/>
    <m/>
    <m/>
    <m/>
    <m/>
    <m/>
    <m/>
    <m/>
    <m/>
    <m/>
  </r>
  <r>
    <x v="41"/>
    <x v="23"/>
    <m/>
    <m/>
    <m/>
    <m/>
    <m/>
    <m/>
    <m/>
    <m/>
    <m/>
    <m/>
    <m/>
    <m/>
    <m/>
    <m/>
    <m/>
    <m/>
    <m/>
  </r>
  <r>
    <x v="41"/>
    <x v="24"/>
    <m/>
    <m/>
    <m/>
    <m/>
    <m/>
    <m/>
    <m/>
    <m/>
    <m/>
    <m/>
    <m/>
    <m/>
    <m/>
    <m/>
    <m/>
    <m/>
    <m/>
  </r>
  <r>
    <x v="41"/>
    <x v="25"/>
    <m/>
    <m/>
    <m/>
    <m/>
    <m/>
    <m/>
    <m/>
    <m/>
    <m/>
    <m/>
    <m/>
    <m/>
    <m/>
    <m/>
    <m/>
    <m/>
    <m/>
  </r>
  <r>
    <x v="41"/>
    <x v="26"/>
    <m/>
    <m/>
    <m/>
    <m/>
    <m/>
    <m/>
    <m/>
    <m/>
    <m/>
    <m/>
    <m/>
    <m/>
    <m/>
    <m/>
    <m/>
    <m/>
    <m/>
  </r>
  <r>
    <x v="41"/>
    <x v="27"/>
    <m/>
    <m/>
    <m/>
    <m/>
    <m/>
    <m/>
    <m/>
    <m/>
    <m/>
    <m/>
    <m/>
    <m/>
    <m/>
    <m/>
    <m/>
    <m/>
    <m/>
  </r>
  <r>
    <x v="41"/>
    <x v="28"/>
    <m/>
    <m/>
    <m/>
    <m/>
    <m/>
    <m/>
    <m/>
    <m/>
    <m/>
    <m/>
    <m/>
    <m/>
    <m/>
    <m/>
    <m/>
    <m/>
    <m/>
  </r>
  <r>
    <x v="41"/>
    <x v="29"/>
    <m/>
    <m/>
    <m/>
    <m/>
    <m/>
    <m/>
    <m/>
    <m/>
    <m/>
    <m/>
    <m/>
    <m/>
    <m/>
    <m/>
    <m/>
    <m/>
    <m/>
  </r>
  <r>
    <x v="41"/>
    <x v="30"/>
    <m/>
    <m/>
    <m/>
    <m/>
    <m/>
    <m/>
    <m/>
    <m/>
    <m/>
    <m/>
    <m/>
    <m/>
    <m/>
    <m/>
    <m/>
    <m/>
    <m/>
  </r>
  <r>
    <x v="41"/>
    <x v="31"/>
    <m/>
    <m/>
    <m/>
    <m/>
    <m/>
    <m/>
    <m/>
    <m/>
    <m/>
    <m/>
    <m/>
    <m/>
    <m/>
    <m/>
    <m/>
    <m/>
    <m/>
  </r>
  <r>
    <x v="41"/>
    <x v="32"/>
    <m/>
    <m/>
    <m/>
    <m/>
    <m/>
    <m/>
    <m/>
    <m/>
    <m/>
    <m/>
    <m/>
    <m/>
    <m/>
    <m/>
    <m/>
    <m/>
    <m/>
  </r>
  <r>
    <x v="41"/>
    <x v="33"/>
    <m/>
    <m/>
    <m/>
    <m/>
    <m/>
    <m/>
    <m/>
    <m/>
    <m/>
    <m/>
    <m/>
    <m/>
    <m/>
    <m/>
    <m/>
    <m/>
    <m/>
  </r>
  <r>
    <x v="41"/>
    <x v="34"/>
    <m/>
    <m/>
    <m/>
    <m/>
    <m/>
    <m/>
    <m/>
    <m/>
    <m/>
    <m/>
    <m/>
    <m/>
    <m/>
    <m/>
    <m/>
    <m/>
    <m/>
  </r>
  <r>
    <x v="41"/>
    <x v="35"/>
    <m/>
    <m/>
    <m/>
    <m/>
    <m/>
    <m/>
    <m/>
    <m/>
    <m/>
    <m/>
    <m/>
    <m/>
    <m/>
    <m/>
    <m/>
    <m/>
    <m/>
  </r>
  <r>
    <x v="41"/>
    <x v="36"/>
    <m/>
    <m/>
    <m/>
    <m/>
    <m/>
    <m/>
    <m/>
    <m/>
    <m/>
    <m/>
    <m/>
    <m/>
    <m/>
    <m/>
    <m/>
    <m/>
    <m/>
  </r>
  <r>
    <x v="41"/>
    <x v="37"/>
    <m/>
    <m/>
    <m/>
    <m/>
    <m/>
    <m/>
    <m/>
    <m/>
    <m/>
    <m/>
    <m/>
    <m/>
    <m/>
    <m/>
    <m/>
    <m/>
    <m/>
  </r>
  <r>
    <x v="41"/>
    <x v="38"/>
    <m/>
    <m/>
    <m/>
    <m/>
    <m/>
    <m/>
    <m/>
    <m/>
    <m/>
    <m/>
    <m/>
    <m/>
    <m/>
    <m/>
    <m/>
    <m/>
    <m/>
  </r>
  <r>
    <x v="41"/>
    <x v="39"/>
    <m/>
    <m/>
    <m/>
    <m/>
    <m/>
    <m/>
    <m/>
    <m/>
    <m/>
    <m/>
    <m/>
    <m/>
    <m/>
    <m/>
    <m/>
    <m/>
    <m/>
  </r>
  <r>
    <x v="41"/>
    <x v="40"/>
    <m/>
    <m/>
    <m/>
    <m/>
    <m/>
    <m/>
    <m/>
    <m/>
    <m/>
    <m/>
    <m/>
    <m/>
    <m/>
    <m/>
    <m/>
    <m/>
    <m/>
  </r>
  <r>
    <x v="41"/>
    <x v="41"/>
    <m/>
    <m/>
    <m/>
    <m/>
    <m/>
    <m/>
    <m/>
    <m/>
    <m/>
    <m/>
    <m/>
    <m/>
    <m/>
    <m/>
    <m/>
    <m/>
    <m/>
  </r>
  <r>
    <x v="41"/>
    <x v="42"/>
    <m/>
    <m/>
    <m/>
    <m/>
    <m/>
    <m/>
    <m/>
    <m/>
    <m/>
    <m/>
    <m/>
    <m/>
    <m/>
    <m/>
    <m/>
    <m/>
    <m/>
  </r>
  <r>
    <x v="41"/>
    <x v="43"/>
    <m/>
    <m/>
    <m/>
    <m/>
    <m/>
    <m/>
    <m/>
    <m/>
    <m/>
    <m/>
    <m/>
    <m/>
    <m/>
    <m/>
    <m/>
    <m/>
    <m/>
  </r>
  <r>
    <x v="41"/>
    <x v="44"/>
    <m/>
    <m/>
    <m/>
    <m/>
    <m/>
    <m/>
    <m/>
    <m/>
    <m/>
    <m/>
    <m/>
    <m/>
    <m/>
    <m/>
    <m/>
    <m/>
    <m/>
  </r>
  <r>
    <x v="41"/>
    <x v="45"/>
    <m/>
    <m/>
    <m/>
    <m/>
    <m/>
    <m/>
    <m/>
    <m/>
    <m/>
    <m/>
    <m/>
    <m/>
    <m/>
    <m/>
    <m/>
    <m/>
    <m/>
  </r>
  <r>
    <x v="41"/>
    <x v="46"/>
    <m/>
    <m/>
    <m/>
    <m/>
    <m/>
    <m/>
    <m/>
    <m/>
    <m/>
    <m/>
    <m/>
    <m/>
    <m/>
    <m/>
    <m/>
    <m/>
    <m/>
  </r>
  <r>
    <x v="41"/>
    <x v="47"/>
    <m/>
    <m/>
    <m/>
    <m/>
    <m/>
    <m/>
    <m/>
    <m/>
    <m/>
    <m/>
    <m/>
    <m/>
    <m/>
    <m/>
    <m/>
    <m/>
    <m/>
  </r>
  <r>
    <x v="41"/>
    <x v="48"/>
    <m/>
    <m/>
    <m/>
    <m/>
    <m/>
    <m/>
    <m/>
    <m/>
    <m/>
    <m/>
    <m/>
    <m/>
    <m/>
    <m/>
    <m/>
    <m/>
    <m/>
  </r>
  <r>
    <x v="41"/>
    <x v="49"/>
    <m/>
    <m/>
    <m/>
    <m/>
    <m/>
    <m/>
    <m/>
    <m/>
    <m/>
    <m/>
    <m/>
    <m/>
    <m/>
    <m/>
    <m/>
    <m/>
    <m/>
  </r>
  <r>
    <x v="41"/>
    <x v="50"/>
    <m/>
    <m/>
    <m/>
    <m/>
    <m/>
    <m/>
    <m/>
    <m/>
    <m/>
    <m/>
    <m/>
    <m/>
    <m/>
    <m/>
    <m/>
    <m/>
    <m/>
  </r>
  <r>
    <x v="41"/>
    <x v="51"/>
    <m/>
    <m/>
    <m/>
    <m/>
    <m/>
    <m/>
    <m/>
    <m/>
    <m/>
    <m/>
    <m/>
    <m/>
    <m/>
    <m/>
    <m/>
    <m/>
    <m/>
  </r>
  <r>
    <x v="42"/>
    <x v="0"/>
    <m/>
    <m/>
    <m/>
    <m/>
    <m/>
    <m/>
    <m/>
    <m/>
    <m/>
    <m/>
    <m/>
    <m/>
    <m/>
    <m/>
    <m/>
    <m/>
    <m/>
  </r>
  <r>
    <x v="42"/>
    <x v="1"/>
    <m/>
    <m/>
    <m/>
    <m/>
    <m/>
    <m/>
    <m/>
    <m/>
    <m/>
    <m/>
    <m/>
    <m/>
    <m/>
    <m/>
    <m/>
    <m/>
    <m/>
  </r>
  <r>
    <x v="42"/>
    <x v="2"/>
    <m/>
    <m/>
    <m/>
    <m/>
    <m/>
    <m/>
    <m/>
    <m/>
    <m/>
    <m/>
    <m/>
    <m/>
    <m/>
    <m/>
    <m/>
    <m/>
    <m/>
  </r>
  <r>
    <x v="42"/>
    <x v="3"/>
    <m/>
    <m/>
    <m/>
    <m/>
    <m/>
    <m/>
    <m/>
    <m/>
    <m/>
    <m/>
    <m/>
    <m/>
    <m/>
    <m/>
    <m/>
    <m/>
    <m/>
  </r>
  <r>
    <x v="42"/>
    <x v="4"/>
    <m/>
    <m/>
    <m/>
    <m/>
    <m/>
    <m/>
    <m/>
    <m/>
    <m/>
    <m/>
    <m/>
    <m/>
    <m/>
    <m/>
    <m/>
    <m/>
    <m/>
  </r>
  <r>
    <x v="42"/>
    <x v="5"/>
    <m/>
    <m/>
    <m/>
    <m/>
    <m/>
    <m/>
    <m/>
    <m/>
    <m/>
    <m/>
    <m/>
    <m/>
    <m/>
    <m/>
    <m/>
    <m/>
    <m/>
  </r>
  <r>
    <x v="42"/>
    <x v="6"/>
    <m/>
    <m/>
    <m/>
    <m/>
    <m/>
    <m/>
    <m/>
    <m/>
    <m/>
    <m/>
    <m/>
    <m/>
    <m/>
    <m/>
    <m/>
    <m/>
    <m/>
  </r>
  <r>
    <x v="42"/>
    <x v="7"/>
    <m/>
    <m/>
    <m/>
    <m/>
    <m/>
    <m/>
    <m/>
    <m/>
    <m/>
    <m/>
    <m/>
    <m/>
    <m/>
    <m/>
    <m/>
    <m/>
    <m/>
  </r>
  <r>
    <x v="42"/>
    <x v="8"/>
    <m/>
    <m/>
    <m/>
    <m/>
    <m/>
    <m/>
    <m/>
    <m/>
    <m/>
    <m/>
    <m/>
    <m/>
    <m/>
    <m/>
    <m/>
    <m/>
    <m/>
  </r>
  <r>
    <x v="42"/>
    <x v="9"/>
    <m/>
    <m/>
    <m/>
    <m/>
    <m/>
    <m/>
    <m/>
    <m/>
    <m/>
    <m/>
    <m/>
    <m/>
    <m/>
    <m/>
    <m/>
    <m/>
    <m/>
  </r>
  <r>
    <x v="42"/>
    <x v="10"/>
    <m/>
    <m/>
    <m/>
    <m/>
    <m/>
    <m/>
    <m/>
    <m/>
    <m/>
    <m/>
    <m/>
    <m/>
    <m/>
    <m/>
    <m/>
    <m/>
    <m/>
  </r>
  <r>
    <x v="42"/>
    <x v="11"/>
    <m/>
    <m/>
    <m/>
    <m/>
    <m/>
    <m/>
    <m/>
    <m/>
    <m/>
    <m/>
    <m/>
    <m/>
    <m/>
    <m/>
    <m/>
    <m/>
    <m/>
  </r>
  <r>
    <x v="42"/>
    <x v="12"/>
    <m/>
    <m/>
    <m/>
    <m/>
    <m/>
    <m/>
    <m/>
    <m/>
    <m/>
    <m/>
    <m/>
    <m/>
    <m/>
    <m/>
    <m/>
    <m/>
    <m/>
  </r>
  <r>
    <x v="42"/>
    <x v="13"/>
    <m/>
    <m/>
    <m/>
    <m/>
    <m/>
    <m/>
    <m/>
    <m/>
    <m/>
    <m/>
    <m/>
    <m/>
    <m/>
    <m/>
    <m/>
    <m/>
    <m/>
  </r>
  <r>
    <x v="42"/>
    <x v="14"/>
    <m/>
    <m/>
    <m/>
    <m/>
    <m/>
    <m/>
    <m/>
    <m/>
    <m/>
    <m/>
    <m/>
    <m/>
    <m/>
    <m/>
    <m/>
    <m/>
    <m/>
  </r>
  <r>
    <x v="42"/>
    <x v="15"/>
    <m/>
    <m/>
    <m/>
    <m/>
    <m/>
    <m/>
    <m/>
    <m/>
    <m/>
    <m/>
    <m/>
    <m/>
    <m/>
    <m/>
    <m/>
    <m/>
    <m/>
  </r>
  <r>
    <x v="42"/>
    <x v="16"/>
    <m/>
    <m/>
    <m/>
    <m/>
    <m/>
    <m/>
    <m/>
    <m/>
    <m/>
    <m/>
    <m/>
    <m/>
    <m/>
    <m/>
    <m/>
    <m/>
    <m/>
  </r>
  <r>
    <x v="42"/>
    <x v="17"/>
    <m/>
    <m/>
    <m/>
    <m/>
    <m/>
    <m/>
    <m/>
    <m/>
    <m/>
    <m/>
    <m/>
    <m/>
    <m/>
    <m/>
    <m/>
    <m/>
    <m/>
  </r>
  <r>
    <x v="42"/>
    <x v="18"/>
    <m/>
    <m/>
    <m/>
    <m/>
    <m/>
    <m/>
    <m/>
    <m/>
    <m/>
    <m/>
    <m/>
    <m/>
    <m/>
    <m/>
    <m/>
    <m/>
    <m/>
  </r>
  <r>
    <x v="42"/>
    <x v="19"/>
    <m/>
    <m/>
    <m/>
    <m/>
    <m/>
    <m/>
    <m/>
    <m/>
    <m/>
    <m/>
    <m/>
    <m/>
    <m/>
    <m/>
    <m/>
    <m/>
    <m/>
  </r>
  <r>
    <x v="42"/>
    <x v="20"/>
    <m/>
    <m/>
    <m/>
    <m/>
    <m/>
    <m/>
    <m/>
    <m/>
    <m/>
    <m/>
    <m/>
    <m/>
    <m/>
    <m/>
    <m/>
    <m/>
    <m/>
  </r>
  <r>
    <x v="42"/>
    <x v="21"/>
    <m/>
    <m/>
    <m/>
    <m/>
    <m/>
    <m/>
    <m/>
    <m/>
    <m/>
    <m/>
    <m/>
    <m/>
    <m/>
    <m/>
    <m/>
    <m/>
    <m/>
  </r>
  <r>
    <x v="42"/>
    <x v="22"/>
    <m/>
    <m/>
    <m/>
    <m/>
    <m/>
    <m/>
    <m/>
    <m/>
    <m/>
    <m/>
    <m/>
    <m/>
    <m/>
    <m/>
    <m/>
    <m/>
    <m/>
  </r>
  <r>
    <x v="42"/>
    <x v="23"/>
    <m/>
    <m/>
    <m/>
    <m/>
    <m/>
    <m/>
    <m/>
    <m/>
    <m/>
    <m/>
    <m/>
    <m/>
    <m/>
    <m/>
    <m/>
    <m/>
    <m/>
  </r>
  <r>
    <x v="42"/>
    <x v="24"/>
    <m/>
    <m/>
    <m/>
    <m/>
    <m/>
    <m/>
    <m/>
    <m/>
    <m/>
    <m/>
    <m/>
    <m/>
    <m/>
    <m/>
    <m/>
    <m/>
    <m/>
  </r>
  <r>
    <x v="42"/>
    <x v="25"/>
    <m/>
    <m/>
    <m/>
    <m/>
    <m/>
    <m/>
    <m/>
    <m/>
    <m/>
    <m/>
    <m/>
    <m/>
    <m/>
    <m/>
    <m/>
    <m/>
    <m/>
  </r>
  <r>
    <x v="42"/>
    <x v="26"/>
    <m/>
    <m/>
    <m/>
    <m/>
    <m/>
    <m/>
    <m/>
    <m/>
    <m/>
    <m/>
    <m/>
    <m/>
    <m/>
    <m/>
    <m/>
    <m/>
    <m/>
  </r>
  <r>
    <x v="42"/>
    <x v="27"/>
    <m/>
    <m/>
    <m/>
    <m/>
    <m/>
    <m/>
    <m/>
    <m/>
    <m/>
    <m/>
    <m/>
    <m/>
    <m/>
    <m/>
    <m/>
    <m/>
    <m/>
  </r>
  <r>
    <x v="42"/>
    <x v="28"/>
    <m/>
    <m/>
    <m/>
    <m/>
    <m/>
    <m/>
    <m/>
    <m/>
    <m/>
    <m/>
    <m/>
    <m/>
    <m/>
    <m/>
    <m/>
    <m/>
    <m/>
  </r>
  <r>
    <x v="42"/>
    <x v="29"/>
    <m/>
    <m/>
    <m/>
    <m/>
    <m/>
    <m/>
    <m/>
    <m/>
    <m/>
    <m/>
    <m/>
    <m/>
    <m/>
    <m/>
    <m/>
    <m/>
    <m/>
  </r>
  <r>
    <x v="42"/>
    <x v="30"/>
    <m/>
    <m/>
    <m/>
    <m/>
    <m/>
    <m/>
    <m/>
    <m/>
    <m/>
    <m/>
    <m/>
    <m/>
    <m/>
    <m/>
    <m/>
    <m/>
    <m/>
  </r>
  <r>
    <x v="42"/>
    <x v="31"/>
    <m/>
    <m/>
    <m/>
    <m/>
    <m/>
    <m/>
    <m/>
    <m/>
    <m/>
    <m/>
    <m/>
    <m/>
    <m/>
    <m/>
    <m/>
    <m/>
    <m/>
  </r>
  <r>
    <x v="42"/>
    <x v="32"/>
    <m/>
    <m/>
    <m/>
    <m/>
    <m/>
    <m/>
    <m/>
    <m/>
    <m/>
    <m/>
    <m/>
    <m/>
    <m/>
    <m/>
    <m/>
    <m/>
    <m/>
  </r>
  <r>
    <x v="42"/>
    <x v="33"/>
    <m/>
    <m/>
    <m/>
    <m/>
    <m/>
    <m/>
    <m/>
    <m/>
    <m/>
    <m/>
    <m/>
    <m/>
    <m/>
    <m/>
    <m/>
    <m/>
    <m/>
  </r>
  <r>
    <x v="42"/>
    <x v="34"/>
    <m/>
    <m/>
    <m/>
    <m/>
    <m/>
    <m/>
    <m/>
    <m/>
    <m/>
    <m/>
    <m/>
    <m/>
    <m/>
    <m/>
    <m/>
    <m/>
    <m/>
  </r>
  <r>
    <x v="42"/>
    <x v="35"/>
    <m/>
    <m/>
    <m/>
    <m/>
    <m/>
    <m/>
    <m/>
    <m/>
    <m/>
    <m/>
    <m/>
    <m/>
    <m/>
    <m/>
    <m/>
    <m/>
    <m/>
  </r>
  <r>
    <x v="42"/>
    <x v="36"/>
    <m/>
    <m/>
    <m/>
    <m/>
    <m/>
    <m/>
    <m/>
    <m/>
    <m/>
    <m/>
    <m/>
    <m/>
    <m/>
    <m/>
    <m/>
    <m/>
    <m/>
  </r>
  <r>
    <x v="42"/>
    <x v="37"/>
    <m/>
    <m/>
    <m/>
    <m/>
    <m/>
    <m/>
    <m/>
    <m/>
    <m/>
    <m/>
    <m/>
    <m/>
    <m/>
    <m/>
    <m/>
    <m/>
    <m/>
  </r>
  <r>
    <x v="42"/>
    <x v="38"/>
    <m/>
    <m/>
    <m/>
    <m/>
    <m/>
    <m/>
    <m/>
    <m/>
    <m/>
    <m/>
    <m/>
    <m/>
    <m/>
    <m/>
    <m/>
    <m/>
    <m/>
  </r>
  <r>
    <x v="42"/>
    <x v="39"/>
    <m/>
    <m/>
    <m/>
    <m/>
    <m/>
    <m/>
    <m/>
    <m/>
    <m/>
    <m/>
    <m/>
    <m/>
    <m/>
    <m/>
    <m/>
    <m/>
    <m/>
  </r>
  <r>
    <x v="42"/>
    <x v="40"/>
    <m/>
    <m/>
    <m/>
    <m/>
    <m/>
    <m/>
    <m/>
    <m/>
    <m/>
    <m/>
    <m/>
    <m/>
    <m/>
    <m/>
    <m/>
    <m/>
    <m/>
  </r>
  <r>
    <x v="42"/>
    <x v="41"/>
    <m/>
    <m/>
    <m/>
    <m/>
    <m/>
    <m/>
    <m/>
    <m/>
    <m/>
    <m/>
    <m/>
    <m/>
    <m/>
    <m/>
    <m/>
    <m/>
    <m/>
  </r>
  <r>
    <x v="42"/>
    <x v="42"/>
    <m/>
    <m/>
    <m/>
    <m/>
    <m/>
    <m/>
    <m/>
    <m/>
    <m/>
    <m/>
    <m/>
    <m/>
    <m/>
    <m/>
    <n v="2"/>
    <n v="2"/>
    <m/>
  </r>
  <r>
    <x v="42"/>
    <x v="43"/>
    <m/>
    <m/>
    <m/>
    <m/>
    <m/>
    <m/>
    <m/>
    <m/>
    <m/>
    <m/>
    <m/>
    <m/>
    <m/>
    <m/>
    <m/>
    <m/>
    <m/>
  </r>
  <r>
    <x v="42"/>
    <x v="44"/>
    <m/>
    <m/>
    <m/>
    <m/>
    <m/>
    <m/>
    <m/>
    <m/>
    <m/>
    <m/>
    <m/>
    <m/>
    <m/>
    <m/>
    <m/>
    <m/>
    <m/>
  </r>
  <r>
    <x v="42"/>
    <x v="45"/>
    <m/>
    <m/>
    <m/>
    <m/>
    <m/>
    <m/>
    <m/>
    <m/>
    <m/>
    <m/>
    <m/>
    <m/>
    <m/>
    <m/>
    <m/>
    <m/>
    <m/>
  </r>
  <r>
    <x v="42"/>
    <x v="46"/>
    <m/>
    <m/>
    <m/>
    <m/>
    <m/>
    <m/>
    <m/>
    <m/>
    <m/>
    <m/>
    <m/>
    <m/>
    <m/>
    <m/>
    <m/>
    <m/>
    <m/>
  </r>
  <r>
    <x v="42"/>
    <x v="47"/>
    <m/>
    <m/>
    <m/>
    <m/>
    <m/>
    <m/>
    <m/>
    <m/>
    <m/>
    <m/>
    <m/>
    <m/>
    <m/>
    <m/>
    <m/>
    <m/>
    <m/>
  </r>
  <r>
    <x v="42"/>
    <x v="48"/>
    <m/>
    <m/>
    <m/>
    <m/>
    <m/>
    <m/>
    <m/>
    <m/>
    <m/>
    <m/>
    <m/>
    <m/>
    <m/>
    <m/>
    <m/>
    <m/>
    <m/>
  </r>
  <r>
    <x v="42"/>
    <x v="49"/>
    <m/>
    <m/>
    <m/>
    <m/>
    <m/>
    <m/>
    <m/>
    <m/>
    <m/>
    <m/>
    <m/>
    <m/>
    <m/>
    <m/>
    <m/>
    <m/>
    <m/>
  </r>
  <r>
    <x v="42"/>
    <x v="50"/>
    <m/>
    <m/>
    <m/>
    <m/>
    <m/>
    <m/>
    <m/>
    <m/>
    <m/>
    <m/>
    <m/>
    <m/>
    <m/>
    <m/>
    <m/>
    <m/>
    <m/>
  </r>
  <r>
    <x v="42"/>
    <x v="51"/>
    <m/>
    <m/>
    <m/>
    <m/>
    <m/>
    <m/>
    <m/>
    <m/>
    <m/>
    <m/>
    <m/>
    <m/>
    <m/>
    <m/>
    <m/>
    <m/>
    <m/>
  </r>
  <r>
    <x v="43"/>
    <x v="0"/>
    <m/>
    <m/>
    <m/>
    <m/>
    <m/>
    <m/>
    <m/>
    <m/>
    <m/>
    <m/>
    <m/>
    <m/>
    <m/>
    <m/>
    <m/>
    <m/>
    <m/>
  </r>
  <r>
    <x v="43"/>
    <x v="1"/>
    <m/>
    <m/>
    <m/>
    <m/>
    <m/>
    <m/>
    <m/>
    <m/>
    <m/>
    <m/>
    <m/>
    <m/>
    <m/>
    <m/>
    <m/>
    <m/>
    <m/>
  </r>
  <r>
    <x v="43"/>
    <x v="3"/>
    <m/>
    <m/>
    <m/>
    <m/>
    <m/>
    <m/>
    <m/>
    <m/>
    <m/>
    <m/>
    <m/>
    <m/>
    <m/>
    <m/>
    <m/>
    <m/>
    <m/>
  </r>
  <r>
    <x v="43"/>
    <x v="4"/>
    <m/>
    <m/>
    <m/>
    <m/>
    <m/>
    <m/>
    <m/>
    <m/>
    <m/>
    <m/>
    <m/>
    <m/>
    <m/>
    <m/>
    <m/>
    <m/>
    <m/>
  </r>
  <r>
    <x v="43"/>
    <x v="5"/>
    <m/>
    <m/>
    <m/>
    <m/>
    <m/>
    <m/>
    <m/>
    <m/>
    <m/>
    <m/>
    <m/>
    <m/>
    <m/>
    <m/>
    <m/>
    <m/>
    <m/>
  </r>
  <r>
    <x v="43"/>
    <x v="6"/>
    <m/>
    <m/>
    <m/>
    <m/>
    <m/>
    <m/>
    <m/>
    <m/>
    <m/>
    <m/>
    <m/>
    <m/>
    <m/>
    <m/>
    <m/>
    <m/>
    <m/>
  </r>
  <r>
    <x v="43"/>
    <x v="7"/>
    <m/>
    <m/>
    <m/>
    <m/>
    <m/>
    <m/>
    <m/>
    <m/>
    <m/>
    <m/>
    <m/>
    <m/>
    <m/>
    <m/>
    <m/>
    <m/>
    <m/>
  </r>
  <r>
    <x v="43"/>
    <x v="8"/>
    <m/>
    <m/>
    <m/>
    <m/>
    <m/>
    <m/>
    <m/>
    <m/>
    <m/>
    <m/>
    <m/>
    <m/>
    <m/>
    <m/>
    <m/>
    <m/>
    <m/>
  </r>
  <r>
    <x v="43"/>
    <x v="9"/>
    <m/>
    <m/>
    <m/>
    <m/>
    <m/>
    <m/>
    <m/>
    <m/>
    <m/>
    <m/>
    <m/>
    <m/>
    <m/>
    <m/>
    <m/>
    <m/>
    <m/>
  </r>
  <r>
    <x v="43"/>
    <x v="10"/>
    <m/>
    <m/>
    <m/>
    <m/>
    <m/>
    <m/>
    <m/>
    <m/>
    <m/>
    <m/>
    <m/>
    <m/>
    <m/>
    <m/>
    <m/>
    <m/>
    <m/>
  </r>
  <r>
    <x v="43"/>
    <x v="11"/>
    <m/>
    <m/>
    <m/>
    <m/>
    <m/>
    <m/>
    <m/>
    <m/>
    <m/>
    <m/>
    <m/>
    <m/>
    <m/>
    <m/>
    <m/>
    <m/>
    <m/>
  </r>
  <r>
    <x v="43"/>
    <x v="12"/>
    <m/>
    <m/>
    <m/>
    <m/>
    <m/>
    <m/>
    <m/>
    <m/>
    <m/>
    <m/>
    <m/>
    <m/>
    <m/>
    <m/>
    <m/>
    <m/>
    <m/>
  </r>
  <r>
    <x v="43"/>
    <x v="14"/>
    <m/>
    <m/>
    <m/>
    <m/>
    <m/>
    <m/>
    <m/>
    <m/>
    <m/>
    <m/>
    <m/>
    <m/>
    <m/>
    <m/>
    <m/>
    <m/>
    <m/>
  </r>
  <r>
    <x v="43"/>
    <x v="76"/>
    <m/>
    <m/>
    <m/>
    <m/>
    <m/>
    <m/>
    <m/>
    <m/>
    <m/>
    <m/>
    <m/>
    <m/>
    <m/>
    <m/>
    <m/>
    <m/>
    <m/>
  </r>
  <r>
    <x v="43"/>
    <x v="15"/>
    <m/>
    <m/>
    <m/>
    <m/>
    <m/>
    <m/>
    <m/>
    <m/>
    <m/>
    <m/>
    <m/>
    <m/>
    <m/>
    <m/>
    <m/>
    <m/>
    <m/>
  </r>
  <r>
    <x v="43"/>
    <x v="16"/>
    <m/>
    <m/>
    <m/>
    <m/>
    <m/>
    <m/>
    <m/>
    <m/>
    <m/>
    <m/>
    <m/>
    <m/>
    <m/>
    <m/>
    <m/>
    <m/>
    <m/>
  </r>
  <r>
    <x v="43"/>
    <x v="17"/>
    <m/>
    <m/>
    <m/>
    <m/>
    <m/>
    <m/>
    <m/>
    <m/>
    <m/>
    <m/>
    <m/>
    <m/>
    <m/>
    <m/>
    <m/>
    <m/>
    <m/>
  </r>
  <r>
    <x v="43"/>
    <x v="18"/>
    <m/>
    <m/>
    <m/>
    <m/>
    <m/>
    <m/>
    <m/>
    <m/>
    <m/>
    <m/>
    <m/>
    <m/>
    <m/>
    <m/>
    <m/>
    <m/>
    <m/>
  </r>
  <r>
    <x v="43"/>
    <x v="19"/>
    <m/>
    <m/>
    <m/>
    <m/>
    <m/>
    <m/>
    <m/>
    <m/>
    <m/>
    <m/>
    <m/>
    <m/>
    <m/>
    <m/>
    <m/>
    <m/>
    <m/>
  </r>
  <r>
    <x v="43"/>
    <x v="20"/>
    <m/>
    <m/>
    <m/>
    <m/>
    <m/>
    <m/>
    <m/>
    <m/>
    <m/>
    <m/>
    <m/>
    <m/>
    <m/>
    <m/>
    <m/>
    <m/>
    <m/>
  </r>
  <r>
    <x v="43"/>
    <x v="21"/>
    <m/>
    <m/>
    <m/>
    <m/>
    <m/>
    <m/>
    <m/>
    <m/>
    <m/>
    <m/>
    <m/>
    <m/>
    <m/>
    <m/>
    <m/>
    <m/>
    <m/>
  </r>
  <r>
    <x v="43"/>
    <x v="22"/>
    <m/>
    <m/>
    <m/>
    <m/>
    <m/>
    <m/>
    <m/>
    <m/>
    <m/>
    <m/>
    <m/>
    <m/>
    <m/>
    <m/>
    <m/>
    <m/>
    <m/>
  </r>
  <r>
    <x v="43"/>
    <x v="23"/>
    <m/>
    <m/>
    <m/>
    <m/>
    <m/>
    <m/>
    <m/>
    <m/>
    <m/>
    <m/>
    <m/>
    <m/>
    <m/>
    <m/>
    <m/>
    <m/>
    <m/>
  </r>
  <r>
    <x v="43"/>
    <x v="77"/>
    <m/>
    <m/>
    <m/>
    <m/>
    <m/>
    <m/>
    <m/>
    <m/>
    <m/>
    <m/>
    <m/>
    <m/>
    <m/>
    <m/>
    <m/>
    <m/>
    <m/>
  </r>
  <r>
    <x v="43"/>
    <x v="25"/>
    <m/>
    <m/>
    <m/>
    <m/>
    <m/>
    <m/>
    <m/>
    <m/>
    <m/>
    <m/>
    <m/>
    <m/>
    <m/>
    <m/>
    <m/>
    <m/>
    <m/>
  </r>
  <r>
    <x v="43"/>
    <x v="26"/>
    <m/>
    <m/>
    <m/>
    <m/>
    <m/>
    <m/>
    <m/>
    <m/>
    <m/>
    <m/>
    <m/>
    <m/>
    <m/>
    <m/>
    <m/>
    <m/>
    <m/>
  </r>
  <r>
    <x v="43"/>
    <x v="27"/>
    <m/>
    <m/>
    <m/>
    <m/>
    <m/>
    <m/>
    <m/>
    <m/>
    <m/>
    <m/>
    <m/>
    <m/>
    <m/>
    <m/>
    <m/>
    <m/>
    <m/>
  </r>
  <r>
    <x v="43"/>
    <x v="28"/>
    <m/>
    <m/>
    <m/>
    <m/>
    <m/>
    <m/>
    <m/>
    <m/>
    <m/>
    <m/>
    <m/>
    <m/>
    <m/>
    <m/>
    <m/>
    <m/>
    <m/>
  </r>
  <r>
    <x v="43"/>
    <x v="78"/>
    <m/>
    <m/>
    <m/>
    <m/>
    <m/>
    <m/>
    <m/>
    <m/>
    <m/>
    <m/>
    <m/>
    <m/>
    <m/>
    <m/>
    <m/>
    <m/>
    <m/>
  </r>
  <r>
    <x v="43"/>
    <x v="30"/>
    <m/>
    <m/>
    <m/>
    <m/>
    <m/>
    <m/>
    <m/>
    <m/>
    <m/>
    <m/>
    <m/>
    <m/>
    <m/>
    <m/>
    <m/>
    <m/>
    <m/>
  </r>
  <r>
    <x v="43"/>
    <x v="31"/>
    <m/>
    <m/>
    <m/>
    <m/>
    <m/>
    <m/>
    <n v="2"/>
    <n v="1"/>
    <m/>
    <m/>
    <m/>
    <m/>
    <m/>
    <m/>
    <m/>
    <m/>
    <m/>
  </r>
  <r>
    <x v="43"/>
    <x v="32"/>
    <m/>
    <m/>
    <m/>
    <m/>
    <m/>
    <m/>
    <m/>
    <m/>
    <m/>
    <m/>
    <m/>
    <m/>
    <m/>
    <m/>
    <m/>
    <m/>
    <m/>
  </r>
  <r>
    <x v="43"/>
    <x v="33"/>
    <m/>
    <m/>
    <m/>
    <m/>
    <m/>
    <m/>
    <m/>
    <m/>
    <m/>
    <m/>
    <m/>
    <m/>
    <m/>
    <m/>
    <m/>
    <m/>
    <m/>
  </r>
  <r>
    <x v="43"/>
    <x v="34"/>
    <m/>
    <m/>
    <m/>
    <m/>
    <m/>
    <m/>
    <m/>
    <m/>
    <m/>
    <m/>
    <m/>
    <m/>
    <m/>
    <m/>
    <m/>
    <m/>
    <m/>
  </r>
  <r>
    <x v="43"/>
    <x v="79"/>
    <m/>
    <m/>
    <m/>
    <m/>
    <m/>
    <m/>
    <m/>
    <m/>
    <m/>
    <m/>
    <m/>
    <m/>
    <m/>
    <m/>
    <m/>
    <m/>
    <m/>
  </r>
  <r>
    <x v="43"/>
    <x v="35"/>
    <m/>
    <m/>
    <m/>
    <m/>
    <m/>
    <m/>
    <m/>
    <m/>
    <m/>
    <m/>
    <m/>
    <m/>
    <m/>
    <m/>
    <m/>
    <m/>
    <m/>
  </r>
  <r>
    <x v="43"/>
    <x v="36"/>
    <m/>
    <m/>
    <m/>
    <m/>
    <m/>
    <m/>
    <m/>
    <m/>
    <m/>
    <m/>
    <m/>
    <m/>
    <m/>
    <m/>
    <m/>
    <m/>
    <m/>
  </r>
  <r>
    <x v="43"/>
    <x v="37"/>
    <m/>
    <m/>
    <m/>
    <m/>
    <m/>
    <m/>
    <m/>
    <m/>
    <m/>
    <m/>
    <m/>
    <m/>
    <m/>
    <m/>
    <m/>
    <m/>
    <m/>
  </r>
  <r>
    <x v="43"/>
    <x v="38"/>
    <m/>
    <m/>
    <m/>
    <m/>
    <m/>
    <m/>
    <m/>
    <m/>
    <m/>
    <m/>
    <m/>
    <m/>
    <m/>
    <m/>
    <m/>
    <m/>
    <m/>
  </r>
  <r>
    <x v="43"/>
    <x v="39"/>
    <m/>
    <m/>
    <m/>
    <m/>
    <m/>
    <m/>
    <m/>
    <m/>
    <m/>
    <m/>
    <m/>
    <m/>
    <m/>
    <m/>
    <m/>
    <m/>
    <m/>
  </r>
  <r>
    <x v="43"/>
    <x v="41"/>
    <m/>
    <m/>
    <m/>
    <m/>
    <m/>
    <m/>
    <m/>
    <m/>
    <m/>
    <m/>
    <m/>
    <m/>
    <m/>
    <m/>
    <m/>
    <m/>
    <m/>
  </r>
  <r>
    <x v="43"/>
    <x v="42"/>
    <m/>
    <m/>
    <m/>
    <m/>
    <m/>
    <m/>
    <n v="1"/>
    <m/>
    <m/>
    <m/>
    <m/>
    <m/>
    <m/>
    <m/>
    <m/>
    <m/>
    <m/>
  </r>
  <r>
    <x v="43"/>
    <x v="43"/>
    <m/>
    <m/>
    <m/>
    <m/>
    <m/>
    <m/>
    <m/>
    <m/>
    <m/>
    <m/>
    <m/>
    <m/>
    <m/>
    <m/>
    <m/>
    <m/>
    <m/>
  </r>
  <r>
    <x v="43"/>
    <x v="44"/>
    <m/>
    <m/>
    <m/>
    <m/>
    <m/>
    <m/>
    <m/>
    <m/>
    <m/>
    <m/>
    <m/>
    <m/>
    <m/>
    <m/>
    <m/>
    <m/>
    <m/>
  </r>
  <r>
    <x v="43"/>
    <x v="45"/>
    <m/>
    <m/>
    <m/>
    <m/>
    <m/>
    <m/>
    <m/>
    <m/>
    <m/>
    <m/>
    <m/>
    <m/>
    <m/>
    <m/>
    <m/>
    <m/>
    <m/>
  </r>
  <r>
    <x v="43"/>
    <x v="46"/>
    <m/>
    <m/>
    <m/>
    <m/>
    <m/>
    <m/>
    <m/>
    <m/>
    <m/>
    <m/>
    <m/>
    <m/>
    <m/>
    <m/>
    <m/>
    <m/>
    <m/>
  </r>
  <r>
    <x v="43"/>
    <x v="80"/>
    <m/>
    <m/>
    <m/>
    <m/>
    <m/>
    <m/>
    <m/>
    <m/>
    <m/>
    <m/>
    <m/>
    <m/>
    <m/>
    <m/>
    <m/>
    <m/>
    <m/>
  </r>
  <r>
    <x v="43"/>
    <x v="48"/>
    <m/>
    <m/>
    <m/>
    <m/>
    <m/>
    <m/>
    <n v="1"/>
    <m/>
    <m/>
    <m/>
    <m/>
    <m/>
    <m/>
    <m/>
    <m/>
    <m/>
    <m/>
  </r>
  <r>
    <x v="43"/>
    <x v="49"/>
    <m/>
    <m/>
    <m/>
    <m/>
    <m/>
    <m/>
    <m/>
    <m/>
    <m/>
    <m/>
    <m/>
    <m/>
    <m/>
    <m/>
    <m/>
    <m/>
    <m/>
  </r>
  <r>
    <x v="43"/>
    <x v="50"/>
    <m/>
    <m/>
    <m/>
    <m/>
    <m/>
    <m/>
    <n v="1"/>
    <m/>
    <m/>
    <m/>
    <m/>
    <m/>
    <m/>
    <m/>
    <m/>
    <m/>
    <m/>
  </r>
  <r>
    <x v="43"/>
    <x v="51"/>
    <m/>
    <m/>
    <m/>
    <m/>
    <m/>
    <m/>
    <m/>
    <m/>
    <m/>
    <m/>
    <m/>
    <m/>
    <m/>
    <m/>
    <m/>
    <m/>
    <m/>
  </r>
  <r>
    <x v="44"/>
    <x v="0"/>
    <m/>
    <m/>
    <m/>
    <m/>
    <m/>
    <m/>
    <m/>
    <m/>
    <m/>
    <m/>
    <m/>
    <m/>
    <m/>
    <m/>
    <m/>
    <m/>
    <m/>
  </r>
  <r>
    <x v="44"/>
    <x v="1"/>
    <m/>
    <m/>
    <m/>
    <m/>
    <m/>
    <m/>
    <m/>
    <m/>
    <m/>
    <m/>
    <m/>
    <m/>
    <m/>
    <m/>
    <m/>
    <m/>
    <m/>
  </r>
  <r>
    <x v="44"/>
    <x v="2"/>
    <m/>
    <m/>
    <m/>
    <m/>
    <m/>
    <m/>
    <m/>
    <m/>
    <m/>
    <m/>
    <m/>
    <m/>
    <m/>
    <m/>
    <m/>
    <m/>
    <m/>
  </r>
  <r>
    <x v="44"/>
    <x v="3"/>
    <m/>
    <m/>
    <m/>
    <m/>
    <m/>
    <m/>
    <m/>
    <m/>
    <m/>
    <m/>
    <m/>
    <m/>
    <m/>
    <m/>
    <m/>
    <m/>
    <m/>
  </r>
  <r>
    <x v="44"/>
    <x v="4"/>
    <m/>
    <m/>
    <m/>
    <m/>
    <m/>
    <m/>
    <m/>
    <m/>
    <m/>
    <m/>
    <m/>
    <m/>
    <m/>
    <m/>
    <m/>
    <m/>
    <m/>
  </r>
  <r>
    <x v="44"/>
    <x v="5"/>
    <m/>
    <m/>
    <m/>
    <m/>
    <m/>
    <m/>
    <m/>
    <m/>
    <m/>
    <m/>
    <m/>
    <m/>
    <m/>
    <m/>
    <m/>
    <m/>
    <m/>
  </r>
  <r>
    <x v="44"/>
    <x v="6"/>
    <m/>
    <m/>
    <m/>
    <m/>
    <m/>
    <m/>
    <m/>
    <m/>
    <m/>
    <m/>
    <m/>
    <m/>
    <m/>
    <m/>
    <m/>
    <m/>
    <m/>
  </r>
  <r>
    <x v="44"/>
    <x v="7"/>
    <m/>
    <m/>
    <m/>
    <m/>
    <m/>
    <m/>
    <m/>
    <m/>
    <m/>
    <m/>
    <m/>
    <m/>
    <m/>
    <m/>
    <m/>
    <m/>
    <m/>
  </r>
  <r>
    <x v="44"/>
    <x v="8"/>
    <m/>
    <m/>
    <m/>
    <m/>
    <m/>
    <m/>
    <m/>
    <m/>
    <m/>
    <m/>
    <m/>
    <m/>
    <m/>
    <m/>
    <m/>
    <m/>
    <m/>
  </r>
  <r>
    <x v="44"/>
    <x v="9"/>
    <m/>
    <m/>
    <m/>
    <m/>
    <m/>
    <m/>
    <m/>
    <m/>
    <m/>
    <m/>
    <m/>
    <m/>
    <m/>
    <m/>
    <m/>
    <m/>
    <m/>
  </r>
  <r>
    <x v="44"/>
    <x v="10"/>
    <m/>
    <m/>
    <m/>
    <m/>
    <m/>
    <m/>
    <m/>
    <m/>
    <m/>
    <m/>
    <m/>
    <m/>
    <m/>
    <m/>
    <m/>
    <m/>
    <m/>
  </r>
  <r>
    <x v="44"/>
    <x v="11"/>
    <m/>
    <m/>
    <m/>
    <m/>
    <m/>
    <m/>
    <m/>
    <m/>
    <m/>
    <m/>
    <m/>
    <m/>
    <m/>
    <m/>
    <m/>
    <m/>
    <m/>
  </r>
  <r>
    <x v="44"/>
    <x v="12"/>
    <m/>
    <m/>
    <m/>
    <m/>
    <m/>
    <m/>
    <m/>
    <m/>
    <m/>
    <m/>
    <m/>
    <m/>
    <m/>
    <m/>
    <m/>
    <m/>
    <m/>
  </r>
  <r>
    <x v="44"/>
    <x v="13"/>
    <m/>
    <m/>
    <m/>
    <m/>
    <m/>
    <m/>
    <m/>
    <m/>
    <m/>
    <m/>
    <m/>
    <m/>
    <m/>
    <m/>
    <m/>
    <m/>
    <m/>
  </r>
  <r>
    <x v="44"/>
    <x v="14"/>
    <m/>
    <m/>
    <m/>
    <m/>
    <m/>
    <m/>
    <m/>
    <m/>
    <m/>
    <m/>
    <m/>
    <m/>
    <m/>
    <m/>
    <m/>
    <m/>
    <m/>
  </r>
  <r>
    <x v="44"/>
    <x v="15"/>
    <m/>
    <m/>
    <m/>
    <m/>
    <m/>
    <m/>
    <m/>
    <m/>
    <m/>
    <m/>
    <m/>
    <m/>
    <m/>
    <m/>
    <m/>
    <m/>
    <m/>
  </r>
  <r>
    <x v="44"/>
    <x v="16"/>
    <m/>
    <m/>
    <m/>
    <m/>
    <m/>
    <m/>
    <m/>
    <m/>
    <m/>
    <m/>
    <m/>
    <m/>
    <m/>
    <m/>
    <m/>
    <m/>
    <m/>
  </r>
  <r>
    <x v="44"/>
    <x v="17"/>
    <m/>
    <m/>
    <m/>
    <m/>
    <m/>
    <m/>
    <m/>
    <m/>
    <m/>
    <m/>
    <m/>
    <m/>
    <m/>
    <m/>
    <m/>
    <m/>
    <m/>
  </r>
  <r>
    <x v="44"/>
    <x v="18"/>
    <m/>
    <m/>
    <m/>
    <m/>
    <m/>
    <m/>
    <m/>
    <m/>
    <m/>
    <m/>
    <m/>
    <m/>
    <m/>
    <m/>
    <m/>
    <m/>
    <m/>
  </r>
  <r>
    <x v="44"/>
    <x v="19"/>
    <m/>
    <m/>
    <m/>
    <m/>
    <m/>
    <m/>
    <m/>
    <m/>
    <m/>
    <m/>
    <m/>
    <m/>
    <m/>
    <m/>
    <m/>
    <m/>
    <m/>
  </r>
  <r>
    <x v="44"/>
    <x v="20"/>
    <m/>
    <m/>
    <m/>
    <m/>
    <m/>
    <m/>
    <m/>
    <m/>
    <m/>
    <m/>
    <m/>
    <m/>
    <m/>
    <m/>
    <m/>
    <m/>
    <m/>
  </r>
  <r>
    <x v="44"/>
    <x v="21"/>
    <m/>
    <m/>
    <m/>
    <m/>
    <m/>
    <m/>
    <m/>
    <m/>
    <m/>
    <m/>
    <m/>
    <m/>
    <m/>
    <m/>
    <m/>
    <m/>
    <m/>
  </r>
  <r>
    <x v="44"/>
    <x v="22"/>
    <m/>
    <m/>
    <m/>
    <m/>
    <m/>
    <m/>
    <m/>
    <m/>
    <m/>
    <m/>
    <m/>
    <m/>
    <m/>
    <m/>
    <m/>
    <m/>
    <m/>
  </r>
  <r>
    <x v="44"/>
    <x v="23"/>
    <m/>
    <m/>
    <m/>
    <m/>
    <m/>
    <m/>
    <m/>
    <m/>
    <m/>
    <m/>
    <m/>
    <m/>
    <m/>
    <m/>
    <m/>
    <m/>
    <m/>
  </r>
  <r>
    <x v="44"/>
    <x v="24"/>
    <m/>
    <m/>
    <m/>
    <m/>
    <m/>
    <m/>
    <m/>
    <m/>
    <m/>
    <m/>
    <m/>
    <m/>
    <m/>
    <m/>
    <m/>
    <m/>
    <m/>
  </r>
  <r>
    <x v="44"/>
    <x v="25"/>
    <m/>
    <m/>
    <m/>
    <m/>
    <m/>
    <m/>
    <m/>
    <m/>
    <m/>
    <m/>
    <m/>
    <m/>
    <m/>
    <m/>
    <m/>
    <m/>
    <m/>
  </r>
  <r>
    <x v="44"/>
    <x v="26"/>
    <m/>
    <m/>
    <m/>
    <m/>
    <m/>
    <m/>
    <m/>
    <m/>
    <m/>
    <m/>
    <m/>
    <m/>
    <m/>
    <m/>
    <m/>
    <m/>
    <m/>
  </r>
  <r>
    <x v="44"/>
    <x v="27"/>
    <m/>
    <m/>
    <m/>
    <m/>
    <m/>
    <m/>
    <m/>
    <m/>
    <m/>
    <m/>
    <m/>
    <m/>
    <m/>
    <m/>
    <m/>
    <m/>
    <m/>
  </r>
  <r>
    <x v="44"/>
    <x v="28"/>
    <m/>
    <m/>
    <m/>
    <m/>
    <m/>
    <m/>
    <m/>
    <m/>
    <m/>
    <m/>
    <m/>
    <m/>
    <m/>
    <m/>
    <m/>
    <m/>
    <m/>
  </r>
  <r>
    <x v="44"/>
    <x v="29"/>
    <m/>
    <m/>
    <m/>
    <m/>
    <m/>
    <m/>
    <m/>
    <m/>
    <m/>
    <m/>
    <m/>
    <m/>
    <m/>
    <m/>
    <m/>
    <m/>
    <m/>
  </r>
  <r>
    <x v="44"/>
    <x v="30"/>
    <m/>
    <m/>
    <m/>
    <m/>
    <m/>
    <m/>
    <m/>
    <m/>
    <m/>
    <m/>
    <m/>
    <m/>
    <m/>
    <m/>
    <m/>
    <m/>
    <m/>
  </r>
  <r>
    <x v="44"/>
    <x v="31"/>
    <n v="1"/>
    <m/>
    <n v="1"/>
    <m/>
    <m/>
    <m/>
    <n v="3"/>
    <n v="1"/>
    <n v="1"/>
    <m/>
    <n v="4"/>
    <n v="4"/>
    <n v="4"/>
    <n v="4"/>
    <n v="1"/>
    <n v="4"/>
    <m/>
  </r>
  <r>
    <x v="44"/>
    <x v="32"/>
    <m/>
    <m/>
    <m/>
    <m/>
    <m/>
    <m/>
    <m/>
    <m/>
    <m/>
    <m/>
    <m/>
    <m/>
    <m/>
    <m/>
    <m/>
    <m/>
    <m/>
  </r>
  <r>
    <x v="44"/>
    <x v="33"/>
    <m/>
    <m/>
    <m/>
    <m/>
    <m/>
    <m/>
    <m/>
    <m/>
    <m/>
    <m/>
    <m/>
    <m/>
    <m/>
    <m/>
    <m/>
    <m/>
    <m/>
  </r>
  <r>
    <x v="44"/>
    <x v="34"/>
    <m/>
    <m/>
    <m/>
    <m/>
    <m/>
    <m/>
    <m/>
    <m/>
    <m/>
    <m/>
    <m/>
    <m/>
    <m/>
    <m/>
    <m/>
    <m/>
    <m/>
  </r>
  <r>
    <x v="44"/>
    <x v="35"/>
    <n v="3"/>
    <m/>
    <m/>
    <m/>
    <m/>
    <m/>
    <n v="2"/>
    <n v="3"/>
    <n v="2"/>
    <n v="2"/>
    <n v="5"/>
    <n v="2"/>
    <n v="2"/>
    <n v="4"/>
    <n v="2"/>
    <n v="2"/>
    <m/>
  </r>
  <r>
    <x v="44"/>
    <x v="36"/>
    <m/>
    <m/>
    <m/>
    <m/>
    <m/>
    <m/>
    <m/>
    <m/>
    <m/>
    <m/>
    <m/>
    <m/>
    <m/>
    <m/>
    <m/>
    <m/>
    <m/>
  </r>
  <r>
    <x v="44"/>
    <x v="37"/>
    <m/>
    <m/>
    <m/>
    <m/>
    <m/>
    <m/>
    <m/>
    <m/>
    <m/>
    <m/>
    <m/>
    <m/>
    <m/>
    <m/>
    <m/>
    <m/>
    <m/>
  </r>
  <r>
    <x v="44"/>
    <x v="38"/>
    <m/>
    <m/>
    <m/>
    <m/>
    <m/>
    <m/>
    <m/>
    <m/>
    <m/>
    <m/>
    <m/>
    <m/>
    <m/>
    <m/>
    <m/>
    <m/>
    <m/>
  </r>
  <r>
    <x v="44"/>
    <x v="39"/>
    <m/>
    <m/>
    <m/>
    <m/>
    <m/>
    <m/>
    <m/>
    <m/>
    <m/>
    <m/>
    <m/>
    <m/>
    <m/>
    <m/>
    <m/>
    <m/>
    <m/>
  </r>
  <r>
    <x v="44"/>
    <x v="40"/>
    <m/>
    <m/>
    <m/>
    <m/>
    <m/>
    <m/>
    <m/>
    <m/>
    <m/>
    <m/>
    <m/>
    <m/>
    <m/>
    <m/>
    <m/>
    <m/>
    <m/>
  </r>
  <r>
    <x v="44"/>
    <x v="41"/>
    <m/>
    <m/>
    <m/>
    <m/>
    <m/>
    <m/>
    <m/>
    <m/>
    <m/>
    <m/>
    <m/>
    <m/>
    <m/>
    <m/>
    <m/>
    <m/>
    <m/>
  </r>
  <r>
    <x v="44"/>
    <x v="42"/>
    <m/>
    <m/>
    <m/>
    <m/>
    <m/>
    <m/>
    <m/>
    <m/>
    <m/>
    <m/>
    <m/>
    <n v="3"/>
    <m/>
    <n v="3"/>
    <m/>
    <m/>
    <m/>
  </r>
  <r>
    <x v="44"/>
    <x v="43"/>
    <m/>
    <m/>
    <m/>
    <m/>
    <m/>
    <m/>
    <m/>
    <m/>
    <m/>
    <m/>
    <m/>
    <m/>
    <m/>
    <m/>
    <m/>
    <m/>
    <m/>
  </r>
  <r>
    <x v="44"/>
    <x v="44"/>
    <m/>
    <m/>
    <m/>
    <m/>
    <m/>
    <m/>
    <m/>
    <m/>
    <m/>
    <m/>
    <m/>
    <m/>
    <m/>
    <m/>
    <m/>
    <m/>
    <m/>
  </r>
  <r>
    <x v="44"/>
    <x v="45"/>
    <m/>
    <m/>
    <m/>
    <m/>
    <m/>
    <m/>
    <m/>
    <m/>
    <m/>
    <m/>
    <m/>
    <m/>
    <m/>
    <m/>
    <m/>
    <m/>
    <m/>
  </r>
  <r>
    <x v="44"/>
    <x v="46"/>
    <m/>
    <m/>
    <m/>
    <m/>
    <m/>
    <m/>
    <m/>
    <m/>
    <m/>
    <m/>
    <m/>
    <m/>
    <m/>
    <m/>
    <m/>
    <m/>
    <m/>
  </r>
  <r>
    <x v="44"/>
    <x v="47"/>
    <m/>
    <m/>
    <m/>
    <m/>
    <m/>
    <m/>
    <m/>
    <m/>
    <m/>
    <m/>
    <m/>
    <m/>
    <m/>
    <m/>
    <m/>
    <m/>
    <m/>
  </r>
  <r>
    <x v="44"/>
    <x v="48"/>
    <m/>
    <m/>
    <m/>
    <m/>
    <m/>
    <m/>
    <m/>
    <m/>
    <m/>
    <m/>
    <m/>
    <m/>
    <m/>
    <m/>
    <m/>
    <m/>
    <m/>
  </r>
  <r>
    <x v="44"/>
    <x v="49"/>
    <m/>
    <m/>
    <m/>
    <m/>
    <m/>
    <m/>
    <m/>
    <m/>
    <m/>
    <m/>
    <m/>
    <m/>
    <m/>
    <m/>
    <m/>
    <m/>
    <m/>
  </r>
  <r>
    <x v="44"/>
    <x v="50"/>
    <m/>
    <m/>
    <m/>
    <m/>
    <m/>
    <m/>
    <m/>
    <m/>
    <m/>
    <m/>
    <m/>
    <m/>
    <m/>
    <m/>
    <m/>
    <m/>
    <m/>
  </r>
  <r>
    <x v="44"/>
    <x v="51"/>
    <m/>
    <m/>
    <m/>
    <m/>
    <m/>
    <m/>
    <m/>
    <m/>
    <m/>
    <m/>
    <m/>
    <m/>
    <m/>
    <m/>
    <m/>
    <m/>
    <m/>
  </r>
  <r>
    <x v="45"/>
    <x v="0"/>
    <m/>
    <n v="1"/>
    <m/>
    <n v="1"/>
    <m/>
    <n v="1"/>
    <m/>
    <n v="3"/>
    <m/>
    <n v="1"/>
    <m/>
    <m/>
    <m/>
    <m/>
    <m/>
    <n v="2"/>
    <m/>
  </r>
  <r>
    <x v="45"/>
    <x v="1"/>
    <m/>
    <m/>
    <m/>
    <m/>
    <m/>
    <m/>
    <m/>
    <m/>
    <m/>
    <m/>
    <m/>
    <m/>
    <m/>
    <m/>
    <m/>
    <m/>
    <m/>
  </r>
  <r>
    <x v="45"/>
    <x v="2"/>
    <m/>
    <m/>
    <m/>
    <m/>
    <m/>
    <m/>
    <m/>
    <m/>
    <m/>
    <m/>
    <m/>
    <m/>
    <m/>
    <m/>
    <m/>
    <m/>
    <m/>
  </r>
  <r>
    <x v="45"/>
    <x v="3"/>
    <m/>
    <m/>
    <m/>
    <m/>
    <m/>
    <m/>
    <m/>
    <m/>
    <m/>
    <m/>
    <m/>
    <m/>
    <m/>
    <m/>
    <m/>
    <m/>
    <m/>
  </r>
  <r>
    <x v="45"/>
    <x v="4"/>
    <m/>
    <m/>
    <m/>
    <m/>
    <m/>
    <m/>
    <m/>
    <m/>
    <m/>
    <m/>
    <m/>
    <m/>
    <m/>
    <m/>
    <m/>
    <m/>
    <m/>
  </r>
  <r>
    <x v="45"/>
    <x v="5"/>
    <m/>
    <m/>
    <m/>
    <m/>
    <m/>
    <m/>
    <m/>
    <m/>
    <m/>
    <m/>
    <m/>
    <m/>
    <m/>
    <m/>
    <m/>
    <m/>
    <m/>
  </r>
  <r>
    <x v="45"/>
    <x v="6"/>
    <m/>
    <m/>
    <m/>
    <m/>
    <m/>
    <m/>
    <m/>
    <m/>
    <m/>
    <m/>
    <m/>
    <m/>
    <m/>
    <m/>
    <m/>
    <m/>
    <m/>
  </r>
  <r>
    <x v="45"/>
    <x v="7"/>
    <m/>
    <m/>
    <m/>
    <m/>
    <m/>
    <m/>
    <m/>
    <m/>
    <m/>
    <m/>
    <m/>
    <m/>
    <m/>
    <m/>
    <m/>
    <m/>
    <m/>
  </r>
  <r>
    <x v="45"/>
    <x v="8"/>
    <m/>
    <m/>
    <m/>
    <m/>
    <m/>
    <m/>
    <m/>
    <m/>
    <m/>
    <m/>
    <m/>
    <m/>
    <m/>
    <m/>
    <m/>
    <m/>
    <m/>
  </r>
  <r>
    <x v="45"/>
    <x v="9"/>
    <m/>
    <m/>
    <m/>
    <m/>
    <m/>
    <m/>
    <m/>
    <m/>
    <m/>
    <m/>
    <m/>
    <m/>
    <m/>
    <m/>
    <m/>
    <m/>
    <m/>
  </r>
  <r>
    <x v="45"/>
    <x v="10"/>
    <m/>
    <m/>
    <m/>
    <m/>
    <m/>
    <m/>
    <m/>
    <m/>
    <m/>
    <m/>
    <m/>
    <m/>
    <m/>
    <m/>
    <m/>
    <m/>
    <m/>
  </r>
  <r>
    <x v="45"/>
    <x v="11"/>
    <m/>
    <m/>
    <m/>
    <m/>
    <m/>
    <m/>
    <m/>
    <m/>
    <m/>
    <m/>
    <m/>
    <m/>
    <m/>
    <m/>
    <m/>
    <m/>
    <m/>
  </r>
  <r>
    <x v="45"/>
    <x v="12"/>
    <m/>
    <m/>
    <m/>
    <m/>
    <m/>
    <m/>
    <m/>
    <m/>
    <m/>
    <m/>
    <m/>
    <m/>
    <m/>
    <m/>
    <m/>
    <m/>
    <m/>
  </r>
  <r>
    <x v="45"/>
    <x v="13"/>
    <m/>
    <m/>
    <m/>
    <m/>
    <m/>
    <m/>
    <m/>
    <m/>
    <m/>
    <m/>
    <m/>
    <m/>
    <m/>
    <m/>
    <m/>
    <m/>
    <m/>
  </r>
  <r>
    <x v="45"/>
    <x v="14"/>
    <m/>
    <m/>
    <m/>
    <m/>
    <m/>
    <m/>
    <m/>
    <m/>
    <m/>
    <m/>
    <m/>
    <m/>
    <m/>
    <m/>
    <m/>
    <m/>
    <m/>
  </r>
  <r>
    <x v="45"/>
    <x v="15"/>
    <m/>
    <m/>
    <m/>
    <m/>
    <m/>
    <m/>
    <m/>
    <m/>
    <m/>
    <m/>
    <m/>
    <m/>
    <m/>
    <m/>
    <m/>
    <m/>
    <m/>
  </r>
  <r>
    <x v="45"/>
    <x v="16"/>
    <m/>
    <m/>
    <m/>
    <m/>
    <m/>
    <m/>
    <m/>
    <m/>
    <m/>
    <m/>
    <m/>
    <m/>
    <m/>
    <m/>
    <m/>
    <m/>
    <m/>
  </r>
  <r>
    <x v="45"/>
    <x v="17"/>
    <m/>
    <m/>
    <m/>
    <m/>
    <m/>
    <m/>
    <m/>
    <m/>
    <m/>
    <m/>
    <m/>
    <m/>
    <m/>
    <m/>
    <m/>
    <m/>
    <m/>
  </r>
  <r>
    <x v="45"/>
    <x v="18"/>
    <m/>
    <m/>
    <m/>
    <m/>
    <m/>
    <m/>
    <m/>
    <m/>
    <m/>
    <m/>
    <m/>
    <m/>
    <m/>
    <m/>
    <m/>
    <m/>
    <m/>
  </r>
  <r>
    <x v="45"/>
    <x v="19"/>
    <m/>
    <m/>
    <m/>
    <m/>
    <m/>
    <m/>
    <m/>
    <m/>
    <m/>
    <m/>
    <m/>
    <m/>
    <m/>
    <m/>
    <m/>
    <m/>
    <m/>
  </r>
  <r>
    <x v="45"/>
    <x v="20"/>
    <m/>
    <m/>
    <m/>
    <m/>
    <m/>
    <m/>
    <m/>
    <m/>
    <m/>
    <m/>
    <m/>
    <m/>
    <m/>
    <m/>
    <m/>
    <m/>
    <m/>
  </r>
  <r>
    <x v="45"/>
    <x v="21"/>
    <m/>
    <m/>
    <m/>
    <m/>
    <m/>
    <m/>
    <m/>
    <m/>
    <m/>
    <m/>
    <m/>
    <m/>
    <m/>
    <m/>
    <m/>
    <m/>
    <m/>
  </r>
  <r>
    <x v="45"/>
    <x v="22"/>
    <m/>
    <m/>
    <m/>
    <m/>
    <m/>
    <m/>
    <m/>
    <m/>
    <m/>
    <m/>
    <m/>
    <m/>
    <m/>
    <m/>
    <m/>
    <m/>
    <m/>
  </r>
  <r>
    <x v="45"/>
    <x v="23"/>
    <m/>
    <m/>
    <m/>
    <m/>
    <m/>
    <m/>
    <m/>
    <m/>
    <m/>
    <m/>
    <m/>
    <m/>
    <m/>
    <m/>
    <m/>
    <m/>
    <m/>
  </r>
  <r>
    <x v="45"/>
    <x v="24"/>
    <m/>
    <m/>
    <m/>
    <m/>
    <m/>
    <m/>
    <m/>
    <m/>
    <m/>
    <m/>
    <m/>
    <m/>
    <m/>
    <m/>
    <m/>
    <m/>
    <m/>
  </r>
  <r>
    <x v="45"/>
    <x v="25"/>
    <m/>
    <m/>
    <m/>
    <m/>
    <m/>
    <m/>
    <m/>
    <m/>
    <m/>
    <m/>
    <m/>
    <m/>
    <m/>
    <m/>
    <m/>
    <m/>
    <m/>
  </r>
  <r>
    <x v="45"/>
    <x v="26"/>
    <m/>
    <m/>
    <m/>
    <m/>
    <m/>
    <m/>
    <m/>
    <m/>
    <m/>
    <m/>
    <m/>
    <m/>
    <m/>
    <m/>
    <m/>
    <m/>
    <m/>
  </r>
  <r>
    <x v="45"/>
    <x v="27"/>
    <m/>
    <m/>
    <m/>
    <m/>
    <m/>
    <m/>
    <m/>
    <m/>
    <m/>
    <m/>
    <m/>
    <m/>
    <m/>
    <m/>
    <m/>
    <m/>
    <m/>
  </r>
  <r>
    <x v="45"/>
    <x v="28"/>
    <m/>
    <m/>
    <m/>
    <m/>
    <m/>
    <m/>
    <m/>
    <m/>
    <m/>
    <m/>
    <m/>
    <m/>
    <m/>
    <m/>
    <m/>
    <m/>
    <m/>
  </r>
  <r>
    <x v="45"/>
    <x v="29"/>
    <m/>
    <m/>
    <m/>
    <m/>
    <m/>
    <m/>
    <m/>
    <m/>
    <m/>
    <m/>
    <m/>
    <m/>
    <m/>
    <m/>
    <m/>
    <m/>
    <m/>
  </r>
  <r>
    <x v="45"/>
    <x v="30"/>
    <m/>
    <m/>
    <m/>
    <m/>
    <m/>
    <m/>
    <m/>
    <m/>
    <m/>
    <m/>
    <m/>
    <m/>
    <m/>
    <m/>
    <m/>
    <m/>
    <m/>
  </r>
  <r>
    <x v="45"/>
    <x v="31"/>
    <m/>
    <m/>
    <m/>
    <m/>
    <m/>
    <m/>
    <m/>
    <m/>
    <m/>
    <m/>
    <m/>
    <m/>
    <m/>
    <m/>
    <m/>
    <m/>
    <m/>
  </r>
  <r>
    <x v="45"/>
    <x v="32"/>
    <m/>
    <m/>
    <m/>
    <m/>
    <m/>
    <m/>
    <m/>
    <m/>
    <m/>
    <m/>
    <m/>
    <m/>
    <m/>
    <m/>
    <m/>
    <m/>
    <m/>
  </r>
  <r>
    <x v="45"/>
    <x v="33"/>
    <m/>
    <m/>
    <m/>
    <m/>
    <m/>
    <m/>
    <m/>
    <m/>
    <m/>
    <m/>
    <m/>
    <m/>
    <m/>
    <m/>
    <m/>
    <m/>
    <m/>
  </r>
  <r>
    <x v="45"/>
    <x v="34"/>
    <m/>
    <m/>
    <m/>
    <m/>
    <m/>
    <m/>
    <m/>
    <m/>
    <m/>
    <m/>
    <m/>
    <n v="5"/>
    <m/>
    <m/>
    <m/>
    <m/>
    <m/>
  </r>
  <r>
    <x v="45"/>
    <x v="35"/>
    <m/>
    <m/>
    <m/>
    <m/>
    <m/>
    <m/>
    <m/>
    <m/>
    <m/>
    <m/>
    <m/>
    <m/>
    <m/>
    <m/>
    <m/>
    <m/>
    <m/>
  </r>
  <r>
    <x v="45"/>
    <x v="36"/>
    <m/>
    <m/>
    <m/>
    <m/>
    <m/>
    <m/>
    <m/>
    <m/>
    <m/>
    <m/>
    <m/>
    <m/>
    <m/>
    <m/>
    <m/>
    <m/>
    <m/>
  </r>
  <r>
    <x v="45"/>
    <x v="37"/>
    <m/>
    <m/>
    <m/>
    <m/>
    <m/>
    <m/>
    <m/>
    <m/>
    <m/>
    <m/>
    <m/>
    <m/>
    <m/>
    <m/>
    <m/>
    <m/>
    <m/>
  </r>
  <r>
    <x v="45"/>
    <x v="38"/>
    <m/>
    <m/>
    <m/>
    <m/>
    <m/>
    <m/>
    <m/>
    <m/>
    <m/>
    <m/>
    <m/>
    <m/>
    <m/>
    <m/>
    <m/>
    <m/>
    <m/>
  </r>
  <r>
    <x v="45"/>
    <x v="39"/>
    <m/>
    <m/>
    <m/>
    <m/>
    <m/>
    <m/>
    <m/>
    <m/>
    <m/>
    <m/>
    <m/>
    <m/>
    <m/>
    <m/>
    <m/>
    <m/>
    <m/>
  </r>
  <r>
    <x v="45"/>
    <x v="40"/>
    <m/>
    <m/>
    <m/>
    <m/>
    <m/>
    <m/>
    <m/>
    <m/>
    <m/>
    <m/>
    <m/>
    <m/>
    <m/>
    <m/>
    <m/>
    <m/>
    <m/>
  </r>
  <r>
    <x v="45"/>
    <x v="41"/>
    <m/>
    <m/>
    <m/>
    <m/>
    <m/>
    <m/>
    <m/>
    <m/>
    <m/>
    <m/>
    <m/>
    <m/>
    <m/>
    <m/>
    <m/>
    <m/>
    <m/>
  </r>
  <r>
    <x v="45"/>
    <x v="42"/>
    <m/>
    <m/>
    <m/>
    <m/>
    <m/>
    <m/>
    <m/>
    <m/>
    <m/>
    <m/>
    <m/>
    <m/>
    <m/>
    <m/>
    <m/>
    <m/>
    <m/>
  </r>
  <r>
    <x v="45"/>
    <x v="43"/>
    <m/>
    <m/>
    <m/>
    <m/>
    <m/>
    <m/>
    <m/>
    <m/>
    <m/>
    <m/>
    <m/>
    <m/>
    <m/>
    <m/>
    <m/>
    <m/>
    <m/>
  </r>
  <r>
    <x v="45"/>
    <x v="44"/>
    <m/>
    <m/>
    <m/>
    <m/>
    <m/>
    <m/>
    <m/>
    <m/>
    <m/>
    <m/>
    <m/>
    <m/>
    <m/>
    <m/>
    <m/>
    <m/>
    <m/>
  </r>
  <r>
    <x v="45"/>
    <x v="45"/>
    <m/>
    <m/>
    <m/>
    <m/>
    <m/>
    <m/>
    <m/>
    <m/>
    <m/>
    <m/>
    <m/>
    <m/>
    <m/>
    <m/>
    <m/>
    <m/>
    <m/>
  </r>
  <r>
    <x v="45"/>
    <x v="46"/>
    <m/>
    <m/>
    <m/>
    <m/>
    <m/>
    <m/>
    <m/>
    <m/>
    <m/>
    <m/>
    <m/>
    <m/>
    <m/>
    <m/>
    <m/>
    <m/>
    <m/>
  </r>
  <r>
    <x v="45"/>
    <x v="47"/>
    <m/>
    <m/>
    <m/>
    <m/>
    <m/>
    <m/>
    <m/>
    <m/>
    <m/>
    <m/>
    <m/>
    <m/>
    <m/>
    <m/>
    <m/>
    <m/>
    <m/>
  </r>
  <r>
    <x v="45"/>
    <x v="48"/>
    <m/>
    <m/>
    <m/>
    <m/>
    <m/>
    <m/>
    <m/>
    <m/>
    <m/>
    <m/>
    <m/>
    <m/>
    <m/>
    <m/>
    <m/>
    <m/>
    <m/>
  </r>
  <r>
    <x v="45"/>
    <x v="49"/>
    <m/>
    <m/>
    <m/>
    <m/>
    <m/>
    <m/>
    <m/>
    <n v="9"/>
    <m/>
    <m/>
    <m/>
    <m/>
    <m/>
    <m/>
    <m/>
    <m/>
    <m/>
  </r>
  <r>
    <x v="45"/>
    <x v="50"/>
    <m/>
    <m/>
    <m/>
    <m/>
    <m/>
    <m/>
    <m/>
    <m/>
    <m/>
    <m/>
    <m/>
    <m/>
    <m/>
    <m/>
    <m/>
    <m/>
    <m/>
  </r>
  <r>
    <x v="45"/>
    <x v="51"/>
    <m/>
    <m/>
    <m/>
    <m/>
    <m/>
    <m/>
    <m/>
    <m/>
    <m/>
    <m/>
    <m/>
    <m/>
    <m/>
    <m/>
    <m/>
    <m/>
    <m/>
  </r>
  <r>
    <x v="46"/>
    <x v="0"/>
    <m/>
    <m/>
    <m/>
    <m/>
    <m/>
    <m/>
    <m/>
    <m/>
    <m/>
    <m/>
    <m/>
    <m/>
    <m/>
    <m/>
    <m/>
    <m/>
    <m/>
  </r>
  <r>
    <x v="46"/>
    <x v="1"/>
    <m/>
    <m/>
    <m/>
    <m/>
    <m/>
    <m/>
    <m/>
    <m/>
    <m/>
    <m/>
    <m/>
    <m/>
    <m/>
    <m/>
    <m/>
    <m/>
    <m/>
  </r>
  <r>
    <x v="46"/>
    <x v="2"/>
    <m/>
    <m/>
    <m/>
    <m/>
    <m/>
    <m/>
    <m/>
    <m/>
    <m/>
    <m/>
    <m/>
    <m/>
    <m/>
    <m/>
    <m/>
    <m/>
    <m/>
  </r>
  <r>
    <x v="46"/>
    <x v="3"/>
    <m/>
    <m/>
    <m/>
    <m/>
    <m/>
    <m/>
    <m/>
    <m/>
    <m/>
    <m/>
    <m/>
    <m/>
    <m/>
    <m/>
    <m/>
    <m/>
    <m/>
  </r>
  <r>
    <x v="46"/>
    <x v="4"/>
    <m/>
    <m/>
    <m/>
    <m/>
    <m/>
    <m/>
    <m/>
    <m/>
    <m/>
    <m/>
    <m/>
    <m/>
    <m/>
    <m/>
    <m/>
    <m/>
    <m/>
  </r>
  <r>
    <x v="46"/>
    <x v="5"/>
    <m/>
    <m/>
    <m/>
    <m/>
    <m/>
    <m/>
    <m/>
    <m/>
    <m/>
    <m/>
    <m/>
    <m/>
    <m/>
    <m/>
    <m/>
    <m/>
    <m/>
  </r>
  <r>
    <x v="46"/>
    <x v="6"/>
    <m/>
    <m/>
    <m/>
    <m/>
    <m/>
    <m/>
    <m/>
    <m/>
    <m/>
    <m/>
    <m/>
    <m/>
    <m/>
    <m/>
    <m/>
    <m/>
    <m/>
  </r>
  <r>
    <x v="46"/>
    <x v="7"/>
    <m/>
    <m/>
    <m/>
    <m/>
    <m/>
    <m/>
    <m/>
    <m/>
    <m/>
    <m/>
    <m/>
    <m/>
    <m/>
    <m/>
    <m/>
    <m/>
    <m/>
  </r>
  <r>
    <x v="46"/>
    <x v="8"/>
    <m/>
    <m/>
    <m/>
    <m/>
    <m/>
    <m/>
    <m/>
    <m/>
    <m/>
    <m/>
    <m/>
    <m/>
    <m/>
    <m/>
    <m/>
    <m/>
    <m/>
  </r>
  <r>
    <x v="46"/>
    <x v="9"/>
    <m/>
    <m/>
    <m/>
    <m/>
    <m/>
    <m/>
    <m/>
    <m/>
    <m/>
    <m/>
    <m/>
    <m/>
    <m/>
    <m/>
    <m/>
    <m/>
    <m/>
  </r>
  <r>
    <x v="46"/>
    <x v="10"/>
    <m/>
    <m/>
    <m/>
    <m/>
    <m/>
    <m/>
    <m/>
    <m/>
    <m/>
    <m/>
    <m/>
    <m/>
    <m/>
    <m/>
    <m/>
    <m/>
    <m/>
  </r>
  <r>
    <x v="46"/>
    <x v="11"/>
    <m/>
    <m/>
    <m/>
    <m/>
    <m/>
    <m/>
    <m/>
    <m/>
    <m/>
    <m/>
    <m/>
    <m/>
    <m/>
    <m/>
    <m/>
    <m/>
    <m/>
  </r>
  <r>
    <x v="46"/>
    <x v="12"/>
    <m/>
    <m/>
    <m/>
    <m/>
    <m/>
    <m/>
    <m/>
    <m/>
    <m/>
    <m/>
    <m/>
    <m/>
    <m/>
    <m/>
    <m/>
    <m/>
    <m/>
  </r>
  <r>
    <x v="46"/>
    <x v="13"/>
    <m/>
    <m/>
    <m/>
    <m/>
    <m/>
    <m/>
    <m/>
    <m/>
    <m/>
    <m/>
    <m/>
    <m/>
    <m/>
    <m/>
    <m/>
    <m/>
    <m/>
  </r>
  <r>
    <x v="46"/>
    <x v="14"/>
    <m/>
    <m/>
    <m/>
    <m/>
    <m/>
    <m/>
    <m/>
    <m/>
    <m/>
    <m/>
    <m/>
    <m/>
    <m/>
    <m/>
    <m/>
    <m/>
    <m/>
  </r>
  <r>
    <x v="46"/>
    <x v="15"/>
    <m/>
    <m/>
    <m/>
    <m/>
    <m/>
    <m/>
    <m/>
    <n v="3"/>
    <m/>
    <n v="6"/>
    <m/>
    <m/>
    <m/>
    <n v="4"/>
    <m/>
    <m/>
    <m/>
  </r>
  <r>
    <x v="46"/>
    <x v="16"/>
    <m/>
    <m/>
    <m/>
    <m/>
    <m/>
    <m/>
    <m/>
    <m/>
    <m/>
    <m/>
    <m/>
    <m/>
    <m/>
    <m/>
    <m/>
    <m/>
    <m/>
  </r>
  <r>
    <x v="46"/>
    <x v="17"/>
    <m/>
    <m/>
    <m/>
    <m/>
    <m/>
    <m/>
    <m/>
    <m/>
    <m/>
    <m/>
    <m/>
    <m/>
    <m/>
    <m/>
    <m/>
    <m/>
    <m/>
  </r>
  <r>
    <x v="46"/>
    <x v="18"/>
    <m/>
    <m/>
    <m/>
    <m/>
    <m/>
    <m/>
    <m/>
    <m/>
    <m/>
    <m/>
    <m/>
    <m/>
    <m/>
    <m/>
    <m/>
    <m/>
    <m/>
  </r>
  <r>
    <x v="46"/>
    <x v="19"/>
    <m/>
    <m/>
    <m/>
    <m/>
    <m/>
    <m/>
    <m/>
    <m/>
    <m/>
    <m/>
    <m/>
    <m/>
    <m/>
    <m/>
    <m/>
    <m/>
    <m/>
  </r>
  <r>
    <x v="46"/>
    <x v="20"/>
    <m/>
    <m/>
    <m/>
    <m/>
    <m/>
    <m/>
    <m/>
    <m/>
    <m/>
    <m/>
    <m/>
    <m/>
    <m/>
    <m/>
    <m/>
    <m/>
    <m/>
  </r>
  <r>
    <x v="46"/>
    <x v="21"/>
    <m/>
    <m/>
    <m/>
    <m/>
    <m/>
    <m/>
    <m/>
    <m/>
    <m/>
    <m/>
    <m/>
    <m/>
    <m/>
    <m/>
    <m/>
    <m/>
    <m/>
  </r>
  <r>
    <x v="46"/>
    <x v="22"/>
    <m/>
    <m/>
    <m/>
    <m/>
    <m/>
    <m/>
    <m/>
    <m/>
    <m/>
    <m/>
    <m/>
    <m/>
    <m/>
    <m/>
    <m/>
    <m/>
    <m/>
  </r>
  <r>
    <x v="46"/>
    <x v="23"/>
    <m/>
    <m/>
    <m/>
    <m/>
    <m/>
    <m/>
    <m/>
    <m/>
    <m/>
    <m/>
    <m/>
    <m/>
    <m/>
    <m/>
    <m/>
    <m/>
    <m/>
  </r>
  <r>
    <x v="46"/>
    <x v="24"/>
    <m/>
    <m/>
    <m/>
    <m/>
    <m/>
    <m/>
    <m/>
    <m/>
    <m/>
    <m/>
    <m/>
    <m/>
    <m/>
    <m/>
    <m/>
    <m/>
    <m/>
  </r>
  <r>
    <x v="46"/>
    <x v="25"/>
    <m/>
    <m/>
    <m/>
    <m/>
    <m/>
    <m/>
    <m/>
    <m/>
    <m/>
    <m/>
    <m/>
    <m/>
    <m/>
    <m/>
    <m/>
    <m/>
    <m/>
  </r>
  <r>
    <x v="46"/>
    <x v="26"/>
    <m/>
    <m/>
    <m/>
    <m/>
    <m/>
    <m/>
    <m/>
    <m/>
    <m/>
    <m/>
    <m/>
    <m/>
    <m/>
    <m/>
    <m/>
    <m/>
    <m/>
  </r>
  <r>
    <x v="46"/>
    <x v="27"/>
    <m/>
    <m/>
    <m/>
    <m/>
    <m/>
    <m/>
    <m/>
    <m/>
    <m/>
    <m/>
    <m/>
    <m/>
    <m/>
    <m/>
    <m/>
    <m/>
    <m/>
  </r>
  <r>
    <x v="46"/>
    <x v="28"/>
    <m/>
    <m/>
    <m/>
    <m/>
    <m/>
    <m/>
    <m/>
    <m/>
    <m/>
    <m/>
    <m/>
    <m/>
    <m/>
    <m/>
    <m/>
    <m/>
    <m/>
  </r>
  <r>
    <x v="46"/>
    <x v="29"/>
    <m/>
    <m/>
    <m/>
    <m/>
    <m/>
    <m/>
    <m/>
    <m/>
    <m/>
    <m/>
    <m/>
    <m/>
    <m/>
    <m/>
    <m/>
    <m/>
    <m/>
  </r>
  <r>
    <x v="46"/>
    <x v="30"/>
    <m/>
    <m/>
    <m/>
    <m/>
    <m/>
    <m/>
    <m/>
    <m/>
    <m/>
    <m/>
    <m/>
    <m/>
    <m/>
    <m/>
    <m/>
    <m/>
    <m/>
  </r>
  <r>
    <x v="46"/>
    <x v="31"/>
    <m/>
    <m/>
    <m/>
    <m/>
    <m/>
    <m/>
    <m/>
    <m/>
    <m/>
    <m/>
    <m/>
    <m/>
    <m/>
    <m/>
    <m/>
    <m/>
    <m/>
  </r>
  <r>
    <x v="46"/>
    <x v="32"/>
    <m/>
    <m/>
    <m/>
    <m/>
    <m/>
    <m/>
    <m/>
    <m/>
    <m/>
    <m/>
    <m/>
    <m/>
    <m/>
    <m/>
    <m/>
    <m/>
    <m/>
  </r>
  <r>
    <x v="46"/>
    <x v="33"/>
    <m/>
    <m/>
    <m/>
    <m/>
    <m/>
    <m/>
    <m/>
    <m/>
    <m/>
    <m/>
    <m/>
    <m/>
    <m/>
    <m/>
    <m/>
    <m/>
    <m/>
  </r>
  <r>
    <x v="46"/>
    <x v="34"/>
    <m/>
    <m/>
    <m/>
    <m/>
    <m/>
    <m/>
    <m/>
    <m/>
    <m/>
    <m/>
    <m/>
    <m/>
    <m/>
    <m/>
    <m/>
    <m/>
    <m/>
  </r>
  <r>
    <x v="46"/>
    <x v="35"/>
    <m/>
    <m/>
    <m/>
    <m/>
    <m/>
    <m/>
    <m/>
    <m/>
    <m/>
    <m/>
    <m/>
    <m/>
    <m/>
    <m/>
    <m/>
    <m/>
    <m/>
  </r>
  <r>
    <x v="46"/>
    <x v="36"/>
    <m/>
    <m/>
    <m/>
    <m/>
    <m/>
    <m/>
    <m/>
    <m/>
    <m/>
    <m/>
    <m/>
    <m/>
    <m/>
    <m/>
    <m/>
    <m/>
    <m/>
  </r>
  <r>
    <x v="46"/>
    <x v="37"/>
    <m/>
    <m/>
    <m/>
    <m/>
    <m/>
    <m/>
    <m/>
    <m/>
    <m/>
    <m/>
    <m/>
    <m/>
    <m/>
    <m/>
    <m/>
    <m/>
    <m/>
  </r>
  <r>
    <x v="46"/>
    <x v="38"/>
    <m/>
    <m/>
    <m/>
    <m/>
    <m/>
    <m/>
    <m/>
    <m/>
    <m/>
    <m/>
    <m/>
    <m/>
    <m/>
    <m/>
    <m/>
    <m/>
    <m/>
  </r>
  <r>
    <x v="46"/>
    <x v="39"/>
    <m/>
    <m/>
    <m/>
    <m/>
    <m/>
    <m/>
    <m/>
    <m/>
    <m/>
    <m/>
    <m/>
    <m/>
    <m/>
    <m/>
    <m/>
    <m/>
    <m/>
  </r>
  <r>
    <x v="46"/>
    <x v="40"/>
    <m/>
    <m/>
    <m/>
    <m/>
    <m/>
    <m/>
    <m/>
    <m/>
    <m/>
    <m/>
    <m/>
    <m/>
    <m/>
    <m/>
    <m/>
    <m/>
    <m/>
  </r>
  <r>
    <x v="46"/>
    <x v="41"/>
    <m/>
    <m/>
    <m/>
    <m/>
    <m/>
    <m/>
    <m/>
    <m/>
    <m/>
    <m/>
    <m/>
    <m/>
    <m/>
    <m/>
    <m/>
    <m/>
    <m/>
  </r>
  <r>
    <x v="46"/>
    <x v="42"/>
    <m/>
    <m/>
    <m/>
    <m/>
    <m/>
    <m/>
    <m/>
    <m/>
    <m/>
    <m/>
    <m/>
    <m/>
    <m/>
    <m/>
    <m/>
    <m/>
    <m/>
  </r>
  <r>
    <x v="46"/>
    <x v="43"/>
    <m/>
    <m/>
    <m/>
    <m/>
    <m/>
    <m/>
    <m/>
    <m/>
    <m/>
    <m/>
    <m/>
    <m/>
    <m/>
    <m/>
    <m/>
    <m/>
    <m/>
  </r>
  <r>
    <x v="46"/>
    <x v="44"/>
    <m/>
    <m/>
    <m/>
    <m/>
    <m/>
    <m/>
    <m/>
    <m/>
    <m/>
    <m/>
    <m/>
    <m/>
    <m/>
    <m/>
    <m/>
    <m/>
    <m/>
  </r>
  <r>
    <x v="46"/>
    <x v="45"/>
    <m/>
    <m/>
    <m/>
    <m/>
    <m/>
    <m/>
    <m/>
    <m/>
    <m/>
    <m/>
    <m/>
    <m/>
    <m/>
    <m/>
    <m/>
    <m/>
    <m/>
  </r>
  <r>
    <x v="46"/>
    <x v="46"/>
    <m/>
    <m/>
    <m/>
    <m/>
    <m/>
    <m/>
    <m/>
    <m/>
    <m/>
    <m/>
    <m/>
    <m/>
    <m/>
    <m/>
    <m/>
    <m/>
    <m/>
  </r>
  <r>
    <x v="46"/>
    <x v="47"/>
    <m/>
    <m/>
    <m/>
    <m/>
    <m/>
    <m/>
    <m/>
    <m/>
    <m/>
    <m/>
    <m/>
    <m/>
    <m/>
    <m/>
    <m/>
    <m/>
    <m/>
  </r>
  <r>
    <x v="46"/>
    <x v="48"/>
    <m/>
    <m/>
    <m/>
    <m/>
    <m/>
    <m/>
    <m/>
    <m/>
    <m/>
    <m/>
    <m/>
    <m/>
    <m/>
    <m/>
    <m/>
    <m/>
    <m/>
  </r>
  <r>
    <x v="46"/>
    <x v="49"/>
    <m/>
    <m/>
    <m/>
    <m/>
    <m/>
    <m/>
    <m/>
    <m/>
    <m/>
    <m/>
    <m/>
    <m/>
    <m/>
    <m/>
    <m/>
    <m/>
    <m/>
  </r>
  <r>
    <x v="46"/>
    <x v="50"/>
    <m/>
    <m/>
    <m/>
    <m/>
    <m/>
    <m/>
    <m/>
    <m/>
    <m/>
    <m/>
    <m/>
    <m/>
    <m/>
    <m/>
    <m/>
    <m/>
    <m/>
  </r>
  <r>
    <x v="46"/>
    <x v="51"/>
    <m/>
    <m/>
    <m/>
    <m/>
    <m/>
    <m/>
    <m/>
    <m/>
    <m/>
    <m/>
    <m/>
    <m/>
    <m/>
    <m/>
    <m/>
    <m/>
    <m/>
  </r>
  <r>
    <x v="47"/>
    <x v="0"/>
    <m/>
    <m/>
    <m/>
    <m/>
    <m/>
    <m/>
    <m/>
    <m/>
    <m/>
    <m/>
    <m/>
    <m/>
    <m/>
    <m/>
    <m/>
    <m/>
    <m/>
  </r>
  <r>
    <x v="47"/>
    <x v="1"/>
    <m/>
    <m/>
    <m/>
    <m/>
    <m/>
    <m/>
    <m/>
    <m/>
    <m/>
    <m/>
    <m/>
    <m/>
    <m/>
    <m/>
    <m/>
    <m/>
    <m/>
  </r>
  <r>
    <x v="47"/>
    <x v="2"/>
    <m/>
    <m/>
    <m/>
    <m/>
    <m/>
    <m/>
    <m/>
    <m/>
    <m/>
    <m/>
    <m/>
    <m/>
    <m/>
    <m/>
    <m/>
    <m/>
    <m/>
  </r>
  <r>
    <x v="47"/>
    <x v="3"/>
    <m/>
    <m/>
    <m/>
    <m/>
    <m/>
    <m/>
    <m/>
    <m/>
    <m/>
    <m/>
    <m/>
    <m/>
    <m/>
    <m/>
    <m/>
    <m/>
    <m/>
  </r>
  <r>
    <x v="47"/>
    <x v="4"/>
    <m/>
    <m/>
    <m/>
    <m/>
    <m/>
    <m/>
    <m/>
    <m/>
    <m/>
    <m/>
    <m/>
    <m/>
    <m/>
    <m/>
    <m/>
    <m/>
    <m/>
  </r>
  <r>
    <x v="47"/>
    <x v="5"/>
    <m/>
    <m/>
    <m/>
    <m/>
    <m/>
    <m/>
    <m/>
    <m/>
    <m/>
    <m/>
    <m/>
    <m/>
    <m/>
    <m/>
    <m/>
    <m/>
    <m/>
  </r>
  <r>
    <x v="47"/>
    <x v="6"/>
    <m/>
    <m/>
    <m/>
    <m/>
    <m/>
    <m/>
    <m/>
    <m/>
    <m/>
    <m/>
    <m/>
    <m/>
    <m/>
    <m/>
    <m/>
    <m/>
    <m/>
  </r>
  <r>
    <x v="47"/>
    <x v="7"/>
    <m/>
    <m/>
    <m/>
    <m/>
    <m/>
    <m/>
    <m/>
    <m/>
    <m/>
    <m/>
    <m/>
    <m/>
    <m/>
    <m/>
    <m/>
    <m/>
    <m/>
  </r>
  <r>
    <x v="47"/>
    <x v="8"/>
    <m/>
    <m/>
    <m/>
    <m/>
    <m/>
    <m/>
    <m/>
    <m/>
    <m/>
    <m/>
    <m/>
    <m/>
    <m/>
    <m/>
    <m/>
    <m/>
    <m/>
  </r>
  <r>
    <x v="47"/>
    <x v="9"/>
    <m/>
    <m/>
    <m/>
    <m/>
    <m/>
    <m/>
    <m/>
    <m/>
    <m/>
    <m/>
    <m/>
    <m/>
    <m/>
    <m/>
    <m/>
    <m/>
    <m/>
  </r>
  <r>
    <x v="47"/>
    <x v="10"/>
    <m/>
    <m/>
    <m/>
    <m/>
    <m/>
    <m/>
    <m/>
    <m/>
    <m/>
    <m/>
    <m/>
    <m/>
    <m/>
    <m/>
    <m/>
    <m/>
    <m/>
  </r>
  <r>
    <x v="47"/>
    <x v="11"/>
    <m/>
    <m/>
    <m/>
    <m/>
    <m/>
    <m/>
    <m/>
    <m/>
    <m/>
    <m/>
    <m/>
    <m/>
    <m/>
    <m/>
    <m/>
    <m/>
    <m/>
  </r>
  <r>
    <x v="47"/>
    <x v="12"/>
    <m/>
    <m/>
    <m/>
    <m/>
    <m/>
    <m/>
    <m/>
    <m/>
    <m/>
    <m/>
    <m/>
    <m/>
    <m/>
    <m/>
    <m/>
    <m/>
    <m/>
  </r>
  <r>
    <x v="47"/>
    <x v="13"/>
    <m/>
    <m/>
    <m/>
    <m/>
    <m/>
    <m/>
    <m/>
    <m/>
    <m/>
    <m/>
    <m/>
    <m/>
    <m/>
    <m/>
    <m/>
    <m/>
    <m/>
  </r>
  <r>
    <x v="47"/>
    <x v="14"/>
    <m/>
    <m/>
    <m/>
    <m/>
    <m/>
    <m/>
    <m/>
    <m/>
    <m/>
    <m/>
    <m/>
    <m/>
    <m/>
    <m/>
    <m/>
    <m/>
    <m/>
  </r>
  <r>
    <x v="47"/>
    <x v="15"/>
    <m/>
    <m/>
    <m/>
    <m/>
    <m/>
    <m/>
    <m/>
    <m/>
    <m/>
    <m/>
    <m/>
    <m/>
    <m/>
    <m/>
    <m/>
    <m/>
    <m/>
  </r>
  <r>
    <x v="47"/>
    <x v="16"/>
    <m/>
    <m/>
    <m/>
    <m/>
    <m/>
    <m/>
    <m/>
    <m/>
    <m/>
    <m/>
    <m/>
    <m/>
    <m/>
    <m/>
    <m/>
    <m/>
    <m/>
  </r>
  <r>
    <x v="47"/>
    <x v="17"/>
    <m/>
    <m/>
    <m/>
    <m/>
    <m/>
    <m/>
    <m/>
    <m/>
    <m/>
    <m/>
    <m/>
    <m/>
    <m/>
    <m/>
    <m/>
    <m/>
    <m/>
  </r>
  <r>
    <x v="47"/>
    <x v="18"/>
    <m/>
    <m/>
    <m/>
    <m/>
    <m/>
    <m/>
    <m/>
    <m/>
    <m/>
    <m/>
    <m/>
    <m/>
    <m/>
    <m/>
    <m/>
    <m/>
    <m/>
  </r>
  <r>
    <x v="47"/>
    <x v="19"/>
    <m/>
    <m/>
    <m/>
    <m/>
    <m/>
    <m/>
    <m/>
    <m/>
    <m/>
    <m/>
    <m/>
    <m/>
    <m/>
    <m/>
    <m/>
    <m/>
    <m/>
  </r>
  <r>
    <x v="47"/>
    <x v="20"/>
    <m/>
    <m/>
    <m/>
    <m/>
    <m/>
    <m/>
    <m/>
    <m/>
    <m/>
    <m/>
    <m/>
    <m/>
    <m/>
    <m/>
    <m/>
    <m/>
    <m/>
  </r>
  <r>
    <x v="47"/>
    <x v="21"/>
    <m/>
    <m/>
    <m/>
    <m/>
    <m/>
    <m/>
    <m/>
    <m/>
    <m/>
    <m/>
    <m/>
    <m/>
    <m/>
    <m/>
    <m/>
    <m/>
    <m/>
  </r>
  <r>
    <x v="47"/>
    <x v="22"/>
    <m/>
    <m/>
    <m/>
    <m/>
    <m/>
    <m/>
    <m/>
    <m/>
    <m/>
    <m/>
    <m/>
    <m/>
    <m/>
    <m/>
    <m/>
    <m/>
    <m/>
  </r>
  <r>
    <x v="47"/>
    <x v="23"/>
    <m/>
    <m/>
    <m/>
    <m/>
    <m/>
    <m/>
    <m/>
    <m/>
    <m/>
    <m/>
    <m/>
    <m/>
    <m/>
    <m/>
    <m/>
    <m/>
    <m/>
  </r>
  <r>
    <x v="47"/>
    <x v="24"/>
    <m/>
    <m/>
    <m/>
    <m/>
    <m/>
    <m/>
    <m/>
    <m/>
    <m/>
    <m/>
    <m/>
    <m/>
    <m/>
    <m/>
    <m/>
    <m/>
    <m/>
  </r>
  <r>
    <x v="47"/>
    <x v="25"/>
    <m/>
    <m/>
    <m/>
    <m/>
    <m/>
    <m/>
    <m/>
    <m/>
    <m/>
    <m/>
    <m/>
    <m/>
    <m/>
    <m/>
    <m/>
    <m/>
    <m/>
  </r>
  <r>
    <x v="47"/>
    <x v="26"/>
    <m/>
    <m/>
    <m/>
    <m/>
    <m/>
    <m/>
    <m/>
    <m/>
    <m/>
    <m/>
    <m/>
    <m/>
    <m/>
    <m/>
    <m/>
    <m/>
    <m/>
  </r>
  <r>
    <x v="47"/>
    <x v="27"/>
    <m/>
    <m/>
    <m/>
    <m/>
    <m/>
    <m/>
    <m/>
    <m/>
    <m/>
    <m/>
    <m/>
    <m/>
    <m/>
    <m/>
    <m/>
    <m/>
    <m/>
  </r>
  <r>
    <x v="47"/>
    <x v="28"/>
    <m/>
    <m/>
    <m/>
    <m/>
    <m/>
    <m/>
    <m/>
    <m/>
    <m/>
    <m/>
    <m/>
    <m/>
    <m/>
    <m/>
    <m/>
    <m/>
    <m/>
  </r>
  <r>
    <x v="47"/>
    <x v="29"/>
    <m/>
    <m/>
    <m/>
    <m/>
    <m/>
    <m/>
    <m/>
    <m/>
    <m/>
    <m/>
    <m/>
    <m/>
    <m/>
    <m/>
    <m/>
    <m/>
    <m/>
  </r>
  <r>
    <x v="47"/>
    <x v="30"/>
    <m/>
    <m/>
    <m/>
    <m/>
    <m/>
    <m/>
    <m/>
    <m/>
    <m/>
    <m/>
    <m/>
    <m/>
    <m/>
    <m/>
    <m/>
    <m/>
    <m/>
  </r>
  <r>
    <x v="47"/>
    <x v="31"/>
    <m/>
    <m/>
    <m/>
    <m/>
    <m/>
    <m/>
    <m/>
    <m/>
    <m/>
    <m/>
    <m/>
    <m/>
    <m/>
    <m/>
    <m/>
    <m/>
    <m/>
  </r>
  <r>
    <x v="47"/>
    <x v="32"/>
    <m/>
    <m/>
    <m/>
    <m/>
    <m/>
    <m/>
    <m/>
    <m/>
    <m/>
    <m/>
    <m/>
    <m/>
    <m/>
    <m/>
    <m/>
    <m/>
    <m/>
  </r>
  <r>
    <x v="47"/>
    <x v="33"/>
    <m/>
    <m/>
    <m/>
    <m/>
    <m/>
    <m/>
    <m/>
    <m/>
    <m/>
    <m/>
    <m/>
    <m/>
    <m/>
    <m/>
    <m/>
    <m/>
    <m/>
  </r>
  <r>
    <x v="47"/>
    <x v="34"/>
    <m/>
    <m/>
    <m/>
    <m/>
    <m/>
    <m/>
    <m/>
    <m/>
    <m/>
    <m/>
    <m/>
    <m/>
    <m/>
    <m/>
    <m/>
    <m/>
    <m/>
  </r>
  <r>
    <x v="47"/>
    <x v="35"/>
    <m/>
    <m/>
    <m/>
    <m/>
    <m/>
    <m/>
    <m/>
    <m/>
    <m/>
    <m/>
    <m/>
    <m/>
    <m/>
    <m/>
    <m/>
    <m/>
    <m/>
  </r>
  <r>
    <x v="47"/>
    <x v="36"/>
    <m/>
    <m/>
    <m/>
    <m/>
    <m/>
    <m/>
    <m/>
    <m/>
    <m/>
    <m/>
    <m/>
    <m/>
    <m/>
    <m/>
    <m/>
    <m/>
    <m/>
  </r>
  <r>
    <x v="47"/>
    <x v="37"/>
    <m/>
    <m/>
    <m/>
    <m/>
    <m/>
    <m/>
    <m/>
    <m/>
    <m/>
    <m/>
    <m/>
    <m/>
    <m/>
    <m/>
    <m/>
    <m/>
    <m/>
  </r>
  <r>
    <x v="47"/>
    <x v="38"/>
    <m/>
    <m/>
    <m/>
    <m/>
    <m/>
    <m/>
    <m/>
    <m/>
    <m/>
    <m/>
    <m/>
    <m/>
    <m/>
    <m/>
    <m/>
    <m/>
    <m/>
  </r>
  <r>
    <x v="47"/>
    <x v="39"/>
    <m/>
    <m/>
    <m/>
    <m/>
    <m/>
    <m/>
    <m/>
    <m/>
    <m/>
    <m/>
    <m/>
    <m/>
    <m/>
    <m/>
    <m/>
    <m/>
    <m/>
  </r>
  <r>
    <x v="47"/>
    <x v="40"/>
    <m/>
    <m/>
    <m/>
    <m/>
    <m/>
    <m/>
    <m/>
    <m/>
    <m/>
    <m/>
    <m/>
    <m/>
    <m/>
    <m/>
    <m/>
    <m/>
    <m/>
  </r>
  <r>
    <x v="47"/>
    <x v="41"/>
    <m/>
    <m/>
    <m/>
    <m/>
    <m/>
    <m/>
    <m/>
    <m/>
    <m/>
    <m/>
    <m/>
    <m/>
    <m/>
    <m/>
    <m/>
    <m/>
    <m/>
  </r>
  <r>
    <x v="47"/>
    <x v="42"/>
    <m/>
    <m/>
    <m/>
    <m/>
    <m/>
    <m/>
    <m/>
    <m/>
    <m/>
    <m/>
    <m/>
    <m/>
    <m/>
    <m/>
    <m/>
    <m/>
    <m/>
  </r>
  <r>
    <x v="47"/>
    <x v="43"/>
    <m/>
    <m/>
    <m/>
    <m/>
    <m/>
    <m/>
    <m/>
    <m/>
    <m/>
    <m/>
    <m/>
    <m/>
    <m/>
    <m/>
    <m/>
    <m/>
    <m/>
  </r>
  <r>
    <x v="47"/>
    <x v="44"/>
    <m/>
    <m/>
    <m/>
    <m/>
    <m/>
    <m/>
    <m/>
    <m/>
    <m/>
    <m/>
    <m/>
    <m/>
    <m/>
    <m/>
    <m/>
    <m/>
    <m/>
  </r>
  <r>
    <x v="47"/>
    <x v="45"/>
    <m/>
    <m/>
    <m/>
    <m/>
    <m/>
    <m/>
    <m/>
    <m/>
    <m/>
    <m/>
    <m/>
    <m/>
    <m/>
    <m/>
    <m/>
    <m/>
    <m/>
  </r>
  <r>
    <x v="47"/>
    <x v="46"/>
    <m/>
    <m/>
    <m/>
    <m/>
    <m/>
    <m/>
    <m/>
    <m/>
    <m/>
    <m/>
    <m/>
    <m/>
    <m/>
    <m/>
    <m/>
    <m/>
    <m/>
  </r>
  <r>
    <x v="47"/>
    <x v="47"/>
    <m/>
    <m/>
    <m/>
    <m/>
    <m/>
    <m/>
    <m/>
    <m/>
    <m/>
    <m/>
    <m/>
    <m/>
    <m/>
    <m/>
    <m/>
    <m/>
    <m/>
  </r>
  <r>
    <x v="47"/>
    <x v="48"/>
    <m/>
    <m/>
    <m/>
    <m/>
    <m/>
    <m/>
    <m/>
    <m/>
    <m/>
    <m/>
    <m/>
    <m/>
    <m/>
    <m/>
    <m/>
    <m/>
    <m/>
  </r>
  <r>
    <x v="47"/>
    <x v="49"/>
    <m/>
    <m/>
    <m/>
    <m/>
    <m/>
    <m/>
    <m/>
    <m/>
    <m/>
    <m/>
    <m/>
    <m/>
    <m/>
    <m/>
    <m/>
    <m/>
    <m/>
  </r>
  <r>
    <x v="47"/>
    <x v="50"/>
    <m/>
    <m/>
    <m/>
    <m/>
    <m/>
    <m/>
    <m/>
    <m/>
    <m/>
    <m/>
    <m/>
    <m/>
    <m/>
    <m/>
    <m/>
    <m/>
    <m/>
  </r>
  <r>
    <x v="47"/>
    <x v="51"/>
    <m/>
    <m/>
    <m/>
    <m/>
    <m/>
    <m/>
    <m/>
    <m/>
    <m/>
    <m/>
    <m/>
    <m/>
    <m/>
    <m/>
    <m/>
    <m/>
    <m/>
  </r>
  <r>
    <x v="48"/>
    <x v="0"/>
    <m/>
    <m/>
    <m/>
    <m/>
    <m/>
    <m/>
    <m/>
    <m/>
    <m/>
    <m/>
    <m/>
    <m/>
    <m/>
    <m/>
    <m/>
    <m/>
    <m/>
  </r>
  <r>
    <x v="48"/>
    <x v="1"/>
    <m/>
    <m/>
    <m/>
    <m/>
    <m/>
    <m/>
    <m/>
    <m/>
    <m/>
    <m/>
    <m/>
    <m/>
    <m/>
    <m/>
    <m/>
    <m/>
    <m/>
  </r>
  <r>
    <x v="48"/>
    <x v="2"/>
    <m/>
    <m/>
    <m/>
    <m/>
    <m/>
    <m/>
    <m/>
    <m/>
    <m/>
    <m/>
    <m/>
    <m/>
    <m/>
    <m/>
    <m/>
    <m/>
    <m/>
  </r>
  <r>
    <x v="48"/>
    <x v="3"/>
    <m/>
    <m/>
    <m/>
    <m/>
    <m/>
    <m/>
    <m/>
    <m/>
    <m/>
    <m/>
    <m/>
    <m/>
    <m/>
    <m/>
    <m/>
    <m/>
    <m/>
  </r>
  <r>
    <x v="48"/>
    <x v="4"/>
    <m/>
    <m/>
    <m/>
    <m/>
    <m/>
    <m/>
    <m/>
    <m/>
    <m/>
    <m/>
    <m/>
    <m/>
    <m/>
    <m/>
    <m/>
    <m/>
    <m/>
  </r>
  <r>
    <x v="48"/>
    <x v="5"/>
    <m/>
    <m/>
    <m/>
    <m/>
    <m/>
    <m/>
    <m/>
    <m/>
    <m/>
    <m/>
    <m/>
    <m/>
    <m/>
    <m/>
    <m/>
    <m/>
    <m/>
  </r>
  <r>
    <x v="48"/>
    <x v="6"/>
    <m/>
    <m/>
    <m/>
    <m/>
    <m/>
    <m/>
    <m/>
    <m/>
    <m/>
    <m/>
    <m/>
    <m/>
    <m/>
    <m/>
    <m/>
    <m/>
    <m/>
  </r>
  <r>
    <x v="48"/>
    <x v="7"/>
    <m/>
    <m/>
    <m/>
    <m/>
    <m/>
    <m/>
    <m/>
    <m/>
    <m/>
    <m/>
    <m/>
    <m/>
    <m/>
    <m/>
    <m/>
    <m/>
    <m/>
  </r>
  <r>
    <x v="48"/>
    <x v="8"/>
    <m/>
    <m/>
    <m/>
    <m/>
    <m/>
    <m/>
    <m/>
    <m/>
    <m/>
    <m/>
    <m/>
    <m/>
    <m/>
    <m/>
    <m/>
    <m/>
    <m/>
  </r>
  <r>
    <x v="48"/>
    <x v="9"/>
    <m/>
    <m/>
    <m/>
    <m/>
    <m/>
    <m/>
    <m/>
    <m/>
    <m/>
    <m/>
    <m/>
    <m/>
    <m/>
    <m/>
    <m/>
    <m/>
    <m/>
  </r>
  <r>
    <x v="48"/>
    <x v="10"/>
    <m/>
    <m/>
    <m/>
    <m/>
    <m/>
    <m/>
    <m/>
    <m/>
    <m/>
    <m/>
    <m/>
    <m/>
    <m/>
    <m/>
    <m/>
    <m/>
    <m/>
  </r>
  <r>
    <x v="48"/>
    <x v="11"/>
    <m/>
    <m/>
    <m/>
    <m/>
    <m/>
    <m/>
    <m/>
    <m/>
    <m/>
    <m/>
    <m/>
    <m/>
    <m/>
    <m/>
    <m/>
    <m/>
    <m/>
  </r>
  <r>
    <x v="48"/>
    <x v="12"/>
    <m/>
    <m/>
    <m/>
    <m/>
    <m/>
    <m/>
    <n v="25"/>
    <n v="10"/>
    <m/>
    <m/>
    <m/>
    <n v="10"/>
    <m/>
    <n v="30"/>
    <m/>
    <m/>
    <m/>
  </r>
  <r>
    <x v="48"/>
    <x v="13"/>
    <m/>
    <m/>
    <m/>
    <m/>
    <m/>
    <m/>
    <m/>
    <m/>
    <m/>
    <m/>
    <m/>
    <m/>
    <m/>
    <m/>
    <m/>
    <m/>
    <m/>
  </r>
  <r>
    <x v="48"/>
    <x v="14"/>
    <m/>
    <m/>
    <m/>
    <m/>
    <m/>
    <m/>
    <m/>
    <m/>
    <m/>
    <m/>
    <m/>
    <m/>
    <m/>
    <m/>
    <m/>
    <m/>
    <m/>
  </r>
  <r>
    <x v="48"/>
    <x v="15"/>
    <m/>
    <m/>
    <m/>
    <m/>
    <m/>
    <m/>
    <m/>
    <m/>
    <m/>
    <m/>
    <m/>
    <m/>
    <m/>
    <m/>
    <m/>
    <m/>
    <m/>
  </r>
  <r>
    <x v="48"/>
    <x v="16"/>
    <m/>
    <m/>
    <m/>
    <m/>
    <m/>
    <m/>
    <m/>
    <m/>
    <m/>
    <m/>
    <m/>
    <m/>
    <m/>
    <m/>
    <m/>
    <m/>
    <m/>
  </r>
  <r>
    <x v="48"/>
    <x v="17"/>
    <m/>
    <m/>
    <m/>
    <m/>
    <m/>
    <m/>
    <m/>
    <m/>
    <m/>
    <m/>
    <m/>
    <m/>
    <m/>
    <m/>
    <m/>
    <m/>
    <m/>
  </r>
  <r>
    <x v="48"/>
    <x v="18"/>
    <m/>
    <m/>
    <m/>
    <m/>
    <m/>
    <m/>
    <m/>
    <m/>
    <m/>
    <m/>
    <m/>
    <m/>
    <m/>
    <m/>
    <m/>
    <m/>
    <m/>
  </r>
  <r>
    <x v="48"/>
    <x v="19"/>
    <m/>
    <m/>
    <m/>
    <m/>
    <m/>
    <m/>
    <m/>
    <m/>
    <m/>
    <m/>
    <m/>
    <m/>
    <m/>
    <m/>
    <m/>
    <m/>
    <m/>
  </r>
  <r>
    <x v="48"/>
    <x v="20"/>
    <m/>
    <m/>
    <m/>
    <m/>
    <m/>
    <m/>
    <m/>
    <m/>
    <m/>
    <m/>
    <m/>
    <m/>
    <m/>
    <m/>
    <m/>
    <m/>
    <m/>
  </r>
  <r>
    <x v="48"/>
    <x v="21"/>
    <m/>
    <m/>
    <m/>
    <m/>
    <m/>
    <m/>
    <m/>
    <m/>
    <m/>
    <m/>
    <m/>
    <m/>
    <m/>
    <m/>
    <m/>
    <m/>
    <m/>
  </r>
  <r>
    <x v="48"/>
    <x v="22"/>
    <m/>
    <m/>
    <m/>
    <m/>
    <m/>
    <m/>
    <m/>
    <m/>
    <m/>
    <m/>
    <m/>
    <m/>
    <m/>
    <m/>
    <m/>
    <m/>
    <m/>
  </r>
  <r>
    <x v="48"/>
    <x v="23"/>
    <m/>
    <m/>
    <m/>
    <m/>
    <m/>
    <m/>
    <m/>
    <m/>
    <m/>
    <m/>
    <m/>
    <m/>
    <m/>
    <m/>
    <m/>
    <m/>
    <m/>
  </r>
  <r>
    <x v="48"/>
    <x v="24"/>
    <m/>
    <m/>
    <m/>
    <m/>
    <m/>
    <m/>
    <m/>
    <m/>
    <m/>
    <m/>
    <m/>
    <m/>
    <m/>
    <m/>
    <m/>
    <m/>
    <m/>
  </r>
  <r>
    <x v="48"/>
    <x v="25"/>
    <m/>
    <m/>
    <m/>
    <m/>
    <m/>
    <m/>
    <m/>
    <m/>
    <m/>
    <m/>
    <m/>
    <m/>
    <m/>
    <m/>
    <m/>
    <m/>
    <m/>
  </r>
  <r>
    <x v="48"/>
    <x v="26"/>
    <m/>
    <m/>
    <m/>
    <m/>
    <m/>
    <m/>
    <m/>
    <m/>
    <m/>
    <m/>
    <m/>
    <m/>
    <m/>
    <m/>
    <m/>
    <m/>
    <m/>
  </r>
  <r>
    <x v="48"/>
    <x v="27"/>
    <m/>
    <m/>
    <m/>
    <m/>
    <m/>
    <m/>
    <m/>
    <m/>
    <m/>
    <m/>
    <m/>
    <m/>
    <m/>
    <m/>
    <m/>
    <m/>
    <m/>
  </r>
  <r>
    <x v="48"/>
    <x v="28"/>
    <m/>
    <m/>
    <m/>
    <m/>
    <m/>
    <m/>
    <m/>
    <m/>
    <m/>
    <m/>
    <m/>
    <m/>
    <m/>
    <m/>
    <m/>
    <m/>
    <m/>
  </r>
  <r>
    <x v="48"/>
    <x v="29"/>
    <m/>
    <m/>
    <m/>
    <m/>
    <m/>
    <m/>
    <m/>
    <m/>
    <m/>
    <m/>
    <m/>
    <m/>
    <m/>
    <m/>
    <m/>
    <m/>
    <m/>
  </r>
  <r>
    <x v="48"/>
    <x v="30"/>
    <m/>
    <m/>
    <m/>
    <m/>
    <m/>
    <m/>
    <m/>
    <m/>
    <m/>
    <m/>
    <m/>
    <m/>
    <m/>
    <m/>
    <m/>
    <m/>
    <m/>
  </r>
  <r>
    <x v="48"/>
    <x v="31"/>
    <m/>
    <m/>
    <m/>
    <m/>
    <m/>
    <m/>
    <m/>
    <m/>
    <m/>
    <m/>
    <m/>
    <m/>
    <m/>
    <m/>
    <m/>
    <m/>
    <m/>
  </r>
  <r>
    <x v="48"/>
    <x v="32"/>
    <m/>
    <m/>
    <m/>
    <m/>
    <m/>
    <m/>
    <m/>
    <m/>
    <m/>
    <m/>
    <m/>
    <m/>
    <m/>
    <m/>
    <m/>
    <m/>
    <m/>
  </r>
  <r>
    <x v="48"/>
    <x v="33"/>
    <m/>
    <m/>
    <m/>
    <m/>
    <m/>
    <m/>
    <m/>
    <m/>
    <m/>
    <m/>
    <m/>
    <m/>
    <m/>
    <m/>
    <m/>
    <m/>
    <m/>
  </r>
  <r>
    <x v="48"/>
    <x v="34"/>
    <m/>
    <m/>
    <m/>
    <m/>
    <m/>
    <m/>
    <m/>
    <m/>
    <m/>
    <m/>
    <m/>
    <m/>
    <m/>
    <m/>
    <m/>
    <m/>
    <m/>
  </r>
  <r>
    <x v="48"/>
    <x v="35"/>
    <m/>
    <m/>
    <m/>
    <m/>
    <m/>
    <m/>
    <n v="25"/>
    <n v="10"/>
    <m/>
    <m/>
    <m/>
    <n v="10"/>
    <m/>
    <n v="30"/>
    <m/>
    <m/>
    <m/>
  </r>
  <r>
    <x v="48"/>
    <x v="36"/>
    <m/>
    <m/>
    <m/>
    <m/>
    <m/>
    <m/>
    <m/>
    <m/>
    <m/>
    <m/>
    <m/>
    <m/>
    <m/>
    <m/>
    <m/>
    <m/>
    <m/>
  </r>
  <r>
    <x v="48"/>
    <x v="37"/>
    <m/>
    <m/>
    <m/>
    <m/>
    <m/>
    <m/>
    <m/>
    <m/>
    <m/>
    <m/>
    <m/>
    <m/>
    <m/>
    <m/>
    <m/>
    <m/>
    <m/>
  </r>
  <r>
    <x v="48"/>
    <x v="38"/>
    <m/>
    <m/>
    <m/>
    <m/>
    <m/>
    <m/>
    <m/>
    <m/>
    <m/>
    <m/>
    <m/>
    <m/>
    <m/>
    <m/>
    <m/>
    <m/>
    <m/>
  </r>
  <r>
    <x v="48"/>
    <x v="39"/>
    <m/>
    <m/>
    <m/>
    <m/>
    <m/>
    <m/>
    <m/>
    <m/>
    <m/>
    <m/>
    <m/>
    <m/>
    <m/>
    <m/>
    <m/>
    <m/>
    <m/>
  </r>
  <r>
    <x v="48"/>
    <x v="40"/>
    <m/>
    <m/>
    <m/>
    <m/>
    <m/>
    <m/>
    <m/>
    <m/>
    <m/>
    <m/>
    <m/>
    <m/>
    <m/>
    <m/>
    <m/>
    <m/>
    <m/>
  </r>
  <r>
    <x v="48"/>
    <x v="41"/>
    <m/>
    <m/>
    <m/>
    <m/>
    <m/>
    <m/>
    <m/>
    <m/>
    <m/>
    <m/>
    <m/>
    <m/>
    <m/>
    <m/>
    <m/>
    <m/>
    <m/>
  </r>
  <r>
    <x v="48"/>
    <x v="42"/>
    <n v="35"/>
    <n v="30"/>
    <n v="15"/>
    <n v="15"/>
    <n v="15"/>
    <n v="15"/>
    <n v="160"/>
    <n v="20"/>
    <n v="0"/>
    <n v="30"/>
    <n v="30"/>
    <n v="30"/>
    <m/>
    <n v="100"/>
    <m/>
    <m/>
    <m/>
  </r>
  <r>
    <x v="48"/>
    <x v="43"/>
    <m/>
    <m/>
    <m/>
    <m/>
    <m/>
    <m/>
    <n v="20"/>
    <n v="10"/>
    <m/>
    <m/>
    <n v="10"/>
    <n v="10"/>
    <m/>
    <n v="20"/>
    <m/>
    <m/>
    <m/>
  </r>
  <r>
    <x v="48"/>
    <x v="44"/>
    <m/>
    <m/>
    <m/>
    <m/>
    <m/>
    <m/>
    <m/>
    <m/>
    <m/>
    <m/>
    <m/>
    <m/>
    <m/>
    <m/>
    <m/>
    <m/>
    <m/>
  </r>
  <r>
    <x v="48"/>
    <x v="45"/>
    <m/>
    <m/>
    <m/>
    <m/>
    <m/>
    <m/>
    <m/>
    <m/>
    <m/>
    <m/>
    <m/>
    <m/>
    <m/>
    <m/>
    <m/>
    <m/>
    <m/>
  </r>
  <r>
    <x v="48"/>
    <x v="46"/>
    <m/>
    <m/>
    <m/>
    <m/>
    <m/>
    <m/>
    <m/>
    <m/>
    <m/>
    <m/>
    <m/>
    <m/>
    <m/>
    <m/>
    <m/>
    <m/>
    <m/>
  </r>
  <r>
    <x v="48"/>
    <x v="47"/>
    <m/>
    <m/>
    <m/>
    <m/>
    <m/>
    <m/>
    <m/>
    <m/>
    <m/>
    <m/>
    <m/>
    <m/>
    <m/>
    <m/>
    <m/>
    <m/>
    <m/>
  </r>
  <r>
    <x v="48"/>
    <x v="48"/>
    <m/>
    <m/>
    <m/>
    <m/>
    <m/>
    <m/>
    <m/>
    <m/>
    <m/>
    <m/>
    <m/>
    <m/>
    <m/>
    <m/>
    <m/>
    <m/>
    <m/>
  </r>
  <r>
    <x v="48"/>
    <x v="49"/>
    <m/>
    <m/>
    <m/>
    <m/>
    <m/>
    <m/>
    <m/>
    <m/>
    <m/>
    <m/>
    <m/>
    <m/>
    <m/>
    <m/>
    <m/>
    <m/>
    <m/>
  </r>
  <r>
    <x v="48"/>
    <x v="50"/>
    <m/>
    <m/>
    <m/>
    <m/>
    <m/>
    <m/>
    <m/>
    <m/>
    <m/>
    <m/>
    <m/>
    <m/>
    <m/>
    <m/>
    <m/>
    <m/>
    <m/>
  </r>
  <r>
    <x v="48"/>
    <x v="51"/>
    <m/>
    <m/>
    <m/>
    <m/>
    <m/>
    <m/>
    <n v="30"/>
    <n v="10"/>
    <m/>
    <m/>
    <m/>
    <n v="10"/>
    <m/>
    <n v="30"/>
    <m/>
    <m/>
    <m/>
  </r>
  <r>
    <x v="49"/>
    <x v="0"/>
    <m/>
    <m/>
    <m/>
    <m/>
    <m/>
    <m/>
    <m/>
    <m/>
    <m/>
    <m/>
    <m/>
    <m/>
    <m/>
    <m/>
    <m/>
    <m/>
    <m/>
  </r>
  <r>
    <x v="49"/>
    <x v="1"/>
    <m/>
    <m/>
    <m/>
    <m/>
    <m/>
    <m/>
    <m/>
    <m/>
    <m/>
    <m/>
    <m/>
    <m/>
    <m/>
    <m/>
    <m/>
    <m/>
    <m/>
  </r>
  <r>
    <x v="49"/>
    <x v="2"/>
    <m/>
    <m/>
    <m/>
    <m/>
    <m/>
    <m/>
    <m/>
    <m/>
    <m/>
    <m/>
    <m/>
    <m/>
    <m/>
    <m/>
    <m/>
    <m/>
    <m/>
  </r>
  <r>
    <x v="49"/>
    <x v="3"/>
    <m/>
    <m/>
    <m/>
    <m/>
    <m/>
    <m/>
    <m/>
    <m/>
    <m/>
    <m/>
    <m/>
    <m/>
    <m/>
    <m/>
    <m/>
    <m/>
    <m/>
  </r>
  <r>
    <x v="49"/>
    <x v="4"/>
    <m/>
    <m/>
    <m/>
    <m/>
    <m/>
    <m/>
    <m/>
    <m/>
    <m/>
    <m/>
    <m/>
    <m/>
    <m/>
    <m/>
    <m/>
    <m/>
    <m/>
  </r>
  <r>
    <x v="49"/>
    <x v="5"/>
    <m/>
    <m/>
    <m/>
    <m/>
    <m/>
    <m/>
    <m/>
    <m/>
    <m/>
    <m/>
    <m/>
    <m/>
    <m/>
    <m/>
    <m/>
    <m/>
    <m/>
  </r>
  <r>
    <x v="49"/>
    <x v="6"/>
    <m/>
    <m/>
    <m/>
    <m/>
    <m/>
    <m/>
    <m/>
    <m/>
    <m/>
    <m/>
    <m/>
    <m/>
    <m/>
    <m/>
    <m/>
    <m/>
    <m/>
  </r>
  <r>
    <x v="49"/>
    <x v="7"/>
    <m/>
    <m/>
    <m/>
    <m/>
    <m/>
    <m/>
    <m/>
    <m/>
    <m/>
    <m/>
    <m/>
    <m/>
    <m/>
    <m/>
    <m/>
    <m/>
    <m/>
  </r>
  <r>
    <x v="49"/>
    <x v="8"/>
    <m/>
    <m/>
    <m/>
    <m/>
    <m/>
    <m/>
    <m/>
    <m/>
    <m/>
    <m/>
    <m/>
    <m/>
    <m/>
    <m/>
    <m/>
    <m/>
    <m/>
  </r>
  <r>
    <x v="49"/>
    <x v="9"/>
    <m/>
    <m/>
    <m/>
    <m/>
    <m/>
    <m/>
    <m/>
    <m/>
    <m/>
    <m/>
    <m/>
    <m/>
    <m/>
    <m/>
    <m/>
    <m/>
    <m/>
  </r>
  <r>
    <x v="49"/>
    <x v="10"/>
    <m/>
    <m/>
    <m/>
    <m/>
    <m/>
    <m/>
    <m/>
    <m/>
    <m/>
    <m/>
    <m/>
    <m/>
    <m/>
    <m/>
    <m/>
    <m/>
    <m/>
  </r>
  <r>
    <x v="49"/>
    <x v="11"/>
    <m/>
    <m/>
    <m/>
    <m/>
    <m/>
    <m/>
    <m/>
    <m/>
    <m/>
    <m/>
    <m/>
    <m/>
    <m/>
    <m/>
    <m/>
    <m/>
    <m/>
  </r>
  <r>
    <x v="49"/>
    <x v="12"/>
    <m/>
    <m/>
    <m/>
    <m/>
    <m/>
    <m/>
    <m/>
    <m/>
    <m/>
    <m/>
    <m/>
    <m/>
    <m/>
    <m/>
    <m/>
    <m/>
    <m/>
  </r>
  <r>
    <x v="49"/>
    <x v="13"/>
    <m/>
    <m/>
    <m/>
    <m/>
    <m/>
    <m/>
    <m/>
    <m/>
    <m/>
    <m/>
    <m/>
    <m/>
    <m/>
    <m/>
    <m/>
    <m/>
    <m/>
  </r>
  <r>
    <x v="49"/>
    <x v="14"/>
    <m/>
    <m/>
    <m/>
    <m/>
    <m/>
    <m/>
    <m/>
    <m/>
    <m/>
    <m/>
    <m/>
    <m/>
    <m/>
    <m/>
    <m/>
    <m/>
    <m/>
  </r>
  <r>
    <x v="49"/>
    <x v="15"/>
    <m/>
    <m/>
    <m/>
    <m/>
    <m/>
    <m/>
    <m/>
    <m/>
    <m/>
    <m/>
    <m/>
    <m/>
    <m/>
    <m/>
    <m/>
    <m/>
    <m/>
  </r>
  <r>
    <x v="49"/>
    <x v="16"/>
    <m/>
    <m/>
    <m/>
    <m/>
    <m/>
    <m/>
    <m/>
    <m/>
    <m/>
    <m/>
    <m/>
    <m/>
    <m/>
    <m/>
    <m/>
    <m/>
    <m/>
  </r>
  <r>
    <x v="49"/>
    <x v="17"/>
    <m/>
    <m/>
    <m/>
    <m/>
    <m/>
    <m/>
    <m/>
    <m/>
    <m/>
    <m/>
    <m/>
    <m/>
    <m/>
    <m/>
    <m/>
    <m/>
    <m/>
  </r>
  <r>
    <x v="49"/>
    <x v="18"/>
    <m/>
    <m/>
    <m/>
    <m/>
    <m/>
    <m/>
    <m/>
    <m/>
    <m/>
    <m/>
    <m/>
    <m/>
    <m/>
    <m/>
    <m/>
    <m/>
    <m/>
  </r>
  <r>
    <x v="49"/>
    <x v="19"/>
    <m/>
    <m/>
    <m/>
    <m/>
    <m/>
    <m/>
    <m/>
    <m/>
    <m/>
    <m/>
    <m/>
    <m/>
    <m/>
    <m/>
    <m/>
    <m/>
    <m/>
  </r>
  <r>
    <x v="49"/>
    <x v="20"/>
    <m/>
    <m/>
    <m/>
    <m/>
    <m/>
    <m/>
    <n v="3"/>
    <m/>
    <n v="3"/>
    <m/>
    <n v="3"/>
    <m/>
    <m/>
    <n v="3"/>
    <m/>
    <n v="3"/>
    <m/>
  </r>
  <r>
    <x v="49"/>
    <x v="21"/>
    <m/>
    <m/>
    <m/>
    <m/>
    <m/>
    <m/>
    <m/>
    <m/>
    <m/>
    <m/>
    <m/>
    <m/>
    <m/>
    <m/>
    <m/>
    <m/>
    <m/>
  </r>
  <r>
    <x v="49"/>
    <x v="22"/>
    <m/>
    <m/>
    <m/>
    <m/>
    <m/>
    <m/>
    <m/>
    <m/>
    <m/>
    <m/>
    <m/>
    <m/>
    <m/>
    <m/>
    <m/>
    <m/>
    <m/>
  </r>
  <r>
    <x v="49"/>
    <x v="23"/>
    <m/>
    <m/>
    <m/>
    <m/>
    <m/>
    <m/>
    <m/>
    <m/>
    <m/>
    <m/>
    <m/>
    <m/>
    <m/>
    <m/>
    <m/>
    <m/>
    <m/>
  </r>
  <r>
    <x v="49"/>
    <x v="24"/>
    <m/>
    <m/>
    <m/>
    <m/>
    <m/>
    <m/>
    <m/>
    <m/>
    <m/>
    <m/>
    <m/>
    <m/>
    <m/>
    <m/>
    <m/>
    <m/>
    <m/>
  </r>
  <r>
    <x v="49"/>
    <x v="25"/>
    <m/>
    <m/>
    <m/>
    <m/>
    <m/>
    <m/>
    <m/>
    <m/>
    <m/>
    <m/>
    <m/>
    <m/>
    <m/>
    <m/>
    <m/>
    <m/>
    <m/>
  </r>
  <r>
    <x v="49"/>
    <x v="26"/>
    <m/>
    <m/>
    <m/>
    <m/>
    <m/>
    <m/>
    <m/>
    <m/>
    <m/>
    <m/>
    <m/>
    <m/>
    <m/>
    <m/>
    <m/>
    <m/>
    <m/>
  </r>
  <r>
    <x v="49"/>
    <x v="27"/>
    <m/>
    <m/>
    <m/>
    <m/>
    <m/>
    <m/>
    <m/>
    <m/>
    <m/>
    <m/>
    <m/>
    <m/>
    <m/>
    <m/>
    <m/>
    <m/>
    <m/>
  </r>
  <r>
    <x v="49"/>
    <x v="28"/>
    <m/>
    <m/>
    <m/>
    <m/>
    <m/>
    <m/>
    <m/>
    <m/>
    <m/>
    <m/>
    <m/>
    <m/>
    <m/>
    <m/>
    <m/>
    <m/>
    <m/>
  </r>
  <r>
    <x v="49"/>
    <x v="29"/>
    <m/>
    <m/>
    <m/>
    <m/>
    <m/>
    <m/>
    <m/>
    <m/>
    <m/>
    <m/>
    <m/>
    <m/>
    <m/>
    <m/>
    <m/>
    <m/>
    <m/>
  </r>
  <r>
    <x v="49"/>
    <x v="30"/>
    <m/>
    <m/>
    <m/>
    <m/>
    <m/>
    <m/>
    <m/>
    <m/>
    <m/>
    <m/>
    <m/>
    <m/>
    <m/>
    <m/>
    <m/>
    <m/>
    <m/>
  </r>
  <r>
    <x v="49"/>
    <x v="31"/>
    <m/>
    <m/>
    <m/>
    <m/>
    <m/>
    <m/>
    <n v="3"/>
    <n v="1"/>
    <n v="1"/>
    <m/>
    <n v="3"/>
    <n v="1"/>
    <n v="1"/>
    <n v="3"/>
    <n v="1"/>
    <n v="3"/>
    <m/>
  </r>
  <r>
    <x v="49"/>
    <x v="32"/>
    <m/>
    <m/>
    <m/>
    <m/>
    <m/>
    <m/>
    <m/>
    <m/>
    <m/>
    <m/>
    <m/>
    <m/>
    <m/>
    <m/>
    <m/>
    <m/>
    <m/>
  </r>
  <r>
    <x v="49"/>
    <x v="33"/>
    <m/>
    <m/>
    <m/>
    <m/>
    <m/>
    <m/>
    <m/>
    <m/>
    <m/>
    <m/>
    <m/>
    <m/>
    <m/>
    <m/>
    <m/>
    <m/>
    <m/>
  </r>
  <r>
    <x v="49"/>
    <x v="34"/>
    <m/>
    <m/>
    <m/>
    <m/>
    <m/>
    <m/>
    <m/>
    <m/>
    <m/>
    <m/>
    <m/>
    <m/>
    <m/>
    <m/>
    <m/>
    <m/>
    <m/>
  </r>
  <r>
    <x v="49"/>
    <x v="35"/>
    <m/>
    <m/>
    <m/>
    <m/>
    <m/>
    <m/>
    <m/>
    <m/>
    <m/>
    <m/>
    <m/>
    <m/>
    <m/>
    <m/>
    <m/>
    <m/>
    <m/>
  </r>
  <r>
    <x v="49"/>
    <x v="36"/>
    <m/>
    <m/>
    <m/>
    <m/>
    <m/>
    <m/>
    <m/>
    <m/>
    <m/>
    <m/>
    <m/>
    <m/>
    <m/>
    <m/>
    <m/>
    <m/>
    <m/>
  </r>
  <r>
    <x v="49"/>
    <x v="37"/>
    <m/>
    <m/>
    <m/>
    <m/>
    <m/>
    <m/>
    <m/>
    <m/>
    <m/>
    <m/>
    <m/>
    <m/>
    <m/>
    <m/>
    <m/>
    <m/>
    <m/>
  </r>
  <r>
    <x v="49"/>
    <x v="38"/>
    <m/>
    <m/>
    <m/>
    <m/>
    <m/>
    <m/>
    <n v="3"/>
    <m/>
    <n v="3"/>
    <m/>
    <n v="3"/>
    <m/>
    <m/>
    <n v="3"/>
    <m/>
    <n v="3"/>
    <m/>
  </r>
  <r>
    <x v="49"/>
    <x v="39"/>
    <m/>
    <m/>
    <m/>
    <m/>
    <m/>
    <m/>
    <m/>
    <m/>
    <m/>
    <m/>
    <m/>
    <m/>
    <m/>
    <m/>
    <m/>
    <m/>
    <m/>
  </r>
  <r>
    <x v="49"/>
    <x v="40"/>
    <m/>
    <m/>
    <m/>
    <m/>
    <m/>
    <m/>
    <m/>
    <m/>
    <m/>
    <m/>
    <m/>
    <m/>
    <m/>
    <m/>
    <m/>
    <m/>
    <m/>
  </r>
  <r>
    <x v="49"/>
    <x v="41"/>
    <m/>
    <m/>
    <m/>
    <m/>
    <m/>
    <m/>
    <m/>
    <m/>
    <m/>
    <m/>
    <m/>
    <m/>
    <m/>
    <m/>
    <m/>
    <m/>
    <m/>
  </r>
  <r>
    <x v="49"/>
    <x v="42"/>
    <m/>
    <m/>
    <m/>
    <m/>
    <m/>
    <m/>
    <m/>
    <m/>
    <m/>
    <m/>
    <m/>
    <m/>
    <m/>
    <m/>
    <m/>
    <m/>
    <m/>
  </r>
  <r>
    <x v="49"/>
    <x v="43"/>
    <m/>
    <m/>
    <m/>
    <m/>
    <m/>
    <m/>
    <m/>
    <m/>
    <m/>
    <m/>
    <m/>
    <m/>
    <m/>
    <m/>
    <m/>
    <m/>
    <m/>
  </r>
  <r>
    <x v="49"/>
    <x v="44"/>
    <m/>
    <m/>
    <m/>
    <m/>
    <m/>
    <m/>
    <m/>
    <m/>
    <m/>
    <m/>
    <m/>
    <m/>
    <m/>
    <m/>
    <m/>
    <m/>
    <m/>
  </r>
  <r>
    <x v="49"/>
    <x v="45"/>
    <m/>
    <m/>
    <m/>
    <m/>
    <m/>
    <m/>
    <m/>
    <m/>
    <m/>
    <m/>
    <m/>
    <m/>
    <m/>
    <m/>
    <m/>
    <m/>
    <m/>
  </r>
  <r>
    <x v="49"/>
    <x v="46"/>
    <m/>
    <m/>
    <m/>
    <m/>
    <m/>
    <m/>
    <m/>
    <m/>
    <m/>
    <m/>
    <m/>
    <m/>
    <m/>
    <m/>
    <m/>
    <m/>
    <m/>
  </r>
  <r>
    <x v="49"/>
    <x v="47"/>
    <m/>
    <m/>
    <m/>
    <m/>
    <m/>
    <m/>
    <m/>
    <m/>
    <m/>
    <m/>
    <m/>
    <m/>
    <m/>
    <m/>
    <m/>
    <m/>
    <m/>
  </r>
  <r>
    <x v="49"/>
    <x v="48"/>
    <m/>
    <m/>
    <m/>
    <m/>
    <m/>
    <m/>
    <m/>
    <m/>
    <m/>
    <m/>
    <m/>
    <m/>
    <m/>
    <m/>
    <m/>
    <m/>
    <m/>
  </r>
  <r>
    <x v="49"/>
    <x v="49"/>
    <m/>
    <m/>
    <m/>
    <m/>
    <m/>
    <m/>
    <m/>
    <m/>
    <m/>
    <m/>
    <m/>
    <m/>
    <m/>
    <m/>
    <m/>
    <m/>
    <m/>
  </r>
  <r>
    <x v="49"/>
    <x v="50"/>
    <m/>
    <m/>
    <m/>
    <m/>
    <m/>
    <m/>
    <m/>
    <m/>
    <m/>
    <m/>
    <m/>
    <m/>
    <m/>
    <m/>
    <m/>
    <m/>
    <m/>
  </r>
  <r>
    <x v="49"/>
    <x v="51"/>
    <m/>
    <m/>
    <m/>
    <m/>
    <m/>
    <m/>
    <m/>
    <m/>
    <m/>
    <m/>
    <m/>
    <m/>
    <m/>
    <m/>
    <m/>
    <m/>
    <m/>
  </r>
  <r>
    <x v="50"/>
    <x v="0"/>
    <m/>
    <m/>
    <m/>
    <m/>
    <m/>
    <m/>
    <m/>
    <m/>
    <m/>
    <m/>
    <m/>
    <m/>
    <m/>
    <m/>
    <m/>
    <m/>
    <m/>
  </r>
  <r>
    <x v="50"/>
    <x v="1"/>
    <m/>
    <m/>
    <m/>
    <m/>
    <m/>
    <m/>
    <m/>
    <m/>
    <m/>
    <m/>
    <m/>
    <m/>
    <m/>
    <m/>
    <m/>
    <m/>
    <m/>
  </r>
  <r>
    <x v="50"/>
    <x v="2"/>
    <m/>
    <m/>
    <m/>
    <m/>
    <m/>
    <m/>
    <m/>
    <m/>
    <m/>
    <m/>
    <m/>
    <m/>
    <m/>
    <m/>
    <m/>
    <m/>
    <m/>
  </r>
  <r>
    <x v="50"/>
    <x v="3"/>
    <m/>
    <m/>
    <m/>
    <m/>
    <m/>
    <m/>
    <m/>
    <m/>
    <m/>
    <m/>
    <m/>
    <m/>
    <m/>
    <m/>
    <m/>
    <m/>
    <m/>
  </r>
  <r>
    <x v="50"/>
    <x v="4"/>
    <m/>
    <m/>
    <m/>
    <m/>
    <m/>
    <m/>
    <m/>
    <m/>
    <m/>
    <m/>
    <m/>
    <m/>
    <m/>
    <m/>
    <m/>
    <m/>
    <m/>
  </r>
  <r>
    <x v="50"/>
    <x v="5"/>
    <m/>
    <m/>
    <m/>
    <m/>
    <m/>
    <m/>
    <m/>
    <m/>
    <m/>
    <m/>
    <m/>
    <m/>
    <m/>
    <m/>
    <m/>
    <m/>
    <m/>
  </r>
  <r>
    <x v="50"/>
    <x v="6"/>
    <m/>
    <m/>
    <m/>
    <m/>
    <m/>
    <m/>
    <m/>
    <m/>
    <m/>
    <m/>
    <m/>
    <m/>
    <m/>
    <m/>
    <m/>
    <m/>
    <m/>
  </r>
  <r>
    <x v="50"/>
    <x v="7"/>
    <m/>
    <m/>
    <m/>
    <m/>
    <m/>
    <m/>
    <m/>
    <m/>
    <m/>
    <m/>
    <m/>
    <m/>
    <m/>
    <m/>
    <m/>
    <m/>
    <m/>
  </r>
  <r>
    <x v="50"/>
    <x v="8"/>
    <m/>
    <m/>
    <m/>
    <m/>
    <m/>
    <m/>
    <m/>
    <m/>
    <m/>
    <m/>
    <m/>
    <m/>
    <m/>
    <m/>
    <m/>
    <m/>
    <m/>
  </r>
  <r>
    <x v="50"/>
    <x v="9"/>
    <m/>
    <m/>
    <m/>
    <m/>
    <m/>
    <m/>
    <m/>
    <m/>
    <m/>
    <m/>
    <m/>
    <m/>
    <m/>
    <m/>
    <m/>
    <m/>
    <m/>
  </r>
  <r>
    <x v="50"/>
    <x v="10"/>
    <m/>
    <m/>
    <m/>
    <m/>
    <m/>
    <m/>
    <m/>
    <m/>
    <m/>
    <m/>
    <m/>
    <m/>
    <m/>
    <m/>
    <m/>
    <m/>
    <m/>
  </r>
  <r>
    <x v="50"/>
    <x v="11"/>
    <m/>
    <m/>
    <m/>
    <m/>
    <m/>
    <m/>
    <m/>
    <m/>
    <m/>
    <m/>
    <m/>
    <m/>
    <m/>
    <m/>
    <m/>
    <m/>
    <m/>
  </r>
  <r>
    <x v="50"/>
    <x v="12"/>
    <m/>
    <m/>
    <m/>
    <m/>
    <m/>
    <m/>
    <m/>
    <m/>
    <m/>
    <m/>
    <m/>
    <m/>
    <m/>
    <m/>
    <m/>
    <m/>
    <m/>
  </r>
  <r>
    <x v="50"/>
    <x v="13"/>
    <m/>
    <m/>
    <m/>
    <m/>
    <m/>
    <m/>
    <m/>
    <m/>
    <m/>
    <m/>
    <m/>
    <m/>
    <m/>
    <m/>
    <m/>
    <m/>
    <m/>
  </r>
  <r>
    <x v="50"/>
    <x v="14"/>
    <m/>
    <m/>
    <m/>
    <m/>
    <m/>
    <m/>
    <m/>
    <m/>
    <m/>
    <m/>
    <m/>
    <m/>
    <m/>
    <m/>
    <m/>
    <m/>
    <m/>
  </r>
  <r>
    <x v="50"/>
    <x v="15"/>
    <m/>
    <m/>
    <m/>
    <m/>
    <m/>
    <m/>
    <m/>
    <m/>
    <m/>
    <m/>
    <m/>
    <m/>
    <m/>
    <m/>
    <m/>
    <m/>
    <m/>
  </r>
  <r>
    <x v="50"/>
    <x v="16"/>
    <m/>
    <m/>
    <m/>
    <m/>
    <m/>
    <m/>
    <m/>
    <m/>
    <m/>
    <m/>
    <m/>
    <m/>
    <m/>
    <m/>
    <m/>
    <m/>
    <m/>
  </r>
  <r>
    <x v="50"/>
    <x v="17"/>
    <m/>
    <m/>
    <m/>
    <m/>
    <m/>
    <m/>
    <m/>
    <m/>
    <m/>
    <m/>
    <m/>
    <m/>
    <m/>
    <m/>
    <m/>
    <m/>
    <m/>
  </r>
  <r>
    <x v="50"/>
    <x v="18"/>
    <m/>
    <m/>
    <m/>
    <m/>
    <m/>
    <m/>
    <m/>
    <m/>
    <m/>
    <m/>
    <m/>
    <m/>
    <m/>
    <m/>
    <m/>
    <m/>
    <m/>
  </r>
  <r>
    <x v="50"/>
    <x v="19"/>
    <m/>
    <m/>
    <m/>
    <m/>
    <m/>
    <m/>
    <m/>
    <m/>
    <m/>
    <m/>
    <m/>
    <m/>
    <m/>
    <m/>
    <m/>
    <m/>
    <m/>
  </r>
  <r>
    <x v="50"/>
    <x v="20"/>
    <m/>
    <m/>
    <m/>
    <m/>
    <m/>
    <m/>
    <m/>
    <m/>
    <m/>
    <m/>
    <m/>
    <m/>
    <m/>
    <m/>
    <m/>
    <m/>
    <m/>
  </r>
  <r>
    <x v="50"/>
    <x v="21"/>
    <m/>
    <m/>
    <m/>
    <m/>
    <m/>
    <m/>
    <m/>
    <m/>
    <m/>
    <m/>
    <m/>
    <m/>
    <m/>
    <m/>
    <m/>
    <m/>
    <m/>
  </r>
  <r>
    <x v="50"/>
    <x v="22"/>
    <m/>
    <m/>
    <m/>
    <m/>
    <m/>
    <m/>
    <m/>
    <m/>
    <m/>
    <m/>
    <m/>
    <m/>
    <m/>
    <m/>
    <m/>
    <m/>
    <m/>
  </r>
  <r>
    <x v="50"/>
    <x v="23"/>
    <m/>
    <m/>
    <m/>
    <m/>
    <m/>
    <m/>
    <m/>
    <m/>
    <m/>
    <m/>
    <m/>
    <m/>
    <m/>
    <m/>
    <m/>
    <m/>
    <m/>
  </r>
  <r>
    <x v="50"/>
    <x v="24"/>
    <m/>
    <m/>
    <m/>
    <m/>
    <m/>
    <m/>
    <m/>
    <m/>
    <m/>
    <m/>
    <m/>
    <m/>
    <m/>
    <m/>
    <m/>
    <m/>
    <m/>
  </r>
  <r>
    <x v="50"/>
    <x v="25"/>
    <m/>
    <m/>
    <m/>
    <m/>
    <m/>
    <m/>
    <m/>
    <m/>
    <m/>
    <m/>
    <m/>
    <m/>
    <m/>
    <m/>
    <m/>
    <m/>
    <m/>
  </r>
  <r>
    <x v="50"/>
    <x v="26"/>
    <m/>
    <m/>
    <m/>
    <m/>
    <m/>
    <m/>
    <m/>
    <m/>
    <m/>
    <m/>
    <m/>
    <m/>
    <m/>
    <m/>
    <m/>
    <m/>
    <m/>
  </r>
  <r>
    <x v="50"/>
    <x v="27"/>
    <m/>
    <m/>
    <m/>
    <m/>
    <m/>
    <m/>
    <m/>
    <m/>
    <m/>
    <m/>
    <m/>
    <m/>
    <m/>
    <m/>
    <m/>
    <m/>
    <m/>
  </r>
  <r>
    <x v="50"/>
    <x v="28"/>
    <m/>
    <m/>
    <m/>
    <m/>
    <m/>
    <m/>
    <m/>
    <m/>
    <m/>
    <m/>
    <m/>
    <m/>
    <m/>
    <m/>
    <m/>
    <m/>
    <m/>
  </r>
  <r>
    <x v="50"/>
    <x v="29"/>
    <m/>
    <m/>
    <m/>
    <m/>
    <m/>
    <m/>
    <m/>
    <m/>
    <m/>
    <m/>
    <m/>
    <m/>
    <m/>
    <m/>
    <m/>
    <m/>
    <m/>
  </r>
  <r>
    <x v="50"/>
    <x v="30"/>
    <m/>
    <m/>
    <m/>
    <m/>
    <m/>
    <m/>
    <m/>
    <m/>
    <m/>
    <m/>
    <m/>
    <m/>
    <m/>
    <m/>
    <m/>
    <m/>
    <m/>
  </r>
  <r>
    <x v="50"/>
    <x v="31"/>
    <m/>
    <m/>
    <m/>
    <m/>
    <m/>
    <m/>
    <m/>
    <m/>
    <m/>
    <m/>
    <m/>
    <m/>
    <m/>
    <m/>
    <m/>
    <m/>
    <m/>
  </r>
  <r>
    <x v="50"/>
    <x v="32"/>
    <m/>
    <m/>
    <m/>
    <m/>
    <m/>
    <m/>
    <m/>
    <m/>
    <m/>
    <m/>
    <m/>
    <m/>
    <m/>
    <m/>
    <m/>
    <m/>
    <m/>
  </r>
  <r>
    <x v="50"/>
    <x v="33"/>
    <m/>
    <m/>
    <m/>
    <m/>
    <m/>
    <m/>
    <m/>
    <m/>
    <m/>
    <m/>
    <m/>
    <m/>
    <m/>
    <m/>
    <m/>
    <m/>
    <m/>
  </r>
  <r>
    <x v="50"/>
    <x v="34"/>
    <m/>
    <m/>
    <m/>
    <m/>
    <m/>
    <m/>
    <m/>
    <m/>
    <m/>
    <m/>
    <m/>
    <m/>
    <m/>
    <m/>
    <m/>
    <m/>
    <m/>
  </r>
  <r>
    <x v="50"/>
    <x v="35"/>
    <m/>
    <m/>
    <m/>
    <m/>
    <m/>
    <m/>
    <m/>
    <m/>
    <m/>
    <m/>
    <m/>
    <m/>
    <m/>
    <m/>
    <m/>
    <m/>
    <m/>
  </r>
  <r>
    <x v="50"/>
    <x v="36"/>
    <m/>
    <m/>
    <m/>
    <m/>
    <m/>
    <m/>
    <m/>
    <m/>
    <m/>
    <m/>
    <m/>
    <m/>
    <m/>
    <m/>
    <m/>
    <m/>
    <m/>
  </r>
  <r>
    <x v="50"/>
    <x v="37"/>
    <m/>
    <m/>
    <m/>
    <m/>
    <m/>
    <m/>
    <m/>
    <m/>
    <m/>
    <m/>
    <m/>
    <m/>
    <m/>
    <m/>
    <m/>
    <m/>
    <m/>
  </r>
  <r>
    <x v="50"/>
    <x v="38"/>
    <m/>
    <m/>
    <m/>
    <m/>
    <m/>
    <m/>
    <m/>
    <m/>
    <m/>
    <m/>
    <m/>
    <m/>
    <m/>
    <m/>
    <m/>
    <m/>
    <m/>
  </r>
  <r>
    <x v="50"/>
    <x v="39"/>
    <m/>
    <m/>
    <m/>
    <m/>
    <m/>
    <m/>
    <m/>
    <m/>
    <m/>
    <m/>
    <m/>
    <m/>
    <m/>
    <m/>
    <m/>
    <m/>
    <m/>
  </r>
  <r>
    <x v="50"/>
    <x v="40"/>
    <m/>
    <m/>
    <m/>
    <m/>
    <m/>
    <m/>
    <m/>
    <m/>
    <m/>
    <m/>
    <m/>
    <m/>
    <m/>
    <m/>
    <m/>
    <m/>
    <m/>
  </r>
  <r>
    <x v="50"/>
    <x v="41"/>
    <m/>
    <m/>
    <m/>
    <m/>
    <m/>
    <m/>
    <m/>
    <m/>
    <m/>
    <m/>
    <m/>
    <m/>
    <m/>
    <m/>
    <m/>
    <m/>
    <m/>
  </r>
  <r>
    <x v="50"/>
    <x v="42"/>
    <m/>
    <m/>
    <m/>
    <m/>
    <m/>
    <m/>
    <m/>
    <m/>
    <m/>
    <m/>
    <m/>
    <m/>
    <m/>
    <m/>
    <m/>
    <m/>
    <m/>
  </r>
  <r>
    <x v="50"/>
    <x v="43"/>
    <m/>
    <m/>
    <m/>
    <m/>
    <m/>
    <m/>
    <m/>
    <m/>
    <m/>
    <m/>
    <m/>
    <m/>
    <m/>
    <m/>
    <m/>
    <m/>
    <m/>
  </r>
  <r>
    <x v="50"/>
    <x v="44"/>
    <m/>
    <m/>
    <m/>
    <m/>
    <m/>
    <m/>
    <m/>
    <m/>
    <m/>
    <m/>
    <m/>
    <m/>
    <m/>
    <m/>
    <m/>
    <m/>
    <m/>
  </r>
  <r>
    <x v="50"/>
    <x v="45"/>
    <m/>
    <m/>
    <m/>
    <m/>
    <m/>
    <m/>
    <m/>
    <m/>
    <m/>
    <m/>
    <m/>
    <m/>
    <m/>
    <m/>
    <m/>
    <m/>
    <m/>
  </r>
  <r>
    <x v="50"/>
    <x v="46"/>
    <m/>
    <m/>
    <m/>
    <m/>
    <m/>
    <m/>
    <m/>
    <m/>
    <m/>
    <m/>
    <m/>
    <m/>
    <m/>
    <m/>
    <m/>
    <m/>
    <m/>
  </r>
  <r>
    <x v="50"/>
    <x v="47"/>
    <m/>
    <m/>
    <m/>
    <m/>
    <m/>
    <m/>
    <m/>
    <m/>
    <m/>
    <m/>
    <m/>
    <m/>
    <m/>
    <m/>
    <m/>
    <m/>
    <m/>
  </r>
  <r>
    <x v="50"/>
    <x v="48"/>
    <m/>
    <m/>
    <m/>
    <m/>
    <m/>
    <m/>
    <m/>
    <m/>
    <m/>
    <m/>
    <m/>
    <m/>
    <m/>
    <m/>
    <m/>
    <m/>
    <m/>
  </r>
  <r>
    <x v="50"/>
    <x v="49"/>
    <m/>
    <m/>
    <m/>
    <m/>
    <m/>
    <m/>
    <m/>
    <m/>
    <m/>
    <m/>
    <m/>
    <m/>
    <m/>
    <m/>
    <m/>
    <m/>
    <m/>
  </r>
  <r>
    <x v="50"/>
    <x v="50"/>
    <m/>
    <m/>
    <m/>
    <m/>
    <m/>
    <m/>
    <m/>
    <m/>
    <m/>
    <m/>
    <m/>
    <m/>
    <m/>
    <m/>
    <m/>
    <m/>
    <m/>
  </r>
  <r>
    <x v="50"/>
    <x v="51"/>
    <m/>
    <m/>
    <m/>
    <m/>
    <m/>
    <m/>
    <m/>
    <m/>
    <m/>
    <m/>
    <m/>
    <m/>
    <m/>
    <m/>
    <m/>
    <m/>
    <m/>
  </r>
  <r>
    <x v="51"/>
    <x v="0"/>
    <m/>
    <m/>
    <m/>
    <m/>
    <m/>
    <m/>
    <m/>
    <m/>
    <m/>
    <m/>
    <m/>
    <m/>
    <m/>
    <m/>
    <m/>
    <m/>
    <m/>
  </r>
  <r>
    <x v="51"/>
    <x v="1"/>
    <m/>
    <m/>
    <m/>
    <m/>
    <m/>
    <m/>
    <n v="1"/>
    <n v="1"/>
    <m/>
    <m/>
    <n v="1"/>
    <n v="1"/>
    <m/>
    <m/>
    <n v="2"/>
    <n v="5"/>
    <m/>
  </r>
  <r>
    <x v="51"/>
    <x v="2"/>
    <m/>
    <m/>
    <m/>
    <m/>
    <m/>
    <m/>
    <m/>
    <m/>
    <m/>
    <m/>
    <m/>
    <m/>
    <m/>
    <m/>
    <m/>
    <m/>
    <m/>
  </r>
  <r>
    <x v="51"/>
    <x v="3"/>
    <m/>
    <m/>
    <m/>
    <m/>
    <m/>
    <m/>
    <n v="5"/>
    <n v="2"/>
    <n v="6"/>
    <m/>
    <n v="3"/>
    <n v="3"/>
    <m/>
    <n v="2"/>
    <n v="2"/>
    <n v="7"/>
    <m/>
  </r>
  <r>
    <x v="51"/>
    <x v="4"/>
    <m/>
    <m/>
    <m/>
    <m/>
    <m/>
    <m/>
    <n v="5"/>
    <n v="1"/>
    <n v="4"/>
    <m/>
    <m/>
    <m/>
    <m/>
    <n v="1"/>
    <m/>
    <n v="4"/>
    <m/>
  </r>
  <r>
    <x v="51"/>
    <x v="5"/>
    <m/>
    <m/>
    <m/>
    <m/>
    <m/>
    <m/>
    <m/>
    <m/>
    <m/>
    <m/>
    <m/>
    <m/>
    <m/>
    <m/>
    <m/>
    <m/>
    <m/>
  </r>
  <r>
    <x v="51"/>
    <x v="6"/>
    <m/>
    <m/>
    <m/>
    <m/>
    <m/>
    <m/>
    <m/>
    <m/>
    <m/>
    <m/>
    <m/>
    <m/>
    <m/>
    <m/>
    <m/>
    <m/>
    <m/>
  </r>
  <r>
    <x v="51"/>
    <x v="7"/>
    <m/>
    <m/>
    <m/>
    <m/>
    <m/>
    <m/>
    <m/>
    <m/>
    <m/>
    <m/>
    <m/>
    <m/>
    <m/>
    <m/>
    <m/>
    <m/>
    <m/>
  </r>
  <r>
    <x v="51"/>
    <x v="8"/>
    <n v="1"/>
    <m/>
    <m/>
    <m/>
    <m/>
    <m/>
    <n v="5"/>
    <n v="6"/>
    <n v="1"/>
    <m/>
    <n v="4"/>
    <n v="1"/>
    <m/>
    <n v="5"/>
    <n v="2"/>
    <n v="8"/>
    <m/>
  </r>
  <r>
    <x v="51"/>
    <x v="9"/>
    <m/>
    <m/>
    <m/>
    <m/>
    <m/>
    <m/>
    <n v="2"/>
    <n v="2"/>
    <m/>
    <m/>
    <n v="2"/>
    <m/>
    <m/>
    <n v="2"/>
    <n v="2"/>
    <n v="4"/>
    <m/>
  </r>
  <r>
    <x v="51"/>
    <x v="10"/>
    <m/>
    <m/>
    <m/>
    <m/>
    <m/>
    <m/>
    <m/>
    <m/>
    <m/>
    <m/>
    <m/>
    <m/>
    <m/>
    <m/>
    <m/>
    <m/>
    <m/>
  </r>
  <r>
    <x v="51"/>
    <x v="11"/>
    <m/>
    <m/>
    <m/>
    <m/>
    <n v="3"/>
    <m/>
    <m/>
    <m/>
    <m/>
    <m/>
    <n v="2"/>
    <n v="2"/>
    <m/>
    <m/>
    <n v="2"/>
    <n v="4"/>
    <m/>
  </r>
  <r>
    <x v="51"/>
    <x v="12"/>
    <m/>
    <m/>
    <m/>
    <m/>
    <m/>
    <m/>
    <n v="2"/>
    <n v="2"/>
    <n v="1"/>
    <m/>
    <n v="2"/>
    <n v="2"/>
    <m/>
    <n v="2"/>
    <n v="1"/>
    <n v="2"/>
    <m/>
  </r>
  <r>
    <x v="51"/>
    <x v="13"/>
    <n v="1"/>
    <m/>
    <m/>
    <m/>
    <m/>
    <m/>
    <n v="2"/>
    <n v="2"/>
    <n v="1"/>
    <m/>
    <n v="4"/>
    <n v="1"/>
    <m/>
    <n v="1"/>
    <n v="2"/>
    <n v="3"/>
    <m/>
  </r>
  <r>
    <x v="51"/>
    <x v="14"/>
    <m/>
    <m/>
    <m/>
    <m/>
    <m/>
    <m/>
    <m/>
    <m/>
    <m/>
    <m/>
    <m/>
    <m/>
    <m/>
    <m/>
    <m/>
    <m/>
    <m/>
  </r>
  <r>
    <x v="51"/>
    <x v="15"/>
    <m/>
    <m/>
    <m/>
    <m/>
    <m/>
    <m/>
    <m/>
    <m/>
    <m/>
    <m/>
    <m/>
    <m/>
    <m/>
    <m/>
    <m/>
    <m/>
    <m/>
  </r>
  <r>
    <x v="51"/>
    <x v="16"/>
    <m/>
    <m/>
    <m/>
    <m/>
    <m/>
    <m/>
    <n v="2"/>
    <n v="2"/>
    <m/>
    <m/>
    <n v="2"/>
    <m/>
    <m/>
    <n v="2"/>
    <n v="1"/>
    <n v="2"/>
    <m/>
  </r>
  <r>
    <x v="51"/>
    <x v="17"/>
    <m/>
    <m/>
    <m/>
    <m/>
    <m/>
    <m/>
    <n v="1"/>
    <n v="1"/>
    <m/>
    <m/>
    <n v="1"/>
    <m/>
    <m/>
    <n v="1"/>
    <n v="2"/>
    <n v="4"/>
    <m/>
  </r>
  <r>
    <x v="51"/>
    <x v="18"/>
    <m/>
    <m/>
    <m/>
    <m/>
    <m/>
    <m/>
    <m/>
    <n v="1"/>
    <m/>
    <m/>
    <m/>
    <n v="1"/>
    <m/>
    <n v="1"/>
    <n v="1"/>
    <n v="2"/>
    <m/>
  </r>
  <r>
    <x v="51"/>
    <x v="19"/>
    <m/>
    <m/>
    <m/>
    <m/>
    <m/>
    <m/>
    <m/>
    <m/>
    <m/>
    <m/>
    <m/>
    <m/>
    <m/>
    <m/>
    <m/>
    <m/>
    <m/>
  </r>
  <r>
    <x v="51"/>
    <x v="20"/>
    <n v="2"/>
    <m/>
    <m/>
    <m/>
    <m/>
    <m/>
    <n v="2"/>
    <n v="2"/>
    <n v="1"/>
    <m/>
    <n v="2"/>
    <m/>
    <m/>
    <n v="2"/>
    <n v="2"/>
    <n v="5"/>
    <m/>
  </r>
  <r>
    <x v="51"/>
    <x v="21"/>
    <m/>
    <m/>
    <m/>
    <m/>
    <m/>
    <m/>
    <n v="1"/>
    <n v="1"/>
    <m/>
    <m/>
    <n v="1"/>
    <n v="1"/>
    <m/>
    <n v="1"/>
    <n v="1"/>
    <n v="1"/>
    <m/>
  </r>
  <r>
    <x v="51"/>
    <x v="22"/>
    <m/>
    <m/>
    <m/>
    <m/>
    <m/>
    <m/>
    <m/>
    <m/>
    <m/>
    <m/>
    <m/>
    <m/>
    <m/>
    <m/>
    <m/>
    <m/>
    <m/>
  </r>
  <r>
    <x v="51"/>
    <x v="23"/>
    <m/>
    <m/>
    <m/>
    <m/>
    <m/>
    <m/>
    <n v="2"/>
    <n v="2"/>
    <m/>
    <m/>
    <n v="1"/>
    <m/>
    <m/>
    <n v="1"/>
    <n v="1"/>
    <n v="4"/>
    <m/>
  </r>
  <r>
    <x v="51"/>
    <x v="24"/>
    <m/>
    <m/>
    <m/>
    <m/>
    <m/>
    <m/>
    <n v="1"/>
    <n v="1"/>
    <m/>
    <m/>
    <n v="1"/>
    <m/>
    <m/>
    <n v="1"/>
    <n v="1"/>
    <n v="3"/>
    <m/>
  </r>
  <r>
    <x v="51"/>
    <x v="25"/>
    <n v="1"/>
    <m/>
    <m/>
    <m/>
    <m/>
    <m/>
    <n v="2"/>
    <n v="2"/>
    <n v="1"/>
    <m/>
    <n v="4"/>
    <n v="1"/>
    <m/>
    <n v="2"/>
    <n v="2"/>
    <n v="5"/>
    <m/>
  </r>
  <r>
    <x v="51"/>
    <x v="26"/>
    <m/>
    <m/>
    <m/>
    <m/>
    <m/>
    <m/>
    <n v="2"/>
    <n v="2"/>
    <m/>
    <m/>
    <n v="1"/>
    <m/>
    <m/>
    <n v="1"/>
    <n v="1"/>
    <n v="4"/>
    <m/>
  </r>
  <r>
    <x v="51"/>
    <x v="27"/>
    <m/>
    <m/>
    <m/>
    <m/>
    <m/>
    <m/>
    <n v="1"/>
    <n v="1"/>
    <m/>
    <m/>
    <n v="1"/>
    <m/>
    <m/>
    <n v="1"/>
    <n v="1"/>
    <n v="2"/>
    <m/>
  </r>
  <r>
    <x v="51"/>
    <x v="28"/>
    <m/>
    <m/>
    <m/>
    <m/>
    <m/>
    <m/>
    <m/>
    <n v="3"/>
    <m/>
    <m/>
    <m/>
    <m/>
    <m/>
    <m/>
    <m/>
    <m/>
    <m/>
  </r>
  <r>
    <x v="51"/>
    <x v="29"/>
    <n v="2"/>
    <n v="2"/>
    <n v="2"/>
    <n v="2"/>
    <n v="2"/>
    <n v="2"/>
    <n v="2"/>
    <m/>
    <m/>
    <m/>
    <m/>
    <m/>
    <m/>
    <m/>
    <n v="1"/>
    <n v="4"/>
    <m/>
  </r>
  <r>
    <x v="51"/>
    <x v="30"/>
    <n v="1"/>
    <n v="1"/>
    <n v="1"/>
    <n v="1"/>
    <n v="1"/>
    <n v="1"/>
    <n v="1"/>
    <n v="1"/>
    <m/>
    <m/>
    <n v="1"/>
    <n v="1"/>
    <m/>
    <n v="1"/>
    <n v="1"/>
    <n v="3"/>
    <m/>
  </r>
  <r>
    <x v="51"/>
    <x v="31"/>
    <n v="5"/>
    <n v="4"/>
    <n v="5"/>
    <n v="4"/>
    <n v="5"/>
    <n v="5"/>
    <n v="7"/>
    <n v="7"/>
    <n v="8"/>
    <m/>
    <n v="8"/>
    <n v="8"/>
    <m/>
    <n v="7"/>
    <n v="7"/>
    <n v="16"/>
    <m/>
  </r>
  <r>
    <x v="51"/>
    <x v="32"/>
    <m/>
    <m/>
    <m/>
    <m/>
    <m/>
    <m/>
    <m/>
    <m/>
    <m/>
    <m/>
    <m/>
    <m/>
    <m/>
    <n v="1"/>
    <n v="2"/>
    <n v="3"/>
    <m/>
  </r>
  <r>
    <x v="51"/>
    <x v="33"/>
    <m/>
    <m/>
    <m/>
    <m/>
    <m/>
    <m/>
    <n v="2"/>
    <n v="2"/>
    <m/>
    <m/>
    <n v="1"/>
    <m/>
    <m/>
    <n v="1"/>
    <n v="1"/>
    <n v="3"/>
    <m/>
  </r>
  <r>
    <x v="51"/>
    <x v="34"/>
    <m/>
    <m/>
    <m/>
    <m/>
    <m/>
    <m/>
    <n v="1"/>
    <n v="1"/>
    <n v="2"/>
    <m/>
    <m/>
    <n v="2"/>
    <m/>
    <n v="1"/>
    <n v="1"/>
    <n v="6"/>
    <m/>
  </r>
  <r>
    <x v="51"/>
    <x v="35"/>
    <n v="12"/>
    <m/>
    <m/>
    <m/>
    <n v="12"/>
    <m/>
    <n v="6"/>
    <m/>
    <n v="8"/>
    <m/>
    <n v="12"/>
    <n v="12"/>
    <m/>
    <n v="10"/>
    <n v="6"/>
    <n v="16"/>
    <m/>
  </r>
  <r>
    <x v="51"/>
    <x v="36"/>
    <m/>
    <m/>
    <m/>
    <m/>
    <m/>
    <m/>
    <n v="1"/>
    <n v="1"/>
    <m/>
    <m/>
    <n v="3"/>
    <m/>
    <m/>
    <n v="2"/>
    <n v="2"/>
    <n v="4"/>
    <m/>
  </r>
  <r>
    <x v="51"/>
    <x v="37"/>
    <n v="1"/>
    <m/>
    <m/>
    <m/>
    <m/>
    <m/>
    <n v="2"/>
    <n v="3"/>
    <n v="2"/>
    <m/>
    <n v="4"/>
    <n v="1"/>
    <m/>
    <n v="3"/>
    <n v="2"/>
    <n v="5"/>
    <m/>
  </r>
  <r>
    <x v="51"/>
    <x v="38"/>
    <m/>
    <m/>
    <m/>
    <m/>
    <m/>
    <m/>
    <m/>
    <m/>
    <m/>
    <m/>
    <m/>
    <m/>
    <m/>
    <m/>
    <m/>
    <m/>
    <m/>
  </r>
  <r>
    <x v="51"/>
    <x v="39"/>
    <n v="2"/>
    <n v="2"/>
    <n v="2"/>
    <n v="2"/>
    <n v="2"/>
    <n v="2"/>
    <n v="2"/>
    <n v="2"/>
    <n v="2"/>
    <m/>
    <n v="2"/>
    <n v="2"/>
    <m/>
    <n v="2"/>
    <n v="1"/>
    <n v="2"/>
    <m/>
  </r>
  <r>
    <x v="51"/>
    <x v="40"/>
    <m/>
    <m/>
    <m/>
    <m/>
    <m/>
    <m/>
    <n v="5"/>
    <n v="2"/>
    <m/>
    <m/>
    <m/>
    <m/>
    <m/>
    <m/>
    <n v="2"/>
    <n v="4"/>
    <m/>
  </r>
  <r>
    <x v="51"/>
    <x v="41"/>
    <m/>
    <m/>
    <m/>
    <m/>
    <m/>
    <m/>
    <m/>
    <m/>
    <m/>
    <m/>
    <m/>
    <m/>
    <m/>
    <m/>
    <m/>
    <m/>
    <m/>
  </r>
  <r>
    <x v="51"/>
    <x v="42"/>
    <n v="1"/>
    <m/>
    <m/>
    <m/>
    <m/>
    <m/>
    <n v="9"/>
    <n v="7"/>
    <n v="3"/>
    <m/>
    <n v="4"/>
    <n v="3"/>
    <m/>
    <n v="5"/>
    <n v="5"/>
    <n v="14"/>
    <m/>
  </r>
  <r>
    <x v="51"/>
    <x v="43"/>
    <n v="1"/>
    <m/>
    <n v="1"/>
    <m/>
    <n v="1"/>
    <m/>
    <m/>
    <n v="1"/>
    <n v="3"/>
    <m/>
    <n v="2"/>
    <n v="1"/>
    <m/>
    <n v="1"/>
    <n v="2"/>
    <n v="9"/>
    <m/>
  </r>
  <r>
    <x v="51"/>
    <x v="44"/>
    <n v="1"/>
    <m/>
    <m/>
    <m/>
    <m/>
    <m/>
    <n v="2"/>
    <n v="1"/>
    <n v="1"/>
    <m/>
    <n v="4"/>
    <n v="1"/>
    <m/>
    <n v="0"/>
    <n v="2"/>
    <n v="3"/>
    <m/>
  </r>
  <r>
    <x v="51"/>
    <x v="45"/>
    <m/>
    <m/>
    <m/>
    <m/>
    <m/>
    <m/>
    <m/>
    <m/>
    <m/>
    <m/>
    <m/>
    <m/>
    <m/>
    <n v="3"/>
    <n v="2"/>
    <n v="6"/>
    <m/>
  </r>
  <r>
    <x v="51"/>
    <x v="46"/>
    <m/>
    <m/>
    <m/>
    <m/>
    <m/>
    <m/>
    <n v="1"/>
    <n v="1"/>
    <m/>
    <m/>
    <m/>
    <m/>
    <m/>
    <m/>
    <n v="2"/>
    <n v="3"/>
    <m/>
  </r>
  <r>
    <x v="51"/>
    <x v="47"/>
    <n v="1"/>
    <m/>
    <m/>
    <m/>
    <m/>
    <m/>
    <m/>
    <m/>
    <m/>
    <m/>
    <n v="4"/>
    <n v="2"/>
    <m/>
    <n v="4"/>
    <n v="2"/>
    <n v="8"/>
    <m/>
  </r>
  <r>
    <x v="51"/>
    <x v="48"/>
    <n v="4"/>
    <n v="4"/>
    <n v="3"/>
    <n v="4"/>
    <n v="1"/>
    <n v="1"/>
    <n v="4"/>
    <n v="5"/>
    <n v="5"/>
    <m/>
    <n v="6"/>
    <n v="5"/>
    <m/>
    <n v="5"/>
    <n v="4"/>
    <n v="14"/>
    <m/>
  </r>
  <r>
    <x v="51"/>
    <x v="49"/>
    <m/>
    <m/>
    <m/>
    <m/>
    <m/>
    <m/>
    <n v="1"/>
    <n v="2"/>
    <n v="2"/>
    <m/>
    <m/>
    <n v="2"/>
    <m/>
    <n v="2"/>
    <n v="2"/>
    <n v="6"/>
    <m/>
  </r>
  <r>
    <x v="51"/>
    <x v="50"/>
    <n v="3"/>
    <m/>
    <m/>
    <m/>
    <m/>
    <m/>
    <n v="3"/>
    <n v="3"/>
    <m/>
    <m/>
    <n v="3"/>
    <n v="1"/>
    <m/>
    <n v="1"/>
    <n v="1"/>
    <n v="7"/>
    <m/>
  </r>
  <r>
    <x v="51"/>
    <x v="51"/>
    <m/>
    <m/>
    <m/>
    <m/>
    <m/>
    <m/>
    <m/>
    <n v="3"/>
    <m/>
    <m/>
    <m/>
    <m/>
    <m/>
    <n v="3"/>
    <n v="4"/>
    <n v="10"/>
    <m/>
  </r>
  <r>
    <x v="51"/>
    <x v="81"/>
    <n v="3"/>
    <n v="3"/>
    <n v="3"/>
    <n v="3"/>
    <m/>
    <m/>
    <n v="2"/>
    <n v="2"/>
    <n v="3"/>
    <m/>
    <n v="2"/>
    <n v="4"/>
    <m/>
    <n v="2"/>
    <n v="2"/>
    <n v="4"/>
    <m/>
  </r>
  <r>
    <x v="51"/>
    <x v="53"/>
    <n v="2"/>
    <n v="1"/>
    <n v="1"/>
    <n v="1"/>
    <m/>
    <m/>
    <m/>
    <m/>
    <n v="2"/>
    <m/>
    <n v="2"/>
    <n v="1"/>
    <m/>
    <m/>
    <m/>
    <m/>
    <m/>
  </r>
  <r>
    <x v="51"/>
    <x v="82"/>
    <m/>
    <m/>
    <m/>
    <m/>
    <m/>
    <m/>
    <m/>
    <n v="1"/>
    <n v="1"/>
    <m/>
    <m/>
    <m/>
    <m/>
    <n v="1"/>
    <m/>
    <n v="1"/>
    <m/>
  </r>
  <r>
    <x v="51"/>
    <x v="83"/>
    <n v="1"/>
    <m/>
    <m/>
    <m/>
    <m/>
    <m/>
    <n v="3"/>
    <n v="3"/>
    <n v="2"/>
    <m/>
    <n v="3"/>
    <n v="2"/>
    <m/>
    <n v="2"/>
    <n v="2"/>
    <n v="6"/>
    <m/>
  </r>
  <r>
    <x v="51"/>
    <x v="84"/>
    <n v="1"/>
    <m/>
    <m/>
    <m/>
    <m/>
    <m/>
    <n v="1"/>
    <n v="1"/>
    <n v="1"/>
    <m/>
    <n v="1"/>
    <n v="1"/>
    <m/>
    <n v="1"/>
    <n v="1"/>
    <n v="3"/>
    <m/>
  </r>
  <r>
    <x v="51"/>
    <x v="85"/>
    <n v="1"/>
    <m/>
    <m/>
    <m/>
    <m/>
    <m/>
    <n v="1"/>
    <n v="1"/>
    <n v="1"/>
    <m/>
    <n v="1"/>
    <n v="1"/>
    <m/>
    <n v="1"/>
    <n v="1"/>
    <n v="2"/>
    <m/>
  </r>
  <r>
    <x v="52"/>
    <x v="0"/>
    <m/>
    <m/>
    <m/>
    <m/>
    <m/>
    <m/>
    <m/>
    <m/>
    <m/>
    <m/>
    <m/>
    <m/>
    <m/>
    <m/>
    <m/>
    <m/>
    <m/>
  </r>
  <r>
    <x v="52"/>
    <x v="1"/>
    <n v="0"/>
    <n v="0"/>
    <n v="0"/>
    <n v="0"/>
    <m/>
    <n v="0"/>
    <n v="15"/>
    <n v="1"/>
    <n v="0"/>
    <n v="0"/>
    <n v="0"/>
    <n v="0"/>
    <n v="4"/>
    <n v="3"/>
    <n v="2"/>
    <n v="0"/>
    <m/>
  </r>
  <r>
    <x v="52"/>
    <x v="2"/>
    <n v="0"/>
    <n v="0"/>
    <n v="0"/>
    <n v="0"/>
    <n v="0"/>
    <n v="0"/>
    <n v="8"/>
    <n v="1"/>
    <n v="0"/>
    <n v="0"/>
    <n v="0"/>
    <n v="0"/>
    <n v="0"/>
    <n v="0"/>
    <n v="0"/>
    <n v="0"/>
    <m/>
  </r>
  <r>
    <x v="52"/>
    <x v="3"/>
    <m/>
    <m/>
    <m/>
    <m/>
    <m/>
    <m/>
    <m/>
    <m/>
    <m/>
    <m/>
    <m/>
    <m/>
    <m/>
    <m/>
    <m/>
    <m/>
    <m/>
  </r>
  <r>
    <x v="52"/>
    <x v="4"/>
    <n v="3"/>
    <n v="1"/>
    <n v="2"/>
    <n v="1"/>
    <n v="3"/>
    <n v="1"/>
    <n v="40"/>
    <n v="44"/>
    <n v="14"/>
    <n v="9"/>
    <n v="10"/>
    <n v="17"/>
    <n v="13"/>
    <n v="30"/>
    <n v="13"/>
    <n v="5"/>
    <m/>
  </r>
  <r>
    <x v="52"/>
    <x v="5"/>
    <m/>
    <m/>
    <m/>
    <m/>
    <m/>
    <m/>
    <m/>
    <m/>
    <m/>
    <m/>
    <m/>
    <m/>
    <m/>
    <m/>
    <m/>
    <m/>
    <m/>
  </r>
  <r>
    <x v="52"/>
    <x v="6"/>
    <m/>
    <m/>
    <m/>
    <m/>
    <m/>
    <m/>
    <m/>
    <m/>
    <m/>
    <m/>
    <m/>
    <m/>
    <m/>
    <m/>
    <m/>
    <m/>
    <m/>
  </r>
  <r>
    <x v="52"/>
    <x v="7"/>
    <m/>
    <m/>
    <m/>
    <m/>
    <m/>
    <m/>
    <m/>
    <m/>
    <m/>
    <m/>
    <m/>
    <m/>
    <m/>
    <m/>
    <m/>
    <m/>
    <m/>
  </r>
  <r>
    <x v="52"/>
    <x v="8"/>
    <n v="0"/>
    <n v="0"/>
    <n v="0"/>
    <n v="0"/>
    <n v="0"/>
    <n v="0"/>
    <n v="40"/>
    <n v="0"/>
    <n v="0"/>
    <n v="0"/>
    <n v="0"/>
    <n v="0"/>
    <n v="0"/>
    <n v="50"/>
    <n v="6"/>
    <n v="0"/>
    <m/>
  </r>
  <r>
    <x v="52"/>
    <x v="9"/>
    <n v="0"/>
    <n v="0"/>
    <n v="0"/>
    <n v="0"/>
    <n v="0"/>
    <n v="0"/>
    <n v="1"/>
    <n v="0"/>
    <n v="0"/>
    <n v="0"/>
    <n v="1"/>
    <n v="1"/>
    <n v="1"/>
    <n v="0"/>
    <n v="1"/>
    <n v="1"/>
    <m/>
  </r>
  <r>
    <x v="52"/>
    <x v="10"/>
    <m/>
    <m/>
    <m/>
    <m/>
    <m/>
    <m/>
    <m/>
    <m/>
    <m/>
    <m/>
    <m/>
    <m/>
    <m/>
    <m/>
    <m/>
    <m/>
    <m/>
  </r>
  <r>
    <x v="52"/>
    <x v="11"/>
    <m/>
    <m/>
    <m/>
    <m/>
    <m/>
    <m/>
    <m/>
    <m/>
    <m/>
    <m/>
    <m/>
    <m/>
    <m/>
    <m/>
    <m/>
    <m/>
    <m/>
  </r>
  <r>
    <x v="52"/>
    <x v="12"/>
    <m/>
    <m/>
    <m/>
    <m/>
    <m/>
    <m/>
    <m/>
    <m/>
    <m/>
    <m/>
    <m/>
    <m/>
    <m/>
    <m/>
    <m/>
    <m/>
    <m/>
  </r>
  <r>
    <x v="52"/>
    <x v="13"/>
    <m/>
    <m/>
    <m/>
    <m/>
    <m/>
    <m/>
    <m/>
    <m/>
    <m/>
    <m/>
    <m/>
    <m/>
    <m/>
    <m/>
    <m/>
    <m/>
    <m/>
  </r>
  <r>
    <x v="52"/>
    <x v="14"/>
    <m/>
    <m/>
    <m/>
    <m/>
    <m/>
    <m/>
    <m/>
    <m/>
    <m/>
    <m/>
    <m/>
    <m/>
    <m/>
    <m/>
    <m/>
    <m/>
    <m/>
  </r>
  <r>
    <x v="52"/>
    <x v="15"/>
    <n v="0"/>
    <n v="0"/>
    <n v="0"/>
    <n v="0"/>
    <n v="0"/>
    <n v="0"/>
    <n v="6"/>
    <n v="0"/>
    <n v="0"/>
    <n v="0"/>
    <n v="0"/>
    <n v="0"/>
    <n v="0"/>
    <n v="4"/>
    <n v="2"/>
    <n v="0"/>
    <m/>
  </r>
  <r>
    <x v="52"/>
    <x v="16"/>
    <m/>
    <m/>
    <m/>
    <m/>
    <m/>
    <m/>
    <m/>
    <m/>
    <m/>
    <m/>
    <m/>
    <m/>
    <m/>
    <m/>
    <m/>
    <m/>
    <m/>
  </r>
  <r>
    <x v="52"/>
    <x v="17"/>
    <m/>
    <m/>
    <m/>
    <m/>
    <m/>
    <m/>
    <m/>
    <m/>
    <m/>
    <m/>
    <m/>
    <m/>
    <m/>
    <m/>
    <m/>
    <m/>
    <m/>
  </r>
  <r>
    <x v="52"/>
    <x v="18"/>
    <m/>
    <m/>
    <m/>
    <m/>
    <m/>
    <m/>
    <m/>
    <m/>
    <m/>
    <m/>
    <m/>
    <m/>
    <m/>
    <m/>
    <m/>
    <m/>
    <m/>
  </r>
  <r>
    <x v="52"/>
    <x v="19"/>
    <m/>
    <m/>
    <m/>
    <m/>
    <m/>
    <m/>
    <m/>
    <m/>
    <m/>
    <m/>
    <m/>
    <m/>
    <m/>
    <m/>
    <m/>
    <m/>
    <m/>
  </r>
  <r>
    <x v="52"/>
    <x v="20"/>
    <m/>
    <m/>
    <m/>
    <m/>
    <m/>
    <m/>
    <m/>
    <m/>
    <m/>
    <m/>
    <m/>
    <m/>
    <m/>
    <m/>
    <m/>
    <m/>
    <m/>
  </r>
  <r>
    <x v="52"/>
    <x v="21"/>
    <m/>
    <m/>
    <m/>
    <m/>
    <m/>
    <m/>
    <m/>
    <m/>
    <m/>
    <m/>
    <m/>
    <m/>
    <m/>
    <m/>
    <m/>
    <m/>
    <m/>
  </r>
  <r>
    <x v="52"/>
    <x v="22"/>
    <m/>
    <m/>
    <m/>
    <m/>
    <m/>
    <m/>
    <m/>
    <m/>
    <m/>
    <m/>
    <m/>
    <m/>
    <m/>
    <m/>
    <m/>
    <m/>
    <m/>
  </r>
  <r>
    <x v="52"/>
    <x v="23"/>
    <m/>
    <m/>
    <m/>
    <m/>
    <m/>
    <m/>
    <m/>
    <m/>
    <m/>
    <m/>
    <m/>
    <m/>
    <m/>
    <m/>
    <m/>
    <m/>
    <m/>
  </r>
  <r>
    <x v="52"/>
    <x v="24"/>
    <n v="0"/>
    <n v="0"/>
    <n v="0"/>
    <n v="0"/>
    <n v="0"/>
    <n v="0"/>
    <n v="1"/>
    <n v="0"/>
    <n v="0"/>
    <n v="0"/>
    <n v="1"/>
    <n v="1"/>
    <n v="1"/>
    <n v="0"/>
    <n v="1"/>
    <n v="1"/>
    <m/>
  </r>
  <r>
    <x v="52"/>
    <x v="25"/>
    <n v="0"/>
    <n v="0"/>
    <n v="0"/>
    <n v="0"/>
    <n v="0"/>
    <n v="0"/>
    <n v="30"/>
    <n v="0"/>
    <n v="0"/>
    <n v="0"/>
    <n v="18"/>
    <n v="0"/>
    <n v="0"/>
    <n v="23"/>
    <n v="6"/>
    <n v="0"/>
    <m/>
  </r>
  <r>
    <x v="52"/>
    <x v="26"/>
    <m/>
    <m/>
    <m/>
    <m/>
    <m/>
    <m/>
    <m/>
    <m/>
    <m/>
    <m/>
    <m/>
    <m/>
    <m/>
    <m/>
    <m/>
    <m/>
    <m/>
  </r>
  <r>
    <x v="52"/>
    <x v="27"/>
    <m/>
    <m/>
    <m/>
    <m/>
    <m/>
    <m/>
    <m/>
    <m/>
    <m/>
    <m/>
    <m/>
    <m/>
    <m/>
    <m/>
    <m/>
    <m/>
    <m/>
  </r>
  <r>
    <x v="52"/>
    <x v="28"/>
    <m/>
    <m/>
    <m/>
    <m/>
    <m/>
    <m/>
    <m/>
    <m/>
    <m/>
    <m/>
    <m/>
    <m/>
    <m/>
    <m/>
    <m/>
    <m/>
    <m/>
  </r>
  <r>
    <x v="52"/>
    <x v="29"/>
    <m/>
    <m/>
    <m/>
    <m/>
    <m/>
    <m/>
    <m/>
    <m/>
    <m/>
    <m/>
    <m/>
    <m/>
    <m/>
    <m/>
    <m/>
    <m/>
    <m/>
  </r>
  <r>
    <x v="52"/>
    <x v="30"/>
    <m/>
    <m/>
    <m/>
    <m/>
    <m/>
    <m/>
    <m/>
    <m/>
    <m/>
    <m/>
    <m/>
    <m/>
    <m/>
    <m/>
    <m/>
    <m/>
    <m/>
  </r>
  <r>
    <x v="52"/>
    <x v="31"/>
    <m/>
    <m/>
    <m/>
    <m/>
    <m/>
    <m/>
    <m/>
    <m/>
    <m/>
    <m/>
    <m/>
    <m/>
    <m/>
    <m/>
    <m/>
    <m/>
    <m/>
  </r>
  <r>
    <x v="52"/>
    <x v="32"/>
    <n v="0"/>
    <n v="0"/>
    <n v="0"/>
    <n v="0"/>
    <n v="0"/>
    <n v="0"/>
    <n v="5"/>
    <n v="0"/>
    <n v="0"/>
    <n v="0"/>
    <n v="0"/>
    <n v="0"/>
    <n v="0"/>
    <n v="0"/>
    <n v="0"/>
    <n v="0"/>
    <m/>
  </r>
  <r>
    <x v="52"/>
    <x v="33"/>
    <m/>
    <m/>
    <m/>
    <m/>
    <m/>
    <m/>
    <m/>
    <m/>
    <m/>
    <m/>
    <m/>
    <m/>
    <m/>
    <m/>
    <m/>
    <m/>
    <m/>
  </r>
  <r>
    <x v="52"/>
    <x v="34"/>
    <m/>
    <m/>
    <m/>
    <m/>
    <m/>
    <m/>
    <m/>
    <m/>
    <m/>
    <m/>
    <m/>
    <m/>
    <m/>
    <m/>
    <m/>
    <m/>
    <m/>
  </r>
  <r>
    <x v="52"/>
    <x v="35"/>
    <m/>
    <m/>
    <m/>
    <m/>
    <m/>
    <m/>
    <m/>
    <m/>
    <m/>
    <m/>
    <m/>
    <m/>
    <m/>
    <m/>
    <m/>
    <m/>
    <m/>
  </r>
  <r>
    <x v="52"/>
    <x v="36"/>
    <n v="0"/>
    <n v="0"/>
    <n v="0"/>
    <n v="0"/>
    <n v="0"/>
    <n v="0"/>
    <n v="4"/>
    <n v="0"/>
    <n v="0"/>
    <n v="0"/>
    <n v="4"/>
    <n v="4"/>
    <n v="4"/>
    <n v="1"/>
    <n v="4"/>
    <n v="4"/>
    <m/>
  </r>
  <r>
    <x v="52"/>
    <x v="37"/>
    <m/>
    <m/>
    <m/>
    <m/>
    <m/>
    <m/>
    <m/>
    <m/>
    <m/>
    <m/>
    <m/>
    <m/>
    <m/>
    <m/>
    <m/>
    <m/>
    <m/>
  </r>
  <r>
    <x v="52"/>
    <x v="38"/>
    <m/>
    <m/>
    <m/>
    <m/>
    <m/>
    <m/>
    <m/>
    <m/>
    <m/>
    <m/>
    <m/>
    <m/>
    <m/>
    <m/>
    <m/>
    <m/>
    <m/>
  </r>
  <r>
    <x v="52"/>
    <x v="39"/>
    <m/>
    <m/>
    <m/>
    <m/>
    <m/>
    <m/>
    <m/>
    <m/>
    <m/>
    <m/>
    <m/>
    <m/>
    <m/>
    <m/>
    <m/>
    <m/>
    <m/>
  </r>
  <r>
    <x v="52"/>
    <x v="40"/>
    <m/>
    <m/>
    <m/>
    <m/>
    <m/>
    <m/>
    <m/>
    <m/>
    <m/>
    <m/>
    <m/>
    <m/>
    <m/>
    <m/>
    <m/>
    <m/>
    <m/>
  </r>
  <r>
    <x v="52"/>
    <x v="41"/>
    <m/>
    <m/>
    <m/>
    <m/>
    <m/>
    <m/>
    <m/>
    <m/>
    <m/>
    <m/>
    <m/>
    <m/>
    <m/>
    <m/>
    <m/>
    <m/>
    <m/>
  </r>
  <r>
    <x v="52"/>
    <x v="42"/>
    <m/>
    <m/>
    <m/>
    <m/>
    <m/>
    <m/>
    <m/>
    <m/>
    <m/>
    <m/>
    <m/>
    <m/>
    <m/>
    <m/>
    <m/>
    <m/>
    <m/>
  </r>
  <r>
    <x v="52"/>
    <x v="43"/>
    <m/>
    <m/>
    <m/>
    <m/>
    <m/>
    <m/>
    <m/>
    <m/>
    <m/>
    <m/>
    <m/>
    <m/>
    <m/>
    <m/>
    <m/>
    <m/>
    <m/>
  </r>
  <r>
    <x v="52"/>
    <x v="44"/>
    <m/>
    <m/>
    <m/>
    <m/>
    <m/>
    <m/>
    <m/>
    <m/>
    <m/>
    <m/>
    <m/>
    <m/>
    <m/>
    <m/>
    <m/>
    <m/>
    <m/>
  </r>
  <r>
    <x v="52"/>
    <x v="45"/>
    <m/>
    <m/>
    <m/>
    <m/>
    <m/>
    <m/>
    <m/>
    <m/>
    <m/>
    <m/>
    <m/>
    <m/>
    <m/>
    <m/>
    <m/>
    <m/>
    <m/>
  </r>
  <r>
    <x v="52"/>
    <x v="46"/>
    <n v="0"/>
    <n v="0"/>
    <n v="0"/>
    <n v="0"/>
    <n v="0"/>
    <n v="0"/>
    <n v="0"/>
    <n v="0"/>
    <n v="0"/>
    <n v="0"/>
    <n v="0"/>
    <n v="0"/>
    <n v="0"/>
    <n v="0"/>
    <n v="0"/>
    <n v="1"/>
    <m/>
  </r>
  <r>
    <x v="52"/>
    <x v="47"/>
    <m/>
    <m/>
    <m/>
    <m/>
    <m/>
    <m/>
    <m/>
    <m/>
    <m/>
    <m/>
    <m/>
    <m/>
    <m/>
    <m/>
    <m/>
    <m/>
    <m/>
  </r>
  <r>
    <x v="52"/>
    <x v="48"/>
    <m/>
    <m/>
    <m/>
    <m/>
    <m/>
    <m/>
    <m/>
    <m/>
    <m/>
    <m/>
    <m/>
    <m/>
    <m/>
    <m/>
    <m/>
    <m/>
    <m/>
  </r>
  <r>
    <x v="52"/>
    <x v="49"/>
    <m/>
    <m/>
    <m/>
    <m/>
    <m/>
    <m/>
    <m/>
    <m/>
    <m/>
    <m/>
    <m/>
    <m/>
    <m/>
    <m/>
    <m/>
    <m/>
    <m/>
  </r>
  <r>
    <x v="52"/>
    <x v="50"/>
    <m/>
    <m/>
    <m/>
    <m/>
    <m/>
    <m/>
    <n v="30"/>
    <m/>
    <m/>
    <m/>
    <m/>
    <m/>
    <m/>
    <n v="30"/>
    <m/>
    <m/>
    <m/>
  </r>
  <r>
    <x v="52"/>
    <x v="51"/>
    <n v="2"/>
    <n v="2"/>
    <n v="2"/>
    <n v="0"/>
    <n v="0"/>
    <n v="0"/>
    <n v="15"/>
    <n v="0"/>
    <n v="0"/>
    <n v="0"/>
    <n v="0"/>
    <n v="2"/>
    <n v="2"/>
    <n v="3"/>
    <n v="1"/>
    <n v="3"/>
    <m/>
  </r>
  <r>
    <x v="53"/>
    <x v="0"/>
    <m/>
    <m/>
    <m/>
    <m/>
    <m/>
    <m/>
    <m/>
    <m/>
    <m/>
    <m/>
    <m/>
    <m/>
    <m/>
    <m/>
    <m/>
    <m/>
    <m/>
  </r>
  <r>
    <x v="53"/>
    <x v="1"/>
    <m/>
    <m/>
    <m/>
    <m/>
    <m/>
    <m/>
    <m/>
    <m/>
    <m/>
    <m/>
    <m/>
    <m/>
    <m/>
    <m/>
    <m/>
    <m/>
    <m/>
  </r>
  <r>
    <x v="53"/>
    <x v="2"/>
    <m/>
    <m/>
    <m/>
    <m/>
    <m/>
    <m/>
    <m/>
    <m/>
    <m/>
    <m/>
    <m/>
    <m/>
    <m/>
    <m/>
    <m/>
    <m/>
    <m/>
  </r>
  <r>
    <x v="53"/>
    <x v="3"/>
    <m/>
    <m/>
    <m/>
    <m/>
    <m/>
    <m/>
    <m/>
    <m/>
    <m/>
    <m/>
    <m/>
    <m/>
    <m/>
    <m/>
    <m/>
    <m/>
    <m/>
  </r>
  <r>
    <x v="53"/>
    <x v="4"/>
    <m/>
    <m/>
    <m/>
    <m/>
    <m/>
    <m/>
    <m/>
    <m/>
    <m/>
    <m/>
    <m/>
    <m/>
    <m/>
    <m/>
    <m/>
    <m/>
    <m/>
  </r>
  <r>
    <x v="53"/>
    <x v="5"/>
    <m/>
    <m/>
    <m/>
    <m/>
    <m/>
    <m/>
    <m/>
    <m/>
    <m/>
    <m/>
    <m/>
    <m/>
    <m/>
    <m/>
    <m/>
    <m/>
    <m/>
  </r>
  <r>
    <x v="53"/>
    <x v="6"/>
    <m/>
    <m/>
    <m/>
    <m/>
    <m/>
    <m/>
    <m/>
    <m/>
    <m/>
    <m/>
    <m/>
    <m/>
    <m/>
    <m/>
    <m/>
    <m/>
    <m/>
  </r>
  <r>
    <x v="53"/>
    <x v="7"/>
    <m/>
    <m/>
    <m/>
    <m/>
    <m/>
    <m/>
    <m/>
    <m/>
    <m/>
    <m/>
    <m/>
    <m/>
    <m/>
    <m/>
    <m/>
    <m/>
    <m/>
  </r>
  <r>
    <x v="53"/>
    <x v="8"/>
    <m/>
    <m/>
    <m/>
    <m/>
    <m/>
    <m/>
    <m/>
    <m/>
    <m/>
    <m/>
    <m/>
    <m/>
    <m/>
    <m/>
    <m/>
    <m/>
    <m/>
  </r>
  <r>
    <x v="53"/>
    <x v="9"/>
    <m/>
    <m/>
    <m/>
    <m/>
    <m/>
    <m/>
    <m/>
    <m/>
    <m/>
    <m/>
    <m/>
    <m/>
    <m/>
    <m/>
    <m/>
    <m/>
    <m/>
  </r>
  <r>
    <x v="53"/>
    <x v="10"/>
    <m/>
    <m/>
    <m/>
    <m/>
    <m/>
    <m/>
    <m/>
    <m/>
    <m/>
    <m/>
    <m/>
    <m/>
    <m/>
    <m/>
    <m/>
    <m/>
    <m/>
  </r>
  <r>
    <x v="53"/>
    <x v="11"/>
    <m/>
    <m/>
    <m/>
    <m/>
    <m/>
    <m/>
    <m/>
    <m/>
    <m/>
    <m/>
    <m/>
    <m/>
    <m/>
    <m/>
    <m/>
    <m/>
    <m/>
  </r>
  <r>
    <x v="53"/>
    <x v="12"/>
    <m/>
    <m/>
    <m/>
    <m/>
    <m/>
    <m/>
    <m/>
    <m/>
    <m/>
    <m/>
    <m/>
    <m/>
    <m/>
    <m/>
    <m/>
    <m/>
    <m/>
  </r>
  <r>
    <x v="53"/>
    <x v="13"/>
    <m/>
    <m/>
    <m/>
    <m/>
    <m/>
    <m/>
    <m/>
    <m/>
    <m/>
    <m/>
    <m/>
    <m/>
    <m/>
    <m/>
    <m/>
    <m/>
    <m/>
  </r>
  <r>
    <x v="53"/>
    <x v="14"/>
    <m/>
    <m/>
    <m/>
    <m/>
    <m/>
    <m/>
    <m/>
    <m/>
    <m/>
    <m/>
    <m/>
    <m/>
    <m/>
    <m/>
    <m/>
    <m/>
    <m/>
  </r>
  <r>
    <x v="53"/>
    <x v="15"/>
    <m/>
    <m/>
    <m/>
    <m/>
    <m/>
    <m/>
    <m/>
    <m/>
    <m/>
    <m/>
    <m/>
    <m/>
    <m/>
    <m/>
    <m/>
    <m/>
    <m/>
  </r>
  <r>
    <x v="53"/>
    <x v="16"/>
    <m/>
    <m/>
    <m/>
    <m/>
    <m/>
    <m/>
    <m/>
    <m/>
    <m/>
    <m/>
    <m/>
    <m/>
    <m/>
    <m/>
    <m/>
    <m/>
    <m/>
  </r>
  <r>
    <x v="53"/>
    <x v="17"/>
    <m/>
    <m/>
    <m/>
    <m/>
    <m/>
    <m/>
    <m/>
    <m/>
    <m/>
    <m/>
    <m/>
    <m/>
    <m/>
    <m/>
    <m/>
    <m/>
    <m/>
  </r>
  <r>
    <x v="53"/>
    <x v="18"/>
    <m/>
    <m/>
    <m/>
    <m/>
    <m/>
    <m/>
    <m/>
    <m/>
    <m/>
    <m/>
    <m/>
    <m/>
    <m/>
    <m/>
    <m/>
    <m/>
    <m/>
  </r>
  <r>
    <x v="53"/>
    <x v="19"/>
    <m/>
    <m/>
    <m/>
    <m/>
    <m/>
    <m/>
    <m/>
    <m/>
    <m/>
    <m/>
    <m/>
    <m/>
    <m/>
    <m/>
    <m/>
    <m/>
    <m/>
  </r>
  <r>
    <x v="53"/>
    <x v="20"/>
    <m/>
    <m/>
    <m/>
    <m/>
    <m/>
    <m/>
    <m/>
    <m/>
    <m/>
    <m/>
    <m/>
    <m/>
    <m/>
    <m/>
    <m/>
    <m/>
    <m/>
  </r>
  <r>
    <x v="53"/>
    <x v="21"/>
    <m/>
    <m/>
    <m/>
    <m/>
    <m/>
    <m/>
    <m/>
    <m/>
    <m/>
    <m/>
    <m/>
    <m/>
    <m/>
    <m/>
    <m/>
    <m/>
    <m/>
  </r>
  <r>
    <x v="53"/>
    <x v="22"/>
    <m/>
    <m/>
    <m/>
    <m/>
    <m/>
    <m/>
    <m/>
    <m/>
    <m/>
    <m/>
    <m/>
    <m/>
    <m/>
    <m/>
    <m/>
    <m/>
    <m/>
  </r>
  <r>
    <x v="53"/>
    <x v="23"/>
    <m/>
    <m/>
    <m/>
    <m/>
    <m/>
    <m/>
    <m/>
    <m/>
    <m/>
    <m/>
    <m/>
    <m/>
    <m/>
    <m/>
    <m/>
    <m/>
    <m/>
  </r>
  <r>
    <x v="53"/>
    <x v="24"/>
    <m/>
    <m/>
    <m/>
    <m/>
    <m/>
    <m/>
    <m/>
    <m/>
    <m/>
    <m/>
    <m/>
    <m/>
    <m/>
    <m/>
    <m/>
    <m/>
    <m/>
  </r>
  <r>
    <x v="53"/>
    <x v="25"/>
    <m/>
    <m/>
    <m/>
    <m/>
    <m/>
    <m/>
    <m/>
    <m/>
    <m/>
    <m/>
    <m/>
    <m/>
    <m/>
    <m/>
    <m/>
    <m/>
    <m/>
  </r>
  <r>
    <x v="53"/>
    <x v="26"/>
    <m/>
    <m/>
    <m/>
    <m/>
    <m/>
    <m/>
    <m/>
    <m/>
    <m/>
    <m/>
    <m/>
    <m/>
    <m/>
    <m/>
    <m/>
    <m/>
    <m/>
  </r>
  <r>
    <x v="53"/>
    <x v="27"/>
    <m/>
    <m/>
    <m/>
    <m/>
    <m/>
    <m/>
    <m/>
    <m/>
    <m/>
    <m/>
    <m/>
    <m/>
    <m/>
    <m/>
    <m/>
    <m/>
    <m/>
  </r>
  <r>
    <x v="53"/>
    <x v="28"/>
    <m/>
    <m/>
    <m/>
    <m/>
    <m/>
    <m/>
    <m/>
    <m/>
    <m/>
    <m/>
    <m/>
    <m/>
    <m/>
    <m/>
    <m/>
    <m/>
    <m/>
  </r>
  <r>
    <x v="53"/>
    <x v="29"/>
    <m/>
    <m/>
    <m/>
    <m/>
    <m/>
    <m/>
    <m/>
    <m/>
    <m/>
    <m/>
    <m/>
    <m/>
    <m/>
    <m/>
    <m/>
    <m/>
    <m/>
  </r>
  <r>
    <x v="53"/>
    <x v="30"/>
    <m/>
    <m/>
    <m/>
    <m/>
    <m/>
    <m/>
    <m/>
    <m/>
    <m/>
    <m/>
    <m/>
    <m/>
    <m/>
    <m/>
    <m/>
    <m/>
    <m/>
  </r>
  <r>
    <x v="53"/>
    <x v="31"/>
    <m/>
    <m/>
    <m/>
    <m/>
    <m/>
    <m/>
    <m/>
    <m/>
    <m/>
    <m/>
    <m/>
    <m/>
    <m/>
    <m/>
    <m/>
    <m/>
    <m/>
  </r>
  <r>
    <x v="53"/>
    <x v="32"/>
    <m/>
    <m/>
    <m/>
    <m/>
    <m/>
    <m/>
    <m/>
    <m/>
    <m/>
    <m/>
    <m/>
    <m/>
    <m/>
    <m/>
    <m/>
    <m/>
    <m/>
  </r>
  <r>
    <x v="53"/>
    <x v="33"/>
    <m/>
    <m/>
    <m/>
    <m/>
    <m/>
    <m/>
    <m/>
    <m/>
    <m/>
    <m/>
    <m/>
    <m/>
    <m/>
    <m/>
    <m/>
    <m/>
    <m/>
  </r>
  <r>
    <x v="53"/>
    <x v="34"/>
    <m/>
    <m/>
    <m/>
    <m/>
    <m/>
    <m/>
    <m/>
    <m/>
    <m/>
    <m/>
    <m/>
    <m/>
    <m/>
    <m/>
    <m/>
    <m/>
    <m/>
  </r>
  <r>
    <x v="53"/>
    <x v="35"/>
    <m/>
    <m/>
    <m/>
    <m/>
    <m/>
    <m/>
    <m/>
    <m/>
    <m/>
    <m/>
    <m/>
    <m/>
    <m/>
    <m/>
    <m/>
    <m/>
    <m/>
  </r>
  <r>
    <x v="53"/>
    <x v="36"/>
    <m/>
    <m/>
    <m/>
    <m/>
    <m/>
    <m/>
    <m/>
    <m/>
    <m/>
    <m/>
    <m/>
    <m/>
    <m/>
    <m/>
    <m/>
    <m/>
    <m/>
  </r>
  <r>
    <x v="53"/>
    <x v="37"/>
    <m/>
    <m/>
    <m/>
    <m/>
    <m/>
    <m/>
    <m/>
    <m/>
    <m/>
    <m/>
    <m/>
    <m/>
    <m/>
    <m/>
    <m/>
    <m/>
    <m/>
  </r>
  <r>
    <x v="53"/>
    <x v="38"/>
    <m/>
    <m/>
    <m/>
    <m/>
    <m/>
    <m/>
    <m/>
    <m/>
    <m/>
    <m/>
    <m/>
    <m/>
    <m/>
    <m/>
    <m/>
    <m/>
    <m/>
  </r>
  <r>
    <x v="53"/>
    <x v="39"/>
    <m/>
    <m/>
    <m/>
    <m/>
    <m/>
    <m/>
    <m/>
    <m/>
    <m/>
    <m/>
    <m/>
    <m/>
    <m/>
    <m/>
    <m/>
    <m/>
    <m/>
  </r>
  <r>
    <x v="53"/>
    <x v="40"/>
    <m/>
    <m/>
    <m/>
    <m/>
    <m/>
    <m/>
    <m/>
    <m/>
    <m/>
    <m/>
    <m/>
    <m/>
    <m/>
    <m/>
    <m/>
    <m/>
    <m/>
  </r>
  <r>
    <x v="53"/>
    <x v="41"/>
    <m/>
    <m/>
    <m/>
    <m/>
    <m/>
    <m/>
    <m/>
    <m/>
    <m/>
    <m/>
    <m/>
    <m/>
    <m/>
    <m/>
    <m/>
    <m/>
    <m/>
  </r>
  <r>
    <x v="53"/>
    <x v="42"/>
    <m/>
    <m/>
    <m/>
    <m/>
    <m/>
    <m/>
    <m/>
    <m/>
    <m/>
    <m/>
    <m/>
    <m/>
    <m/>
    <m/>
    <m/>
    <m/>
    <m/>
  </r>
  <r>
    <x v="53"/>
    <x v="43"/>
    <m/>
    <m/>
    <m/>
    <m/>
    <m/>
    <m/>
    <m/>
    <m/>
    <m/>
    <m/>
    <m/>
    <m/>
    <m/>
    <m/>
    <m/>
    <m/>
    <m/>
  </r>
  <r>
    <x v="53"/>
    <x v="44"/>
    <m/>
    <m/>
    <m/>
    <m/>
    <m/>
    <m/>
    <m/>
    <m/>
    <m/>
    <m/>
    <m/>
    <m/>
    <m/>
    <m/>
    <m/>
    <m/>
    <m/>
  </r>
  <r>
    <x v="53"/>
    <x v="45"/>
    <m/>
    <m/>
    <m/>
    <m/>
    <m/>
    <m/>
    <m/>
    <m/>
    <m/>
    <m/>
    <m/>
    <m/>
    <m/>
    <m/>
    <m/>
    <m/>
    <m/>
  </r>
  <r>
    <x v="53"/>
    <x v="46"/>
    <m/>
    <m/>
    <m/>
    <m/>
    <m/>
    <m/>
    <m/>
    <m/>
    <m/>
    <m/>
    <m/>
    <m/>
    <m/>
    <m/>
    <m/>
    <m/>
    <m/>
  </r>
  <r>
    <x v="53"/>
    <x v="47"/>
    <m/>
    <m/>
    <m/>
    <m/>
    <m/>
    <m/>
    <m/>
    <m/>
    <m/>
    <m/>
    <m/>
    <m/>
    <m/>
    <m/>
    <m/>
    <m/>
    <m/>
  </r>
  <r>
    <x v="53"/>
    <x v="48"/>
    <m/>
    <m/>
    <m/>
    <m/>
    <m/>
    <m/>
    <m/>
    <m/>
    <m/>
    <m/>
    <m/>
    <m/>
    <m/>
    <m/>
    <m/>
    <m/>
    <m/>
  </r>
  <r>
    <x v="53"/>
    <x v="49"/>
    <m/>
    <m/>
    <m/>
    <m/>
    <m/>
    <m/>
    <m/>
    <m/>
    <m/>
    <m/>
    <m/>
    <m/>
    <m/>
    <m/>
    <m/>
    <m/>
    <m/>
  </r>
  <r>
    <x v="53"/>
    <x v="50"/>
    <m/>
    <m/>
    <m/>
    <m/>
    <m/>
    <m/>
    <m/>
    <m/>
    <m/>
    <m/>
    <m/>
    <m/>
    <m/>
    <m/>
    <m/>
    <m/>
    <m/>
  </r>
  <r>
    <x v="53"/>
    <x v="51"/>
    <m/>
    <m/>
    <m/>
    <m/>
    <m/>
    <m/>
    <m/>
    <m/>
    <m/>
    <m/>
    <m/>
    <m/>
    <m/>
    <m/>
    <m/>
    <m/>
    <m/>
  </r>
  <r>
    <x v="54"/>
    <x v="0"/>
    <m/>
    <m/>
    <m/>
    <m/>
    <m/>
    <m/>
    <n v="2"/>
    <m/>
    <m/>
    <m/>
    <m/>
    <m/>
    <m/>
    <m/>
    <m/>
    <n v="2"/>
    <m/>
  </r>
  <r>
    <x v="54"/>
    <x v="1"/>
    <m/>
    <m/>
    <m/>
    <m/>
    <m/>
    <m/>
    <n v="1"/>
    <m/>
    <m/>
    <m/>
    <m/>
    <m/>
    <m/>
    <m/>
    <m/>
    <n v="1"/>
    <m/>
  </r>
  <r>
    <x v="54"/>
    <x v="2"/>
    <m/>
    <m/>
    <m/>
    <m/>
    <m/>
    <m/>
    <n v="1"/>
    <m/>
    <m/>
    <m/>
    <n v="1"/>
    <m/>
    <m/>
    <m/>
    <m/>
    <n v="3"/>
    <m/>
  </r>
  <r>
    <x v="54"/>
    <x v="3"/>
    <m/>
    <m/>
    <m/>
    <m/>
    <m/>
    <m/>
    <m/>
    <m/>
    <m/>
    <m/>
    <m/>
    <m/>
    <m/>
    <m/>
    <m/>
    <n v="1"/>
    <m/>
  </r>
  <r>
    <x v="54"/>
    <x v="4"/>
    <m/>
    <m/>
    <m/>
    <m/>
    <m/>
    <m/>
    <n v="1"/>
    <m/>
    <m/>
    <m/>
    <m/>
    <m/>
    <n v="1"/>
    <m/>
    <n v="1"/>
    <n v="3"/>
    <m/>
  </r>
  <r>
    <x v="54"/>
    <x v="5"/>
    <m/>
    <m/>
    <m/>
    <m/>
    <m/>
    <m/>
    <m/>
    <m/>
    <m/>
    <m/>
    <m/>
    <m/>
    <m/>
    <m/>
    <m/>
    <m/>
    <m/>
  </r>
  <r>
    <x v="54"/>
    <x v="6"/>
    <m/>
    <m/>
    <m/>
    <m/>
    <m/>
    <m/>
    <m/>
    <m/>
    <m/>
    <m/>
    <m/>
    <m/>
    <m/>
    <m/>
    <m/>
    <m/>
    <m/>
  </r>
  <r>
    <x v="54"/>
    <x v="7"/>
    <m/>
    <m/>
    <m/>
    <m/>
    <m/>
    <m/>
    <n v="1"/>
    <m/>
    <m/>
    <m/>
    <m/>
    <m/>
    <m/>
    <m/>
    <m/>
    <n v="1"/>
    <m/>
  </r>
  <r>
    <x v="54"/>
    <x v="8"/>
    <m/>
    <m/>
    <m/>
    <m/>
    <m/>
    <m/>
    <n v="2"/>
    <m/>
    <m/>
    <m/>
    <m/>
    <m/>
    <m/>
    <m/>
    <m/>
    <n v="1"/>
    <m/>
  </r>
  <r>
    <x v="54"/>
    <x v="9"/>
    <m/>
    <m/>
    <m/>
    <m/>
    <m/>
    <m/>
    <n v="1"/>
    <m/>
    <m/>
    <m/>
    <m/>
    <m/>
    <m/>
    <m/>
    <m/>
    <n v="2"/>
    <m/>
  </r>
  <r>
    <x v="54"/>
    <x v="10"/>
    <m/>
    <m/>
    <m/>
    <m/>
    <m/>
    <m/>
    <n v="1"/>
    <m/>
    <m/>
    <m/>
    <m/>
    <m/>
    <m/>
    <m/>
    <m/>
    <n v="1"/>
    <m/>
  </r>
  <r>
    <x v="54"/>
    <x v="11"/>
    <m/>
    <m/>
    <m/>
    <m/>
    <m/>
    <m/>
    <m/>
    <m/>
    <m/>
    <m/>
    <m/>
    <m/>
    <m/>
    <m/>
    <m/>
    <m/>
    <m/>
  </r>
  <r>
    <x v="54"/>
    <x v="12"/>
    <m/>
    <m/>
    <m/>
    <m/>
    <m/>
    <m/>
    <m/>
    <m/>
    <m/>
    <m/>
    <m/>
    <m/>
    <m/>
    <m/>
    <m/>
    <n v="1"/>
    <m/>
  </r>
  <r>
    <x v="54"/>
    <x v="13"/>
    <m/>
    <m/>
    <m/>
    <m/>
    <m/>
    <m/>
    <n v="2"/>
    <m/>
    <m/>
    <m/>
    <m/>
    <m/>
    <m/>
    <n v="1"/>
    <m/>
    <n v="1"/>
    <m/>
  </r>
  <r>
    <x v="54"/>
    <x v="14"/>
    <m/>
    <m/>
    <m/>
    <m/>
    <m/>
    <m/>
    <n v="2"/>
    <m/>
    <m/>
    <m/>
    <m/>
    <m/>
    <m/>
    <m/>
    <m/>
    <n v="3"/>
    <m/>
  </r>
  <r>
    <x v="54"/>
    <x v="15"/>
    <m/>
    <m/>
    <m/>
    <m/>
    <m/>
    <m/>
    <n v="1"/>
    <m/>
    <m/>
    <m/>
    <m/>
    <m/>
    <m/>
    <m/>
    <m/>
    <n v="3"/>
    <m/>
  </r>
  <r>
    <x v="54"/>
    <x v="16"/>
    <m/>
    <m/>
    <m/>
    <m/>
    <m/>
    <m/>
    <m/>
    <m/>
    <m/>
    <m/>
    <m/>
    <m/>
    <m/>
    <m/>
    <m/>
    <n v="1"/>
    <m/>
  </r>
  <r>
    <x v="54"/>
    <x v="17"/>
    <m/>
    <m/>
    <m/>
    <m/>
    <m/>
    <m/>
    <m/>
    <m/>
    <m/>
    <m/>
    <m/>
    <m/>
    <m/>
    <m/>
    <m/>
    <n v="1"/>
    <m/>
  </r>
  <r>
    <x v="54"/>
    <x v="18"/>
    <m/>
    <m/>
    <m/>
    <m/>
    <m/>
    <m/>
    <n v="1"/>
    <m/>
    <m/>
    <m/>
    <m/>
    <m/>
    <m/>
    <m/>
    <m/>
    <n v="1"/>
    <m/>
  </r>
  <r>
    <x v="54"/>
    <x v="19"/>
    <m/>
    <m/>
    <m/>
    <m/>
    <m/>
    <m/>
    <m/>
    <m/>
    <m/>
    <m/>
    <m/>
    <m/>
    <m/>
    <m/>
    <m/>
    <m/>
    <m/>
  </r>
  <r>
    <x v="54"/>
    <x v="20"/>
    <m/>
    <m/>
    <m/>
    <m/>
    <m/>
    <m/>
    <n v="4"/>
    <m/>
    <m/>
    <m/>
    <m/>
    <m/>
    <m/>
    <m/>
    <n v="2"/>
    <n v="3"/>
    <m/>
  </r>
  <r>
    <x v="54"/>
    <x v="21"/>
    <m/>
    <m/>
    <m/>
    <m/>
    <m/>
    <m/>
    <m/>
    <m/>
    <m/>
    <m/>
    <m/>
    <m/>
    <m/>
    <m/>
    <m/>
    <n v="3"/>
    <m/>
  </r>
  <r>
    <x v="54"/>
    <x v="22"/>
    <m/>
    <m/>
    <m/>
    <m/>
    <m/>
    <m/>
    <m/>
    <m/>
    <m/>
    <m/>
    <m/>
    <m/>
    <m/>
    <m/>
    <m/>
    <m/>
    <m/>
  </r>
  <r>
    <x v="54"/>
    <x v="23"/>
    <m/>
    <m/>
    <m/>
    <m/>
    <m/>
    <m/>
    <m/>
    <m/>
    <m/>
    <m/>
    <m/>
    <m/>
    <m/>
    <m/>
    <m/>
    <n v="1"/>
    <m/>
  </r>
  <r>
    <x v="54"/>
    <x v="24"/>
    <m/>
    <m/>
    <m/>
    <m/>
    <m/>
    <m/>
    <m/>
    <m/>
    <m/>
    <m/>
    <m/>
    <m/>
    <m/>
    <m/>
    <m/>
    <m/>
    <m/>
  </r>
  <r>
    <x v="54"/>
    <x v="25"/>
    <m/>
    <m/>
    <m/>
    <m/>
    <m/>
    <m/>
    <m/>
    <m/>
    <m/>
    <m/>
    <m/>
    <m/>
    <m/>
    <m/>
    <m/>
    <n v="1"/>
    <m/>
  </r>
  <r>
    <x v="54"/>
    <x v="26"/>
    <m/>
    <m/>
    <m/>
    <m/>
    <m/>
    <m/>
    <n v="2"/>
    <m/>
    <m/>
    <m/>
    <m/>
    <m/>
    <m/>
    <m/>
    <m/>
    <n v="2"/>
    <m/>
  </r>
  <r>
    <x v="54"/>
    <x v="27"/>
    <m/>
    <m/>
    <m/>
    <m/>
    <m/>
    <m/>
    <m/>
    <m/>
    <m/>
    <m/>
    <m/>
    <m/>
    <m/>
    <m/>
    <m/>
    <m/>
    <m/>
  </r>
  <r>
    <x v="54"/>
    <x v="28"/>
    <m/>
    <m/>
    <m/>
    <m/>
    <m/>
    <m/>
    <n v="1"/>
    <m/>
    <m/>
    <m/>
    <m/>
    <m/>
    <m/>
    <m/>
    <m/>
    <n v="3"/>
    <m/>
  </r>
  <r>
    <x v="54"/>
    <x v="29"/>
    <m/>
    <m/>
    <m/>
    <m/>
    <m/>
    <m/>
    <n v="2"/>
    <m/>
    <m/>
    <m/>
    <m/>
    <m/>
    <m/>
    <m/>
    <m/>
    <n v="2"/>
    <m/>
  </r>
  <r>
    <x v="54"/>
    <x v="30"/>
    <m/>
    <m/>
    <m/>
    <m/>
    <m/>
    <m/>
    <n v="2"/>
    <m/>
    <m/>
    <m/>
    <m/>
    <m/>
    <m/>
    <m/>
    <m/>
    <n v="2"/>
    <m/>
  </r>
  <r>
    <x v="54"/>
    <x v="31"/>
    <m/>
    <m/>
    <m/>
    <m/>
    <m/>
    <m/>
    <n v="7"/>
    <m/>
    <n v="2"/>
    <m/>
    <n v="2"/>
    <n v="2"/>
    <n v="1"/>
    <n v="1"/>
    <n v="7"/>
    <n v="8"/>
    <m/>
  </r>
  <r>
    <x v="54"/>
    <x v="32"/>
    <m/>
    <m/>
    <m/>
    <m/>
    <m/>
    <m/>
    <m/>
    <m/>
    <m/>
    <m/>
    <m/>
    <m/>
    <m/>
    <m/>
    <m/>
    <m/>
    <m/>
  </r>
  <r>
    <x v="54"/>
    <x v="33"/>
    <m/>
    <m/>
    <m/>
    <m/>
    <m/>
    <m/>
    <m/>
    <m/>
    <m/>
    <m/>
    <m/>
    <m/>
    <m/>
    <m/>
    <m/>
    <m/>
    <m/>
  </r>
  <r>
    <x v="54"/>
    <x v="34"/>
    <m/>
    <m/>
    <m/>
    <m/>
    <m/>
    <m/>
    <n v="1"/>
    <m/>
    <m/>
    <m/>
    <m/>
    <m/>
    <m/>
    <m/>
    <m/>
    <n v="2"/>
    <m/>
  </r>
  <r>
    <x v="54"/>
    <x v="35"/>
    <m/>
    <m/>
    <m/>
    <m/>
    <m/>
    <m/>
    <n v="2"/>
    <m/>
    <m/>
    <m/>
    <m/>
    <m/>
    <m/>
    <n v="1"/>
    <m/>
    <n v="3"/>
    <m/>
  </r>
  <r>
    <x v="54"/>
    <x v="36"/>
    <m/>
    <m/>
    <m/>
    <m/>
    <m/>
    <m/>
    <n v="1"/>
    <m/>
    <m/>
    <m/>
    <m/>
    <m/>
    <m/>
    <m/>
    <m/>
    <n v="3"/>
    <m/>
  </r>
  <r>
    <x v="54"/>
    <x v="37"/>
    <m/>
    <m/>
    <m/>
    <m/>
    <m/>
    <m/>
    <m/>
    <m/>
    <m/>
    <m/>
    <m/>
    <m/>
    <m/>
    <m/>
    <m/>
    <m/>
    <m/>
  </r>
  <r>
    <x v="54"/>
    <x v="38"/>
    <m/>
    <m/>
    <m/>
    <m/>
    <m/>
    <m/>
    <m/>
    <m/>
    <m/>
    <m/>
    <m/>
    <m/>
    <m/>
    <m/>
    <m/>
    <n v="1"/>
    <m/>
  </r>
  <r>
    <x v="54"/>
    <x v="39"/>
    <m/>
    <m/>
    <m/>
    <m/>
    <m/>
    <m/>
    <n v="1"/>
    <m/>
    <m/>
    <m/>
    <m/>
    <m/>
    <m/>
    <m/>
    <m/>
    <n v="1"/>
    <m/>
  </r>
  <r>
    <x v="54"/>
    <x v="40"/>
    <m/>
    <m/>
    <m/>
    <m/>
    <m/>
    <m/>
    <n v="1"/>
    <m/>
    <m/>
    <m/>
    <m/>
    <m/>
    <m/>
    <n v="1"/>
    <m/>
    <n v="2"/>
    <m/>
  </r>
  <r>
    <x v="54"/>
    <x v="41"/>
    <m/>
    <m/>
    <m/>
    <m/>
    <m/>
    <m/>
    <m/>
    <m/>
    <m/>
    <m/>
    <m/>
    <m/>
    <m/>
    <m/>
    <m/>
    <m/>
    <m/>
  </r>
  <r>
    <x v="54"/>
    <x v="42"/>
    <m/>
    <m/>
    <m/>
    <m/>
    <m/>
    <m/>
    <n v="4"/>
    <m/>
    <m/>
    <m/>
    <m/>
    <m/>
    <n v="1"/>
    <m/>
    <m/>
    <n v="5"/>
    <m/>
  </r>
  <r>
    <x v="54"/>
    <x v="43"/>
    <m/>
    <m/>
    <m/>
    <m/>
    <m/>
    <m/>
    <m/>
    <m/>
    <m/>
    <m/>
    <m/>
    <m/>
    <m/>
    <m/>
    <m/>
    <n v="1"/>
    <m/>
  </r>
  <r>
    <x v="54"/>
    <x v="44"/>
    <m/>
    <m/>
    <m/>
    <m/>
    <m/>
    <m/>
    <m/>
    <m/>
    <m/>
    <m/>
    <m/>
    <m/>
    <m/>
    <n v="1"/>
    <m/>
    <m/>
    <m/>
  </r>
  <r>
    <x v="54"/>
    <x v="45"/>
    <m/>
    <m/>
    <m/>
    <m/>
    <m/>
    <m/>
    <m/>
    <m/>
    <m/>
    <m/>
    <m/>
    <m/>
    <m/>
    <m/>
    <n v="2"/>
    <n v="1"/>
    <m/>
  </r>
  <r>
    <x v="54"/>
    <x v="46"/>
    <m/>
    <m/>
    <m/>
    <m/>
    <m/>
    <m/>
    <m/>
    <m/>
    <m/>
    <m/>
    <m/>
    <m/>
    <m/>
    <m/>
    <m/>
    <m/>
    <m/>
  </r>
  <r>
    <x v="54"/>
    <x v="47"/>
    <m/>
    <m/>
    <m/>
    <m/>
    <m/>
    <m/>
    <n v="2"/>
    <m/>
    <m/>
    <m/>
    <m/>
    <m/>
    <m/>
    <m/>
    <m/>
    <n v="1"/>
    <m/>
  </r>
  <r>
    <x v="54"/>
    <x v="48"/>
    <m/>
    <m/>
    <m/>
    <m/>
    <m/>
    <m/>
    <n v="2"/>
    <m/>
    <m/>
    <m/>
    <m/>
    <m/>
    <m/>
    <n v="1"/>
    <m/>
    <n v="4"/>
    <m/>
  </r>
  <r>
    <x v="54"/>
    <x v="49"/>
    <m/>
    <m/>
    <m/>
    <m/>
    <m/>
    <m/>
    <n v="1"/>
    <m/>
    <m/>
    <m/>
    <m/>
    <m/>
    <m/>
    <m/>
    <m/>
    <n v="3"/>
    <m/>
  </r>
  <r>
    <x v="54"/>
    <x v="50"/>
    <m/>
    <m/>
    <m/>
    <m/>
    <m/>
    <m/>
    <n v="1"/>
    <m/>
    <m/>
    <m/>
    <m/>
    <m/>
    <m/>
    <m/>
    <n v="1"/>
    <n v="2"/>
    <m/>
  </r>
  <r>
    <x v="54"/>
    <x v="51"/>
    <n v="2"/>
    <m/>
    <m/>
    <m/>
    <m/>
    <m/>
    <n v="2"/>
    <m/>
    <m/>
    <m/>
    <m/>
    <m/>
    <m/>
    <m/>
    <n v="2"/>
    <n v="3"/>
    <m/>
  </r>
  <r>
    <x v="55"/>
    <x v="0"/>
    <m/>
    <m/>
    <m/>
    <m/>
    <m/>
    <m/>
    <m/>
    <m/>
    <m/>
    <m/>
    <m/>
    <m/>
    <m/>
    <m/>
    <m/>
    <m/>
    <m/>
  </r>
  <r>
    <x v="55"/>
    <x v="1"/>
    <m/>
    <m/>
    <m/>
    <m/>
    <m/>
    <m/>
    <m/>
    <m/>
    <m/>
    <m/>
    <m/>
    <m/>
    <m/>
    <m/>
    <m/>
    <m/>
    <m/>
  </r>
  <r>
    <x v="55"/>
    <x v="2"/>
    <m/>
    <m/>
    <m/>
    <m/>
    <m/>
    <m/>
    <m/>
    <m/>
    <m/>
    <m/>
    <m/>
    <m/>
    <m/>
    <m/>
    <m/>
    <m/>
    <m/>
  </r>
  <r>
    <x v="55"/>
    <x v="3"/>
    <m/>
    <m/>
    <m/>
    <m/>
    <m/>
    <m/>
    <m/>
    <m/>
    <m/>
    <m/>
    <m/>
    <m/>
    <m/>
    <m/>
    <m/>
    <m/>
    <m/>
  </r>
  <r>
    <x v="55"/>
    <x v="4"/>
    <m/>
    <m/>
    <m/>
    <m/>
    <m/>
    <m/>
    <m/>
    <m/>
    <m/>
    <m/>
    <m/>
    <m/>
    <m/>
    <m/>
    <m/>
    <m/>
    <m/>
  </r>
  <r>
    <x v="55"/>
    <x v="5"/>
    <m/>
    <m/>
    <m/>
    <m/>
    <m/>
    <m/>
    <m/>
    <m/>
    <m/>
    <m/>
    <m/>
    <m/>
    <m/>
    <m/>
    <m/>
    <m/>
    <m/>
  </r>
  <r>
    <x v="55"/>
    <x v="6"/>
    <m/>
    <m/>
    <m/>
    <m/>
    <m/>
    <m/>
    <m/>
    <m/>
    <m/>
    <m/>
    <m/>
    <m/>
    <m/>
    <m/>
    <m/>
    <m/>
    <m/>
  </r>
  <r>
    <x v="55"/>
    <x v="7"/>
    <m/>
    <m/>
    <m/>
    <m/>
    <m/>
    <m/>
    <m/>
    <m/>
    <m/>
    <m/>
    <m/>
    <m/>
    <m/>
    <m/>
    <m/>
    <m/>
    <m/>
  </r>
  <r>
    <x v="55"/>
    <x v="8"/>
    <m/>
    <m/>
    <m/>
    <m/>
    <m/>
    <m/>
    <m/>
    <m/>
    <m/>
    <m/>
    <m/>
    <m/>
    <m/>
    <m/>
    <m/>
    <m/>
    <m/>
  </r>
  <r>
    <x v="55"/>
    <x v="9"/>
    <m/>
    <m/>
    <m/>
    <m/>
    <m/>
    <m/>
    <m/>
    <m/>
    <m/>
    <m/>
    <m/>
    <m/>
    <m/>
    <m/>
    <m/>
    <m/>
    <m/>
  </r>
  <r>
    <x v="55"/>
    <x v="10"/>
    <m/>
    <m/>
    <m/>
    <m/>
    <m/>
    <m/>
    <m/>
    <m/>
    <m/>
    <m/>
    <m/>
    <m/>
    <m/>
    <m/>
    <m/>
    <m/>
    <m/>
  </r>
  <r>
    <x v="55"/>
    <x v="11"/>
    <m/>
    <m/>
    <m/>
    <m/>
    <m/>
    <m/>
    <m/>
    <m/>
    <m/>
    <m/>
    <m/>
    <m/>
    <m/>
    <m/>
    <m/>
    <m/>
    <m/>
  </r>
  <r>
    <x v="55"/>
    <x v="12"/>
    <m/>
    <m/>
    <m/>
    <m/>
    <m/>
    <m/>
    <m/>
    <m/>
    <m/>
    <m/>
    <m/>
    <m/>
    <m/>
    <m/>
    <m/>
    <m/>
    <m/>
  </r>
  <r>
    <x v="55"/>
    <x v="13"/>
    <m/>
    <m/>
    <m/>
    <m/>
    <m/>
    <m/>
    <m/>
    <m/>
    <m/>
    <m/>
    <m/>
    <m/>
    <m/>
    <m/>
    <m/>
    <m/>
    <m/>
  </r>
  <r>
    <x v="55"/>
    <x v="14"/>
    <m/>
    <m/>
    <m/>
    <m/>
    <m/>
    <m/>
    <m/>
    <m/>
    <m/>
    <m/>
    <m/>
    <m/>
    <m/>
    <m/>
    <m/>
    <m/>
    <m/>
  </r>
  <r>
    <x v="55"/>
    <x v="15"/>
    <m/>
    <m/>
    <m/>
    <m/>
    <m/>
    <m/>
    <m/>
    <m/>
    <m/>
    <m/>
    <m/>
    <m/>
    <m/>
    <m/>
    <m/>
    <m/>
    <m/>
  </r>
  <r>
    <x v="55"/>
    <x v="16"/>
    <m/>
    <m/>
    <m/>
    <m/>
    <m/>
    <m/>
    <m/>
    <m/>
    <m/>
    <m/>
    <m/>
    <m/>
    <m/>
    <m/>
    <m/>
    <m/>
    <m/>
  </r>
  <r>
    <x v="55"/>
    <x v="17"/>
    <m/>
    <m/>
    <m/>
    <m/>
    <m/>
    <m/>
    <m/>
    <m/>
    <m/>
    <m/>
    <m/>
    <m/>
    <m/>
    <m/>
    <m/>
    <m/>
    <m/>
  </r>
  <r>
    <x v="55"/>
    <x v="18"/>
    <m/>
    <m/>
    <m/>
    <m/>
    <m/>
    <m/>
    <m/>
    <m/>
    <m/>
    <m/>
    <m/>
    <m/>
    <m/>
    <m/>
    <m/>
    <m/>
    <m/>
  </r>
  <r>
    <x v="55"/>
    <x v="19"/>
    <m/>
    <m/>
    <m/>
    <m/>
    <m/>
    <m/>
    <m/>
    <m/>
    <m/>
    <m/>
    <m/>
    <m/>
    <m/>
    <m/>
    <m/>
    <m/>
    <m/>
  </r>
  <r>
    <x v="55"/>
    <x v="20"/>
    <m/>
    <m/>
    <m/>
    <m/>
    <m/>
    <m/>
    <m/>
    <m/>
    <m/>
    <m/>
    <m/>
    <m/>
    <m/>
    <m/>
    <m/>
    <m/>
    <m/>
  </r>
  <r>
    <x v="55"/>
    <x v="21"/>
    <m/>
    <m/>
    <m/>
    <m/>
    <m/>
    <m/>
    <m/>
    <m/>
    <m/>
    <m/>
    <m/>
    <m/>
    <m/>
    <m/>
    <m/>
    <m/>
    <m/>
  </r>
  <r>
    <x v="55"/>
    <x v="22"/>
    <m/>
    <m/>
    <m/>
    <m/>
    <m/>
    <m/>
    <m/>
    <m/>
    <m/>
    <m/>
    <m/>
    <m/>
    <m/>
    <m/>
    <m/>
    <m/>
    <m/>
  </r>
  <r>
    <x v="55"/>
    <x v="23"/>
    <m/>
    <m/>
    <m/>
    <m/>
    <m/>
    <m/>
    <m/>
    <m/>
    <m/>
    <m/>
    <m/>
    <m/>
    <m/>
    <m/>
    <m/>
    <m/>
    <m/>
  </r>
  <r>
    <x v="55"/>
    <x v="24"/>
    <m/>
    <m/>
    <m/>
    <m/>
    <m/>
    <m/>
    <m/>
    <m/>
    <m/>
    <m/>
    <m/>
    <m/>
    <m/>
    <m/>
    <m/>
    <m/>
    <m/>
  </r>
  <r>
    <x v="55"/>
    <x v="25"/>
    <m/>
    <m/>
    <m/>
    <m/>
    <m/>
    <m/>
    <m/>
    <m/>
    <m/>
    <m/>
    <m/>
    <m/>
    <m/>
    <m/>
    <m/>
    <m/>
    <m/>
  </r>
  <r>
    <x v="55"/>
    <x v="26"/>
    <m/>
    <m/>
    <m/>
    <m/>
    <m/>
    <m/>
    <m/>
    <m/>
    <m/>
    <m/>
    <m/>
    <m/>
    <m/>
    <m/>
    <m/>
    <m/>
    <m/>
  </r>
  <r>
    <x v="55"/>
    <x v="27"/>
    <m/>
    <m/>
    <m/>
    <m/>
    <m/>
    <m/>
    <m/>
    <m/>
    <m/>
    <m/>
    <m/>
    <m/>
    <m/>
    <m/>
    <m/>
    <m/>
    <m/>
  </r>
  <r>
    <x v="55"/>
    <x v="28"/>
    <m/>
    <m/>
    <m/>
    <m/>
    <m/>
    <m/>
    <m/>
    <m/>
    <m/>
    <m/>
    <m/>
    <m/>
    <m/>
    <m/>
    <m/>
    <m/>
    <m/>
  </r>
  <r>
    <x v="55"/>
    <x v="29"/>
    <m/>
    <m/>
    <m/>
    <m/>
    <m/>
    <m/>
    <m/>
    <m/>
    <m/>
    <m/>
    <m/>
    <m/>
    <m/>
    <m/>
    <m/>
    <m/>
    <m/>
  </r>
  <r>
    <x v="55"/>
    <x v="30"/>
    <m/>
    <m/>
    <m/>
    <m/>
    <m/>
    <m/>
    <m/>
    <m/>
    <m/>
    <m/>
    <m/>
    <m/>
    <m/>
    <m/>
    <m/>
    <m/>
    <m/>
  </r>
  <r>
    <x v="55"/>
    <x v="31"/>
    <m/>
    <m/>
    <m/>
    <m/>
    <m/>
    <m/>
    <m/>
    <m/>
    <m/>
    <m/>
    <m/>
    <m/>
    <m/>
    <m/>
    <m/>
    <m/>
    <m/>
  </r>
  <r>
    <x v="55"/>
    <x v="32"/>
    <m/>
    <m/>
    <m/>
    <m/>
    <m/>
    <m/>
    <m/>
    <m/>
    <m/>
    <m/>
    <m/>
    <m/>
    <m/>
    <m/>
    <m/>
    <m/>
    <m/>
  </r>
  <r>
    <x v="55"/>
    <x v="33"/>
    <m/>
    <m/>
    <m/>
    <m/>
    <m/>
    <m/>
    <m/>
    <m/>
    <m/>
    <m/>
    <m/>
    <m/>
    <m/>
    <m/>
    <m/>
    <m/>
    <m/>
  </r>
  <r>
    <x v="55"/>
    <x v="34"/>
    <m/>
    <m/>
    <m/>
    <m/>
    <m/>
    <m/>
    <m/>
    <m/>
    <m/>
    <m/>
    <m/>
    <m/>
    <m/>
    <m/>
    <m/>
    <m/>
    <m/>
  </r>
  <r>
    <x v="55"/>
    <x v="35"/>
    <m/>
    <m/>
    <m/>
    <m/>
    <m/>
    <m/>
    <m/>
    <m/>
    <m/>
    <m/>
    <m/>
    <m/>
    <m/>
    <m/>
    <m/>
    <m/>
    <m/>
  </r>
  <r>
    <x v="55"/>
    <x v="36"/>
    <m/>
    <m/>
    <m/>
    <m/>
    <m/>
    <m/>
    <m/>
    <m/>
    <m/>
    <m/>
    <m/>
    <m/>
    <m/>
    <m/>
    <m/>
    <m/>
    <m/>
  </r>
  <r>
    <x v="55"/>
    <x v="37"/>
    <m/>
    <m/>
    <m/>
    <m/>
    <m/>
    <m/>
    <m/>
    <m/>
    <m/>
    <m/>
    <m/>
    <m/>
    <m/>
    <m/>
    <m/>
    <m/>
    <m/>
  </r>
  <r>
    <x v="55"/>
    <x v="38"/>
    <m/>
    <m/>
    <m/>
    <m/>
    <m/>
    <m/>
    <m/>
    <m/>
    <m/>
    <m/>
    <m/>
    <m/>
    <m/>
    <m/>
    <m/>
    <m/>
    <m/>
  </r>
  <r>
    <x v="55"/>
    <x v="39"/>
    <m/>
    <m/>
    <m/>
    <m/>
    <m/>
    <m/>
    <m/>
    <m/>
    <m/>
    <m/>
    <m/>
    <m/>
    <m/>
    <m/>
    <m/>
    <m/>
    <m/>
  </r>
  <r>
    <x v="55"/>
    <x v="40"/>
    <m/>
    <m/>
    <m/>
    <m/>
    <m/>
    <m/>
    <m/>
    <m/>
    <m/>
    <m/>
    <m/>
    <m/>
    <m/>
    <m/>
    <m/>
    <m/>
    <m/>
  </r>
  <r>
    <x v="55"/>
    <x v="41"/>
    <m/>
    <m/>
    <m/>
    <m/>
    <m/>
    <m/>
    <m/>
    <m/>
    <m/>
    <m/>
    <m/>
    <m/>
    <m/>
    <m/>
    <m/>
    <m/>
    <m/>
  </r>
  <r>
    <x v="55"/>
    <x v="42"/>
    <m/>
    <m/>
    <m/>
    <m/>
    <m/>
    <m/>
    <m/>
    <m/>
    <m/>
    <m/>
    <m/>
    <m/>
    <m/>
    <m/>
    <m/>
    <m/>
    <m/>
  </r>
  <r>
    <x v="55"/>
    <x v="43"/>
    <m/>
    <m/>
    <m/>
    <m/>
    <m/>
    <m/>
    <m/>
    <m/>
    <m/>
    <m/>
    <m/>
    <m/>
    <m/>
    <m/>
    <m/>
    <m/>
    <m/>
  </r>
  <r>
    <x v="55"/>
    <x v="44"/>
    <m/>
    <m/>
    <m/>
    <m/>
    <m/>
    <m/>
    <m/>
    <m/>
    <m/>
    <m/>
    <m/>
    <m/>
    <m/>
    <m/>
    <m/>
    <m/>
    <m/>
  </r>
  <r>
    <x v="55"/>
    <x v="45"/>
    <m/>
    <m/>
    <m/>
    <m/>
    <m/>
    <m/>
    <m/>
    <m/>
    <m/>
    <m/>
    <m/>
    <m/>
    <m/>
    <m/>
    <m/>
    <m/>
    <m/>
  </r>
  <r>
    <x v="55"/>
    <x v="46"/>
    <m/>
    <m/>
    <m/>
    <m/>
    <m/>
    <m/>
    <m/>
    <m/>
    <m/>
    <m/>
    <m/>
    <m/>
    <m/>
    <m/>
    <m/>
    <m/>
    <m/>
  </r>
  <r>
    <x v="55"/>
    <x v="47"/>
    <m/>
    <m/>
    <m/>
    <m/>
    <m/>
    <m/>
    <m/>
    <m/>
    <m/>
    <m/>
    <m/>
    <n v="3"/>
    <n v="2"/>
    <n v="3"/>
    <n v="2"/>
    <n v="13"/>
    <m/>
  </r>
  <r>
    <x v="55"/>
    <x v="48"/>
    <m/>
    <m/>
    <m/>
    <m/>
    <m/>
    <m/>
    <m/>
    <m/>
    <m/>
    <m/>
    <m/>
    <m/>
    <m/>
    <m/>
    <m/>
    <m/>
    <m/>
  </r>
  <r>
    <x v="55"/>
    <x v="49"/>
    <m/>
    <m/>
    <m/>
    <m/>
    <m/>
    <m/>
    <m/>
    <m/>
    <m/>
    <m/>
    <m/>
    <m/>
    <m/>
    <m/>
    <m/>
    <m/>
    <m/>
  </r>
  <r>
    <x v="55"/>
    <x v="50"/>
    <m/>
    <m/>
    <m/>
    <m/>
    <m/>
    <m/>
    <m/>
    <m/>
    <m/>
    <m/>
    <m/>
    <m/>
    <m/>
    <m/>
    <m/>
    <m/>
    <m/>
  </r>
  <r>
    <x v="55"/>
    <x v="51"/>
    <m/>
    <m/>
    <m/>
    <m/>
    <m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15">
  <r>
    <x v="0"/>
    <x v="0"/>
    <n v="0"/>
    <n v="1"/>
    <n v="2"/>
    <n v="0"/>
    <n v="0"/>
    <n v="0"/>
    <m/>
  </r>
  <r>
    <x v="0"/>
    <x v="1"/>
    <n v="1"/>
    <n v="1"/>
    <n v="14"/>
    <n v="5"/>
    <n v="3"/>
    <n v="2"/>
    <m/>
  </r>
  <r>
    <x v="0"/>
    <x v="2"/>
    <n v="0"/>
    <n v="1"/>
    <n v="31"/>
    <n v="2"/>
    <n v="10"/>
    <n v="9"/>
    <m/>
  </r>
  <r>
    <x v="0"/>
    <x v="3"/>
    <n v="5"/>
    <n v="24"/>
    <n v="8"/>
    <n v="1"/>
    <n v="12"/>
    <n v="3"/>
    <m/>
  </r>
  <r>
    <x v="0"/>
    <x v="4"/>
    <n v="5"/>
    <n v="28"/>
    <n v="65"/>
    <n v="6"/>
    <n v="22"/>
    <n v="11"/>
    <m/>
  </r>
  <r>
    <x v="0"/>
    <x v="5"/>
    <n v="0"/>
    <n v="6"/>
    <n v="26"/>
    <n v="4"/>
    <n v="5"/>
    <n v="11"/>
    <m/>
  </r>
  <r>
    <x v="0"/>
    <x v="6"/>
    <n v="1"/>
    <n v="6"/>
    <n v="35"/>
    <n v="0"/>
    <n v="22"/>
    <n v="13"/>
    <m/>
  </r>
  <r>
    <x v="0"/>
    <x v="7"/>
    <n v="0"/>
    <n v="1"/>
    <n v="20"/>
    <n v="2"/>
    <n v="6"/>
    <n v="4"/>
    <m/>
  </r>
  <r>
    <x v="0"/>
    <x v="8"/>
    <n v="6"/>
    <n v="6"/>
    <n v="33"/>
    <n v="4"/>
    <n v="6"/>
    <n v="8"/>
    <m/>
  </r>
  <r>
    <x v="0"/>
    <x v="9"/>
    <n v="2"/>
    <n v="5"/>
    <n v="63"/>
    <n v="10"/>
    <n v="21"/>
    <n v="10"/>
    <m/>
  </r>
  <r>
    <x v="0"/>
    <x v="10"/>
    <n v="0"/>
    <n v="4"/>
    <n v="11"/>
    <n v="4"/>
    <n v="18"/>
    <n v="3"/>
    <m/>
  </r>
  <r>
    <x v="0"/>
    <x v="11"/>
    <n v="0"/>
    <n v="0"/>
    <n v="7"/>
    <n v="1"/>
    <n v="4"/>
    <n v="6"/>
    <m/>
  </r>
  <r>
    <x v="0"/>
    <x v="12"/>
    <n v="0"/>
    <n v="0"/>
    <n v="0"/>
    <n v="2"/>
    <n v="0"/>
    <n v="0"/>
    <m/>
  </r>
  <r>
    <x v="1"/>
    <x v="0"/>
    <m/>
    <m/>
    <m/>
    <m/>
    <m/>
    <m/>
    <m/>
  </r>
  <r>
    <x v="1"/>
    <x v="1"/>
    <m/>
    <m/>
    <m/>
    <m/>
    <m/>
    <m/>
    <m/>
  </r>
  <r>
    <x v="1"/>
    <x v="2"/>
    <m/>
    <m/>
    <m/>
    <m/>
    <m/>
    <m/>
    <m/>
  </r>
  <r>
    <x v="1"/>
    <x v="3"/>
    <m/>
    <m/>
    <m/>
    <m/>
    <m/>
    <m/>
    <m/>
  </r>
  <r>
    <x v="1"/>
    <x v="4"/>
    <m/>
    <m/>
    <m/>
    <m/>
    <m/>
    <m/>
    <m/>
  </r>
  <r>
    <x v="1"/>
    <x v="5"/>
    <m/>
    <m/>
    <m/>
    <m/>
    <m/>
    <m/>
    <m/>
  </r>
  <r>
    <x v="1"/>
    <x v="6"/>
    <m/>
    <m/>
    <m/>
    <m/>
    <m/>
    <m/>
    <m/>
  </r>
  <r>
    <x v="1"/>
    <x v="7"/>
    <m/>
    <m/>
    <m/>
    <m/>
    <m/>
    <m/>
    <m/>
  </r>
  <r>
    <x v="1"/>
    <x v="8"/>
    <m/>
    <m/>
    <m/>
    <m/>
    <m/>
    <m/>
    <m/>
  </r>
  <r>
    <x v="1"/>
    <x v="9"/>
    <m/>
    <m/>
    <m/>
    <m/>
    <m/>
    <m/>
    <m/>
  </r>
  <r>
    <x v="1"/>
    <x v="10"/>
    <m/>
    <m/>
    <m/>
    <m/>
    <m/>
    <m/>
    <m/>
  </r>
  <r>
    <x v="1"/>
    <x v="11"/>
    <m/>
    <m/>
    <m/>
    <m/>
    <n v="2"/>
    <m/>
    <m/>
  </r>
  <r>
    <x v="1"/>
    <x v="12"/>
    <m/>
    <m/>
    <m/>
    <m/>
    <m/>
    <m/>
    <m/>
  </r>
  <r>
    <x v="2"/>
    <x v="0"/>
    <m/>
    <m/>
    <n v="0"/>
    <m/>
    <m/>
    <n v="2"/>
    <m/>
  </r>
  <r>
    <x v="2"/>
    <x v="1"/>
    <m/>
    <m/>
    <n v="4"/>
    <m/>
    <m/>
    <n v="7"/>
    <m/>
  </r>
  <r>
    <x v="2"/>
    <x v="2"/>
    <m/>
    <m/>
    <n v="4"/>
    <m/>
    <m/>
    <n v="7"/>
    <m/>
  </r>
  <r>
    <x v="2"/>
    <x v="3"/>
    <m/>
    <m/>
    <n v="0"/>
    <m/>
    <m/>
    <n v="7"/>
    <m/>
  </r>
  <r>
    <x v="2"/>
    <x v="4"/>
    <m/>
    <m/>
    <n v="4"/>
    <m/>
    <m/>
    <n v="7"/>
    <m/>
  </r>
  <r>
    <x v="2"/>
    <x v="5"/>
    <m/>
    <m/>
    <n v="4"/>
    <m/>
    <m/>
    <n v="7"/>
    <m/>
  </r>
  <r>
    <x v="2"/>
    <x v="6"/>
    <m/>
    <m/>
    <n v="5"/>
    <m/>
    <m/>
    <n v="7"/>
    <m/>
  </r>
  <r>
    <x v="2"/>
    <x v="7"/>
    <m/>
    <m/>
    <n v="4"/>
    <m/>
    <m/>
    <n v="7"/>
    <m/>
  </r>
  <r>
    <x v="2"/>
    <x v="8"/>
    <m/>
    <m/>
    <n v="4"/>
    <m/>
    <m/>
    <n v="7"/>
    <m/>
  </r>
  <r>
    <x v="2"/>
    <x v="9"/>
    <m/>
    <m/>
    <n v="4"/>
    <m/>
    <m/>
    <n v="7"/>
    <m/>
  </r>
  <r>
    <x v="2"/>
    <x v="10"/>
    <m/>
    <m/>
    <n v="1"/>
    <m/>
    <m/>
    <n v="7"/>
    <m/>
  </r>
  <r>
    <x v="2"/>
    <x v="11"/>
    <m/>
    <m/>
    <n v="0"/>
    <m/>
    <m/>
    <n v="0"/>
    <m/>
  </r>
  <r>
    <x v="2"/>
    <x v="12"/>
    <m/>
    <m/>
    <n v="0"/>
    <m/>
    <m/>
    <n v="0"/>
    <m/>
  </r>
  <r>
    <x v="3"/>
    <x v="0"/>
    <m/>
    <m/>
    <m/>
    <m/>
    <m/>
    <m/>
    <m/>
  </r>
  <r>
    <x v="3"/>
    <x v="1"/>
    <m/>
    <m/>
    <n v="1"/>
    <m/>
    <m/>
    <m/>
    <m/>
  </r>
  <r>
    <x v="3"/>
    <x v="2"/>
    <m/>
    <m/>
    <m/>
    <m/>
    <m/>
    <m/>
    <m/>
  </r>
  <r>
    <x v="3"/>
    <x v="3"/>
    <m/>
    <m/>
    <m/>
    <m/>
    <m/>
    <m/>
    <m/>
  </r>
  <r>
    <x v="3"/>
    <x v="4"/>
    <m/>
    <m/>
    <n v="1"/>
    <m/>
    <m/>
    <m/>
    <m/>
  </r>
  <r>
    <x v="3"/>
    <x v="5"/>
    <m/>
    <m/>
    <n v="1"/>
    <m/>
    <m/>
    <m/>
    <m/>
  </r>
  <r>
    <x v="3"/>
    <x v="6"/>
    <m/>
    <m/>
    <n v="1"/>
    <m/>
    <m/>
    <m/>
    <m/>
  </r>
  <r>
    <x v="3"/>
    <x v="7"/>
    <m/>
    <m/>
    <m/>
    <m/>
    <m/>
    <m/>
    <m/>
  </r>
  <r>
    <x v="3"/>
    <x v="8"/>
    <m/>
    <m/>
    <n v="1"/>
    <m/>
    <m/>
    <m/>
    <m/>
  </r>
  <r>
    <x v="3"/>
    <x v="9"/>
    <m/>
    <m/>
    <n v="1"/>
    <m/>
    <m/>
    <m/>
    <m/>
  </r>
  <r>
    <x v="3"/>
    <x v="10"/>
    <m/>
    <m/>
    <n v="1"/>
    <m/>
    <m/>
    <m/>
    <m/>
  </r>
  <r>
    <x v="3"/>
    <x v="11"/>
    <m/>
    <m/>
    <m/>
    <m/>
    <m/>
    <m/>
    <m/>
  </r>
  <r>
    <x v="3"/>
    <x v="12"/>
    <m/>
    <m/>
    <m/>
    <m/>
    <m/>
    <m/>
    <m/>
  </r>
  <r>
    <x v="4"/>
    <x v="0"/>
    <m/>
    <m/>
    <n v="1"/>
    <m/>
    <m/>
    <m/>
    <m/>
  </r>
  <r>
    <x v="4"/>
    <x v="1"/>
    <m/>
    <m/>
    <m/>
    <m/>
    <m/>
    <m/>
    <m/>
  </r>
  <r>
    <x v="4"/>
    <x v="2"/>
    <m/>
    <m/>
    <n v="1"/>
    <m/>
    <m/>
    <m/>
    <m/>
  </r>
  <r>
    <x v="4"/>
    <x v="3"/>
    <m/>
    <m/>
    <m/>
    <m/>
    <m/>
    <m/>
    <m/>
  </r>
  <r>
    <x v="4"/>
    <x v="4"/>
    <m/>
    <m/>
    <n v="1"/>
    <m/>
    <m/>
    <m/>
    <m/>
  </r>
  <r>
    <x v="4"/>
    <x v="5"/>
    <m/>
    <m/>
    <n v="1"/>
    <m/>
    <m/>
    <m/>
    <m/>
  </r>
  <r>
    <x v="4"/>
    <x v="6"/>
    <m/>
    <m/>
    <n v="1"/>
    <m/>
    <m/>
    <m/>
    <m/>
  </r>
  <r>
    <x v="4"/>
    <x v="7"/>
    <m/>
    <m/>
    <n v="1"/>
    <m/>
    <m/>
    <m/>
    <m/>
  </r>
  <r>
    <x v="4"/>
    <x v="8"/>
    <m/>
    <m/>
    <n v="1"/>
    <m/>
    <m/>
    <m/>
    <m/>
  </r>
  <r>
    <x v="4"/>
    <x v="9"/>
    <m/>
    <m/>
    <n v="1"/>
    <m/>
    <m/>
    <m/>
    <m/>
  </r>
  <r>
    <x v="4"/>
    <x v="10"/>
    <m/>
    <m/>
    <m/>
    <m/>
    <m/>
    <m/>
    <m/>
  </r>
  <r>
    <x v="4"/>
    <x v="11"/>
    <m/>
    <m/>
    <m/>
    <m/>
    <m/>
    <m/>
    <m/>
  </r>
  <r>
    <x v="4"/>
    <x v="12"/>
    <m/>
    <m/>
    <m/>
    <m/>
    <m/>
    <m/>
    <m/>
  </r>
  <r>
    <x v="5"/>
    <x v="0"/>
    <m/>
    <m/>
    <m/>
    <m/>
    <m/>
    <m/>
    <m/>
  </r>
  <r>
    <x v="5"/>
    <x v="1"/>
    <m/>
    <m/>
    <n v="1"/>
    <m/>
    <m/>
    <m/>
    <m/>
  </r>
  <r>
    <x v="5"/>
    <x v="2"/>
    <m/>
    <m/>
    <m/>
    <m/>
    <m/>
    <m/>
    <m/>
  </r>
  <r>
    <x v="5"/>
    <x v="3"/>
    <m/>
    <m/>
    <m/>
    <m/>
    <m/>
    <m/>
    <m/>
  </r>
  <r>
    <x v="5"/>
    <x v="4"/>
    <m/>
    <m/>
    <m/>
    <m/>
    <m/>
    <m/>
    <m/>
  </r>
  <r>
    <x v="5"/>
    <x v="5"/>
    <m/>
    <m/>
    <n v="1"/>
    <m/>
    <m/>
    <m/>
    <m/>
  </r>
  <r>
    <x v="5"/>
    <x v="6"/>
    <m/>
    <m/>
    <m/>
    <m/>
    <m/>
    <m/>
    <m/>
  </r>
  <r>
    <x v="5"/>
    <x v="7"/>
    <m/>
    <m/>
    <m/>
    <m/>
    <m/>
    <m/>
    <m/>
  </r>
  <r>
    <x v="5"/>
    <x v="8"/>
    <m/>
    <m/>
    <n v="1"/>
    <m/>
    <m/>
    <m/>
    <m/>
  </r>
  <r>
    <x v="5"/>
    <x v="9"/>
    <m/>
    <m/>
    <n v="1"/>
    <m/>
    <m/>
    <m/>
    <m/>
  </r>
  <r>
    <x v="5"/>
    <x v="10"/>
    <m/>
    <m/>
    <m/>
    <m/>
    <m/>
    <m/>
    <m/>
  </r>
  <r>
    <x v="5"/>
    <x v="11"/>
    <m/>
    <m/>
    <m/>
    <m/>
    <m/>
    <m/>
    <m/>
  </r>
  <r>
    <x v="5"/>
    <x v="12"/>
    <m/>
    <m/>
    <m/>
    <m/>
    <m/>
    <m/>
    <m/>
  </r>
  <r>
    <x v="6"/>
    <x v="0"/>
    <m/>
    <m/>
    <m/>
    <m/>
    <m/>
    <m/>
    <m/>
  </r>
  <r>
    <x v="6"/>
    <x v="1"/>
    <m/>
    <m/>
    <n v="3"/>
    <m/>
    <m/>
    <m/>
    <m/>
  </r>
  <r>
    <x v="6"/>
    <x v="2"/>
    <m/>
    <m/>
    <n v="3"/>
    <m/>
    <m/>
    <m/>
    <m/>
  </r>
  <r>
    <x v="6"/>
    <x v="3"/>
    <m/>
    <m/>
    <n v="2"/>
    <m/>
    <m/>
    <m/>
    <m/>
  </r>
  <r>
    <x v="6"/>
    <x v="4"/>
    <m/>
    <m/>
    <n v="2"/>
    <m/>
    <m/>
    <m/>
    <m/>
  </r>
  <r>
    <x v="6"/>
    <x v="5"/>
    <m/>
    <m/>
    <n v="2"/>
    <m/>
    <m/>
    <m/>
    <m/>
  </r>
  <r>
    <x v="6"/>
    <x v="6"/>
    <m/>
    <m/>
    <n v="3"/>
    <m/>
    <m/>
    <m/>
    <m/>
  </r>
  <r>
    <x v="6"/>
    <x v="7"/>
    <m/>
    <m/>
    <n v="3"/>
    <m/>
    <m/>
    <m/>
    <m/>
  </r>
  <r>
    <x v="6"/>
    <x v="8"/>
    <m/>
    <m/>
    <n v="2"/>
    <m/>
    <m/>
    <m/>
    <m/>
  </r>
  <r>
    <x v="6"/>
    <x v="9"/>
    <m/>
    <m/>
    <n v="2"/>
    <m/>
    <m/>
    <m/>
    <m/>
  </r>
  <r>
    <x v="6"/>
    <x v="10"/>
    <m/>
    <m/>
    <n v="1"/>
    <m/>
    <m/>
    <m/>
    <m/>
  </r>
  <r>
    <x v="6"/>
    <x v="11"/>
    <m/>
    <m/>
    <m/>
    <m/>
    <m/>
    <m/>
    <m/>
  </r>
  <r>
    <x v="6"/>
    <x v="12"/>
    <m/>
    <m/>
    <m/>
    <m/>
    <m/>
    <m/>
    <m/>
  </r>
  <r>
    <x v="7"/>
    <x v="0"/>
    <m/>
    <m/>
    <n v="2"/>
    <m/>
    <m/>
    <m/>
    <m/>
  </r>
  <r>
    <x v="7"/>
    <x v="1"/>
    <n v="1"/>
    <m/>
    <n v="14"/>
    <n v="5"/>
    <m/>
    <m/>
    <m/>
  </r>
  <r>
    <x v="7"/>
    <x v="2"/>
    <m/>
    <n v="1"/>
    <n v="31"/>
    <n v="2"/>
    <m/>
    <n v="2"/>
    <m/>
  </r>
  <r>
    <x v="7"/>
    <x v="3"/>
    <n v="5"/>
    <n v="23"/>
    <n v="8"/>
    <n v="1"/>
    <m/>
    <m/>
    <m/>
  </r>
  <r>
    <x v="7"/>
    <x v="4"/>
    <n v="5"/>
    <n v="28"/>
    <n v="65"/>
    <n v="3"/>
    <m/>
    <m/>
    <m/>
  </r>
  <r>
    <x v="7"/>
    <x v="5"/>
    <m/>
    <n v="5"/>
    <n v="26"/>
    <m/>
    <m/>
    <m/>
    <m/>
  </r>
  <r>
    <x v="7"/>
    <x v="6"/>
    <n v="1"/>
    <n v="5"/>
    <n v="35"/>
    <m/>
    <m/>
    <n v="2"/>
    <m/>
  </r>
  <r>
    <x v="7"/>
    <x v="7"/>
    <m/>
    <n v="1"/>
    <n v="20"/>
    <n v="2"/>
    <m/>
    <n v="3"/>
    <m/>
  </r>
  <r>
    <x v="7"/>
    <x v="8"/>
    <n v="6"/>
    <n v="5"/>
    <n v="33"/>
    <n v="4"/>
    <m/>
    <m/>
    <m/>
  </r>
  <r>
    <x v="7"/>
    <x v="9"/>
    <n v="2"/>
    <n v="4"/>
    <n v="63"/>
    <n v="5"/>
    <m/>
    <n v="2"/>
    <m/>
  </r>
  <r>
    <x v="7"/>
    <x v="10"/>
    <m/>
    <n v="3"/>
    <n v="11"/>
    <n v="4"/>
    <m/>
    <n v="1"/>
    <m/>
  </r>
  <r>
    <x v="7"/>
    <x v="11"/>
    <m/>
    <m/>
    <n v="7"/>
    <n v="1"/>
    <m/>
    <n v="3"/>
    <m/>
  </r>
  <r>
    <x v="7"/>
    <x v="12"/>
    <m/>
    <m/>
    <m/>
    <n v="2"/>
    <m/>
    <m/>
    <m/>
  </r>
  <r>
    <x v="8"/>
    <x v="0"/>
    <m/>
    <m/>
    <m/>
    <m/>
    <m/>
    <m/>
    <m/>
  </r>
  <r>
    <x v="8"/>
    <x v="1"/>
    <m/>
    <n v="5"/>
    <n v="5"/>
    <n v="2"/>
    <n v="1"/>
    <n v="9"/>
    <m/>
  </r>
  <r>
    <x v="8"/>
    <x v="2"/>
    <m/>
    <n v="4"/>
    <n v="3"/>
    <n v="1"/>
    <n v="1"/>
    <n v="2"/>
    <m/>
  </r>
  <r>
    <x v="8"/>
    <x v="3"/>
    <m/>
    <n v="2"/>
    <m/>
    <m/>
    <m/>
    <m/>
    <m/>
  </r>
  <r>
    <x v="8"/>
    <x v="4"/>
    <m/>
    <n v="9"/>
    <n v="6"/>
    <n v="1"/>
    <n v="1"/>
    <n v="6"/>
    <m/>
  </r>
  <r>
    <x v="8"/>
    <x v="5"/>
    <m/>
    <n v="3"/>
    <n v="3"/>
    <m/>
    <m/>
    <m/>
    <m/>
  </r>
  <r>
    <x v="8"/>
    <x v="6"/>
    <m/>
    <n v="21"/>
    <n v="46"/>
    <n v="6"/>
    <n v="5"/>
    <n v="25"/>
    <m/>
  </r>
  <r>
    <x v="8"/>
    <x v="7"/>
    <m/>
    <n v="1"/>
    <n v="4"/>
    <m/>
    <m/>
    <m/>
    <m/>
  </r>
  <r>
    <x v="8"/>
    <x v="8"/>
    <m/>
    <n v="25"/>
    <n v="35"/>
    <n v="4"/>
    <n v="4"/>
    <n v="25"/>
    <m/>
  </r>
  <r>
    <x v="8"/>
    <x v="9"/>
    <m/>
    <n v="3"/>
    <n v="4"/>
    <n v="1"/>
    <n v="1"/>
    <n v="4"/>
    <m/>
  </r>
  <r>
    <x v="8"/>
    <x v="10"/>
    <m/>
    <n v="9"/>
    <n v="7"/>
    <m/>
    <m/>
    <n v="5"/>
    <m/>
  </r>
  <r>
    <x v="8"/>
    <x v="11"/>
    <m/>
    <n v="2"/>
    <m/>
    <m/>
    <m/>
    <m/>
    <m/>
  </r>
  <r>
    <x v="8"/>
    <x v="12"/>
    <m/>
    <m/>
    <m/>
    <m/>
    <m/>
    <m/>
    <m/>
  </r>
  <r>
    <x v="9"/>
    <x v="0"/>
    <m/>
    <m/>
    <m/>
    <m/>
    <m/>
    <m/>
    <m/>
  </r>
  <r>
    <x v="9"/>
    <x v="1"/>
    <m/>
    <m/>
    <m/>
    <m/>
    <m/>
    <m/>
    <m/>
  </r>
  <r>
    <x v="9"/>
    <x v="2"/>
    <m/>
    <m/>
    <m/>
    <m/>
    <m/>
    <m/>
    <m/>
  </r>
  <r>
    <x v="9"/>
    <x v="3"/>
    <m/>
    <m/>
    <m/>
    <m/>
    <m/>
    <m/>
    <m/>
  </r>
  <r>
    <x v="9"/>
    <x v="4"/>
    <m/>
    <m/>
    <m/>
    <m/>
    <m/>
    <m/>
    <m/>
  </r>
  <r>
    <x v="9"/>
    <x v="5"/>
    <m/>
    <m/>
    <m/>
    <m/>
    <m/>
    <m/>
    <m/>
  </r>
  <r>
    <x v="9"/>
    <x v="6"/>
    <m/>
    <m/>
    <m/>
    <m/>
    <m/>
    <m/>
    <m/>
  </r>
  <r>
    <x v="9"/>
    <x v="7"/>
    <m/>
    <m/>
    <m/>
    <m/>
    <m/>
    <m/>
    <m/>
  </r>
  <r>
    <x v="9"/>
    <x v="8"/>
    <m/>
    <m/>
    <m/>
    <m/>
    <m/>
    <m/>
    <m/>
  </r>
  <r>
    <x v="9"/>
    <x v="9"/>
    <m/>
    <m/>
    <m/>
    <m/>
    <m/>
    <m/>
    <m/>
  </r>
  <r>
    <x v="9"/>
    <x v="10"/>
    <m/>
    <m/>
    <m/>
    <m/>
    <m/>
    <m/>
    <m/>
  </r>
  <r>
    <x v="9"/>
    <x v="11"/>
    <m/>
    <m/>
    <m/>
    <m/>
    <m/>
    <m/>
    <m/>
  </r>
  <r>
    <x v="9"/>
    <x v="12"/>
    <m/>
    <m/>
    <m/>
    <m/>
    <m/>
    <m/>
    <m/>
  </r>
  <r>
    <x v="10"/>
    <x v="0"/>
    <m/>
    <m/>
    <m/>
    <m/>
    <m/>
    <m/>
    <m/>
  </r>
  <r>
    <x v="10"/>
    <x v="1"/>
    <m/>
    <m/>
    <m/>
    <m/>
    <n v="3"/>
    <n v="2"/>
    <m/>
  </r>
  <r>
    <x v="10"/>
    <x v="2"/>
    <m/>
    <m/>
    <m/>
    <m/>
    <n v="10"/>
    <n v="7"/>
    <m/>
  </r>
  <r>
    <x v="10"/>
    <x v="3"/>
    <m/>
    <m/>
    <m/>
    <m/>
    <n v="12"/>
    <n v="3"/>
    <m/>
  </r>
  <r>
    <x v="10"/>
    <x v="4"/>
    <m/>
    <m/>
    <m/>
    <n v="3"/>
    <n v="22"/>
    <n v="11"/>
    <m/>
  </r>
  <r>
    <x v="10"/>
    <x v="5"/>
    <m/>
    <m/>
    <m/>
    <n v="4"/>
    <n v="5"/>
    <n v="11"/>
    <m/>
  </r>
  <r>
    <x v="10"/>
    <x v="6"/>
    <m/>
    <m/>
    <m/>
    <m/>
    <n v="22"/>
    <n v="11"/>
    <m/>
  </r>
  <r>
    <x v="10"/>
    <x v="7"/>
    <m/>
    <m/>
    <m/>
    <m/>
    <n v="6"/>
    <n v="1"/>
    <m/>
  </r>
  <r>
    <x v="10"/>
    <x v="8"/>
    <m/>
    <m/>
    <m/>
    <m/>
    <n v="6"/>
    <n v="8"/>
    <m/>
  </r>
  <r>
    <x v="10"/>
    <x v="9"/>
    <m/>
    <m/>
    <m/>
    <n v="5"/>
    <n v="21"/>
    <n v="8"/>
    <m/>
  </r>
  <r>
    <x v="10"/>
    <x v="10"/>
    <m/>
    <m/>
    <m/>
    <m/>
    <n v="18"/>
    <n v="2"/>
    <m/>
  </r>
  <r>
    <x v="10"/>
    <x v="11"/>
    <m/>
    <m/>
    <m/>
    <m/>
    <n v="4"/>
    <n v="3"/>
    <m/>
  </r>
  <r>
    <x v="10"/>
    <x v="12"/>
    <m/>
    <m/>
    <m/>
    <m/>
    <m/>
    <m/>
    <m/>
  </r>
  <r>
    <x v="11"/>
    <x v="0"/>
    <m/>
    <m/>
    <m/>
    <m/>
    <m/>
    <m/>
    <m/>
  </r>
  <r>
    <x v="11"/>
    <x v="1"/>
    <m/>
    <m/>
    <m/>
    <m/>
    <m/>
    <m/>
    <m/>
  </r>
  <r>
    <x v="11"/>
    <x v="2"/>
    <m/>
    <m/>
    <m/>
    <m/>
    <m/>
    <m/>
    <m/>
  </r>
  <r>
    <x v="11"/>
    <x v="3"/>
    <m/>
    <m/>
    <m/>
    <m/>
    <m/>
    <m/>
    <m/>
  </r>
  <r>
    <x v="11"/>
    <x v="4"/>
    <m/>
    <m/>
    <m/>
    <m/>
    <m/>
    <m/>
    <m/>
  </r>
  <r>
    <x v="11"/>
    <x v="5"/>
    <m/>
    <m/>
    <m/>
    <m/>
    <m/>
    <m/>
    <m/>
  </r>
  <r>
    <x v="11"/>
    <x v="6"/>
    <m/>
    <m/>
    <m/>
    <m/>
    <m/>
    <m/>
    <m/>
  </r>
  <r>
    <x v="11"/>
    <x v="7"/>
    <m/>
    <m/>
    <n v="2"/>
    <m/>
    <m/>
    <m/>
    <m/>
  </r>
  <r>
    <x v="11"/>
    <x v="8"/>
    <m/>
    <m/>
    <m/>
    <m/>
    <m/>
    <m/>
    <m/>
  </r>
  <r>
    <x v="11"/>
    <x v="9"/>
    <m/>
    <m/>
    <n v="2"/>
    <m/>
    <m/>
    <m/>
    <m/>
  </r>
  <r>
    <x v="11"/>
    <x v="10"/>
    <m/>
    <m/>
    <m/>
    <m/>
    <m/>
    <m/>
    <m/>
  </r>
  <r>
    <x v="11"/>
    <x v="11"/>
    <m/>
    <m/>
    <m/>
    <m/>
    <m/>
    <m/>
    <m/>
  </r>
  <r>
    <x v="11"/>
    <x v="12"/>
    <m/>
    <m/>
    <m/>
    <m/>
    <m/>
    <m/>
    <m/>
  </r>
  <r>
    <x v="12"/>
    <x v="0"/>
    <m/>
    <m/>
    <m/>
    <m/>
    <m/>
    <m/>
    <m/>
  </r>
  <r>
    <x v="12"/>
    <x v="1"/>
    <m/>
    <m/>
    <n v="1"/>
    <m/>
    <m/>
    <m/>
    <m/>
  </r>
  <r>
    <x v="12"/>
    <x v="2"/>
    <m/>
    <m/>
    <n v="1"/>
    <m/>
    <m/>
    <m/>
    <m/>
  </r>
  <r>
    <x v="12"/>
    <x v="3"/>
    <m/>
    <m/>
    <n v="1"/>
    <m/>
    <m/>
    <m/>
    <m/>
  </r>
  <r>
    <x v="12"/>
    <x v="4"/>
    <m/>
    <m/>
    <n v="1"/>
    <m/>
    <m/>
    <m/>
    <m/>
  </r>
  <r>
    <x v="12"/>
    <x v="5"/>
    <m/>
    <m/>
    <m/>
    <m/>
    <m/>
    <m/>
    <m/>
  </r>
  <r>
    <x v="12"/>
    <x v="6"/>
    <m/>
    <m/>
    <n v="1"/>
    <m/>
    <m/>
    <m/>
    <m/>
  </r>
  <r>
    <x v="12"/>
    <x v="7"/>
    <m/>
    <m/>
    <m/>
    <m/>
    <m/>
    <m/>
    <m/>
  </r>
  <r>
    <x v="12"/>
    <x v="8"/>
    <m/>
    <m/>
    <n v="1"/>
    <m/>
    <m/>
    <m/>
    <m/>
  </r>
  <r>
    <x v="12"/>
    <x v="9"/>
    <m/>
    <m/>
    <n v="1"/>
    <m/>
    <m/>
    <m/>
    <m/>
  </r>
  <r>
    <x v="12"/>
    <x v="10"/>
    <m/>
    <m/>
    <n v="1"/>
    <m/>
    <m/>
    <m/>
    <m/>
  </r>
  <r>
    <x v="12"/>
    <x v="11"/>
    <m/>
    <m/>
    <m/>
    <m/>
    <m/>
    <m/>
    <m/>
  </r>
  <r>
    <x v="12"/>
    <x v="12"/>
    <m/>
    <m/>
    <m/>
    <m/>
    <m/>
    <m/>
    <m/>
  </r>
  <r>
    <x v="13"/>
    <x v="0"/>
    <m/>
    <m/>
    <m/>
    <m/>
    <m/>
    <m/>
    <m/>
  </r>
  <r>
    <x v="13"/>
    <x v="1"/>
    <m/>
    <m/>
    <m/>
    <m/>
    <m/>
    <m/>
    <m/>
  </r>
  <r>
    <x v="13"/>
    <x v="2"/>
    <m/>
    <m/>
    <m/>
    <m/>
    <m/>
    <m/>
    <m/>
  </r>
  <r>
    <x v="13"/>
    <x v="3"/>
    <m/>
    <m/>
    <m/>
    <m/>
    <m/>
    <m/>
    <m/>
  </r>
  <r>
    <x v="13"/>
    <x v="4"/>
    <m/>
    <m/>
    <m/>
    <m/>
    <m/>
    <m/>
    <m/>
  </r>
  <r>
    <x v="13"/>
    <x v="5"/>
    <m/>
    <m/>
    <m/>
    <m/>
    <m/>
    <m/>
    <m/>
  </r>
  <r>
    <x v="13"/>
    <x v="6"/>
    <m/>
    <m/>
    <m/>
    <m/>
    <m/>
    <m/>
    <m/>
  </r>
  <r>
    <x v="13"/>
    <x v="7"/>
    <m/>
    <m/>
    <m/>
    <m/>
    <m/>
    <m/>
    <m/>
  </r>
  <r>
    <x v="13"/>
    <x v="8"/>
    <m/>
    <m/>
    <m/>
    <m/>
    <m/>
    <m/>
    <m/>
  </r>
  <r>
    <x v="13"/>
    <x v="9"/>
    <m/>
    <m/>
    <m/>
    <m/>
    <m/>
    <m/>
    <m/>
  </r>
  <r>
    <x v="13"/>
    <x v="10"/>
    <m/>
    <m/>
    <m/>
    <m/>
    <m/>
    <m/>
    <m/>
  </r>
  <r>
    <x v="13"/>
    <x v="11"/>
    <m/>
    <m/>
    <m/>
    <m/>
    <m/>
    <m/>
    <m/>
  </r>
  <r>
    <x v="13"/>
    <x v="12"/>
    <m/>
    <m/>
    <m/>
    <m/>
    <m/>
    <m/>
    <m/>
  </r>
  <r>
    <x v="14"/>
    <x v="0"/>
    <m/>
    <m/>
    <m/>
    <m/>
    <m/>
    <m/>
    <m/>
  </r>
  <r>
    <x v="14"/>
    <x v="1"/>
    <m/>
    <m/>
    <m/>
    <m/>
    <m/>
    <m/>
    <m/>
  </r>
  <r>
    <x v="14"/>
    <x v="2"/>
    <m/>
    <m/>
    <m/>
    <m/>
    <m/>
    <m/>
    <m/>
  </r>
  <r>
    <x v="14"/>
    <x v="3"/>
    <m/>
    <m/>
    <m/>
    <m/>
    <m/>
    <m/>
    <m/>
  </r>
  <r>
    <x v="14"/>
    <x v="4"/>
    <m/>
    <m/>
    <n v="20"/>
    <m/>
    <m/>
    <m/>
    <m/>
  </r>
  <r>
    <x v="14"/>
    <x v="5"/>
    <m/>
    <m/>
    <n v="1"/>
    <m/>
    <m/>
    <m/>
    <m/>
  </r>
  <r>
    <x v="14"/>
    <x v="6"/>
    <m/>
    <m/>
    <m/>
    <m/>
    <m/>
    <m/>
    <m/>
  </r>
  <r>
    <x v="14"/>
    <x v="7"/>
    <m/>
    <m/>
    <m/>
    <m/>
    <m/>
    <m/>
    <m/>
  </r>
  <r>
    <x v="14"/>
    <x v="8"/>
    <m/>
    <m/>
    <m/>
    <m/>
    <m/>
    <m/>
    <m/>
  </r>
  <r>
    <x v="14"/>
    <x v="9"/>
    <m/>
    <m/>
    <n v="25"/>
    <m/>
    <m/>
    <m/>
    <m/>
  </r>
  <r>
    <x v="14"/>
    <x v="10"/>
    <m/>
    <m/>
    <m/>
    <m/>
    <m/>
    <m/>
    <m/>
  </r>
  <r>
    <x v="14"/>
    <x v="11"/>
    <m/>
    <m/>
    <n v="2"/>
    <m/>
    <m/>
    <m/>
    <m/>
  </r>
  <r>
    <x v="14"/>
    <x v="12"/>
    <m/>
    <m/>
    <m/>
    <m/>
    <m/>
    <m/>
    <m/>
  </r>
  <r>
    <x v="15"/>
    <x v="0"/>
    <m/>
    <m/>
    <m/>
    <m/>
    <m/>
    <m/>
    <m/>
  </r>
  <r>
    <x v="15"/>
    <x v="1"/>
    <m/>
    <m/>
    <n v="4"/>
    <m/>
    <m/>
    <m/>
    <m/>
  </r>
  <r>
    <x v="15"/>
    <x v="2"/>
    <m/>
    <m/>
    <n v="8"/>
    <m/>
    <m/>
    <m/>
    <m/>
  </r>
  <r>
    <x v="15"/>
    <x v="3"/>
    <m/>
    <m/>
    <n v="4"/>
    <m/>
    <m/>
    <m/>
    <m/>
  </r>
  <r>
    <x v="15"/>
    <x v="4"/>
    <m/>
    <m/>
    <n v="8"/>
    <m/>
    <m/>
    <m/>
    <m/>
  </r>
  <r>
    <x v="15"/>
    <x v="5"/>
    <m/>
    <m/>
    <n v="8"/>
    <m/>
    <m/>
    <m/>
    <m/>
  </r>
  <r>
    <x v="15"/>
    <x v="6"/>
    <m/>
    <m/>
    <n v="8"/>
    <m/>
    <m/>
    <m/>
    <m/>
  </r>
  <r>
    <x v="15"/>
    <x v="7"/>
    <m/>
    <m/>
    <n v="8"/>
    <m/>
    <m/>
    <m/>
    <m/>
  </r>
  <r>
    <x v="15"/>
    <x v="8"/>
    <m/>
    <m/>
    <n v="8"/>
    <m/>
    <m/>
    <m/>
    <m/>
  </r>
  <r>
    <x v="15"/>
    <x v="9"/>
    <m/>
    <m/>
    <n v="9"/>
    <m/>
    <m/>
    <m/>
    <m/>
  </r>
  <r>
    <x v="15"/>
    <x v="10"/>
    <m/>
    <m/>
    <n v="4"/>
    <m/>
    <m/>
    <m/>
    <m/>
  </r>
  <r>
    <x v="15"/>
    <x v="11"/>
    <m/>
    <m/>
    <n v="1"/>
    <m/>
    <m/>
    <m/>
    <m/>
  </r>
  <r>
    <x v="15"/>
    <x v="12"/>
    <m/>
    <m/>
    <m/>
    <m/>
    <m/>
    <m/>
    <m/>
  </r>
  <r>
    <x v="16"/>
    <x v="0"/>
    <m/>
    <m/>
    <m/>
    <m/>
    <m/>
    <m/>
    <m/>
  </r>
  <r>
    <x v="16"/>
    <x v="1"/>
    <m/>
    <n v="3"/>
    <m/>
    <m/>
    <m/>
    <m/>
    <m/>
  </r>
  <r>
    <x v="16"/>
    <x v="2"/>
    <m/>
    <n v="1"/>
    <m/>
    <m/>
    <m/>
    <m/>
    <m/>
  </r>
  <r>
    <x v="16"/>
    <x v="3"/>
    <m/>
    <n v="2"/>
    <n v="1"/>
    <m/>
    <m/>
    <m/>
    <m/>
  </r>
  <r>
    <x v="16"/>
    <x v="4"/>
    <m/>
    <n v="3"/>
    <m/>
    <m/>
    <m/>
    <m/>
    <m/>
  </r>
  <r>
    <x v="16"/>
    <x v="5"/>
    <m/>
    <n v="1"/>
    <m/>
    <m/>
    <m/>
    <m/>
    <m/>
  </r>
  <r>
    <x v="16"/>
    <x v="6"/>
    <m/>
    <n v="3"/>
    <n v="1"/>
    <m/>
    <m/>
    <m/>
    <m/>
  </r>
  <r>
    <x v="16"/>
    <x v="7"/>
    <m/>
    <n v="9"/>
    <m/>
    <m/>
    <m/>
    <m/>
    <m/>
  </r>
  <r>
    <x v="16"/>
    <x v="8"/>
    <m/>
    <m/>
    <m/>
    <m/>
    <m/>
    <m/>
    <m/>
  </r>
  <r>
    <x v="16"/>
    <x v="9"/>
    <m/>
    <n v="2"/>
    <m/>
    <m/>
    <m/>
    <m/>
    <m/>
  </r>
  <r>
    <x v="16"/>
    <x v="10"/>
    <m/>
    <m/>
    <m/>
    <m/>
    <m/>
    <m/>
    <m/>
  </r>
  <r>
    <x v="16"/>
    <x v="11"/>
    <m/>
    <m/>
    <m/>
    <m/>
    <m/>
    <m/>
    <m/>
  </r>
  <r>
    <x v="16"/>
    <x v="12"/>
    <m/>
    <m/>
    <m/>
    <m/>
    <m/>
    <m/>
    <m/>
  </r>
  <r>
    <x v="17"/>
    <x v="0"/>
    <m/>
    <m/>
    <m/>
    <m/>
    <m/>
    <m/>
    <m/>
  </r>
  <r>
    <x v="17"/>
    <x v="1"/>
    <m/>
    <m/>
    <m/>
    <m/>
    <m/>
    <m/>
    <m/>
  </r>
  <r>
    <x v="17"/>
    <x v="2"/>
    <m/>
    <m/>
    <m/>
    <m/>
    <m/>
    <m/>
    <m/>
  </r>
  <r>
    <x v="17"/>
    <x v="3"/>
    <m/>
    <m/>
    <n v="1"/>
    <m/>
    <m/>
    <m/>
    <m/>
  </r>
  <r>
    <x v="17"/>
    <x v="4"/>
    <m/>
    <m/>
    <n v="1"/>
    <m/>
    <m/>
    <m/>
    <m/>
  </r>
  <r>
    <x v="17"/>
    <x v="5"/>
    <m/>
    <m/>
    <m/>
    <m/>
    <m/>
    <m/>
    <m/>
  </r>
  <r>
    <x v="17"/>
    <x v="6"/>
    <m/>
    <m/>
    <n v="1"/>
    <m/>
    <m/>
    <m/>
    <m/>
  </r>
  <r>
    <x v="17"/>
    <x v="7"/>
    <m/>
    <m/>
    <m/>
    <m/>
    <m/>
    <m/>
    <m/>
  </r>
  <r>
    <x v="17"/>
    <x v="8"/>
    <m/>
    <m/>
    <n v="1"/>
    <m/>
    <m/>
    <m/>
    <m/>
  </r>
  <r>
    <x v="17"/>
    <x v="9"/>
    <m/>
    <m/>
    <m/>
    <m/>
    <m/>
    <m/>
    <m/>
  </r>
  <r>
    <x v="17"/>
    <x v="10"/>
    <m/>
    <m/>
    <m/>
    <m/>
    <m/>
    <m/>
    <m/>
  </r>
  <r>
    <x v="17"/>
    <x v="11"/>
    <m/>
    <m/>
    <m/>
    <m/>
    <m/>
    <m/>
    <m/>
  </r>
  <r>
    <x v="17"/>
    <x v="12"/>
    <m/>
    <m/>
    <m/>
    <m/>
    <m/>
    <m/>
    <m/>
  </r>
  <r>
    <x v="18"/>
    <x v="0"/>
    <m/>
    <m/>
    <n v="29"/>
    <m/>
    <n v="8"/>
    <m/>
    <m/>
  </r>
  <r>
    <x v="18"/>
    <x v="1"/>
    <m/>
    <n v="5"/>
    <n v="22"/>
    <m/>
    <n v="16"/>
    <n v="25"/>
    <m/>
  </r>
  <r>
    <x v="18"/>
    <x v="2"/>
    <m/>
    <n v="6"/>
    <n v="41"/>
    <n v="7"/>
    <n v="61"/>
    <n v="35"/>
    <m/>
  </r>
  <r>
    <x v="18"/>
    <x v="3"/>
    <m/>
    <n v="6"/>
    <n v="33"/>
    <m/>
    <n v="10"/>
    <n v="35"/>
    <m/>
  </r>
  <r>
    <x v="18"/>
    <x v="4"/>
    <m/>
    <n v="1"/>
    <n v="48"/>
    <m/>
    <n v="8"/>
    <n v="11"/>
    <m/>
  </r>
  <r>
    <x v="18"/>
    <x v="5"/>
    <m/>
    <n v="5"/>
    <n v="37"/>
    <n v="10"/>
    <n v="18"/>
    <n v="19"/>
    <m/>
  </r>
  <r>
    <x v="18"/>
    <x v="6"/>
    <m/>
    <n v="1"/>
    <n v="27"/>
    <m/>
    <n v="0"/>
    <n v="4"/>
    <m/>
  </r>
  <r>
    <x v="18"/>
    <x v="7"/>
    <m/>
    <n v="5"/>
    <n v="31"/>
    <n v="10"/>
    <n v="8"/>
    <n v="14"/>
    <m/>
  </r>
  <r>
    <x v="18"/>
    <x v="8"/>
    <n v="4"/>
    <n v="6"/>
    <n v="6"/>
    <m/>
    <n v="0"/>
    <n v="44"/>
    <m/>
  </r>
  <r>
    <x v="18"/>
    <x v="9"/>
    <m/>
    <n v="1"/>
    <n v="37"/>
    <n v="10"/>
    <n v="10"/>
    <n v="4"/>
    <m/>
  </r>
  <r>
    <x v="18"/>
    <x v="10"/>
    <m/>
    <n v="7"/>
    <n v="52"/>
    <m/>
    <n v="9"/>
    <n v="13"/>
    <m/>
  </r>
  <r>
    <x v="18"/>
    <x v="11"/>
    <m/>
    <m/>
    <m/>
    <m/>
    <n v="0"/>
    <n v="1"/>
    <m/>
  </r>
  <r>
    <x v="18"/>
    <x v="12"/>
    <m/>
    <m/>
    <m/>
    <m/>
    <n v="0"/>
    <m/>
    <m/>
  </r>
  <r>
    <x v="19"/>
    <x v="0"/>
    <m/>
    <m/>
    <n v="2"/>
    <m/>
    <m/>
    <n v="2"/>
    <m/>
  </r>
  <r>
    <x v="19"/>
    <x v="1"/>
    <m/>
    <m/>
    <n v="6"/>
    <m/>
    <m/>
    <n v="7"/>
    <m/>
  </r>
  <r>
    <x v="19"/>
    <x v="2"/>
    <m/>
    <m/>
    <n v="10"/>
    <m/>
    <m/>
    <n v="7"/>
    <m/>
  </r>
  <r>
    <x v="19"/>
    <x v="3"/>
    <m/>
    <m/>
    <n v="3"/>
    <m/>
    <m/>
    <n v="7"/>
    <m/>
  </r>
  <r>
    <x v="19"/>
    <x v="4"/>
    <m/>
    <m/>
    <n v="12"/>
    <m/>
    <m/>
    <n v="7"/>
    <m/>
  </r>
  <r>
    <x v="19"/>
    <x v="5"/>
    <m/>
    <m/>
    <n v="10"/>
    <m/>
    <m/>
    <n v="8"/>
    <m/>
  </r>
  <r>
    <x v="19"/>
    <x v="6"/>
    <m/>
    <m/>
    <n v="11"/>
    <m/>
    <m/>
    <n v="7"/>
    <m/>
  </r>
  <r>
    <x v="19"/>
    <x v="7"/>
    <m/>
    <m/>
    <n v="10"/>
    <m/>
    <m/>
    <n v="9"/>
    <m/>
  </r>
  <r>
    <x v="19"/>
    <x v="8"/>
    <m/>
    <m/>
    <n v="12"/>
    <m/>
    <m/>
    <n v="8"/>
    <m/>
  </r>
  <r>
    <x v="19"/>
    <x v="9"/>
    <m/>
    <m/>
    <n v="10"/>
    <m/>
    <m/>
    <n v="7"/>
    <m/>
  </r>
  <r>
    <x v="19"/>
    <x v="10"/>
    <m/>
    <m/>
    <n v="7"/>
    <m/>
    <m/>
    <n v="14"/>
    <m/>
  </r>
  <r>
    <x v="19"/>
    <x v="11"/>
    <m/>
    <m/>
    <n v="0"/>
    <m/>
    <m/>
    <n v="0"/>
    <m/>
  </r>
  <r>
    <x v="19"/>
    <x v="12"/>
    <m/>
    <m/>
    <n v="0"/>
    <m/>
    <m/>
    <n v="0"/>
    <m/>
  </r>
  <r>
    <x v="20"/>
    <x v="0"/>
    <m/>
    <m/>
    <m/>
    <m/>
    <m/>
    <m/>
    <m/>
  </r>
  <r>
    <x v="20"/>
    <x v="1"/>
    <m/>
    <m/>
    <m/>
    <m/>
    <m/>
    <m/>
    <m/>
  </r>
  <r>
    <x v="20"/>
    <x v="2"/>
    <n v="1"/>
    <m/>
    <m/>
    <m/>
    <m/>
    <m/>
    <m/>
  </r>
  <r>
    <x v="20"/>
    <x v="3"/>
    <m/>
    <m/>
    <m/>
    <m/>
    <m/>
    <m/>
    <m/>
  </r>
  <r>
    <x v="20"/>
    <x v="4"/>
    <m/>
    <m/>
    <m/>
    <m/>
    <m/>
    <m/>
    <m/>
  </r>
  <r>
    <x v="20"/>
    <x v="5"/>
    <m/>
    <m/>
    <m/>
    <m/>
    <m/>
    <m/>
    <m/>
  </r>
  <r>
    <x v="20"/>
    <x v="6"/>
    <m/>
    <m/>
    <m/>
    <m/>
    <m/>
    <m/>
    <m/>
  </r>
  <r>
    <x v="20"/>
    <x v="7"/>
    <m/>
    <m/>
    <m/>
    <m/>
    <m/>
    <m/>
    <m/>
  </r>
  <r>
    <x v="20"/>
    <x v="8"/>
    <m/>
    <m/>
    <m/>
    <m/>
    <m/>
    <m/>
    <m/>
  </r>
  <r>
    <x v="20"/>
    <x v="9"/>
    <m/>
    <m/>
    <m/>
    <m/>
    <m/>
    <m/>
    <m/>
  </r>
  <r>
    <x v="20"/>
    <x v="10"/>
    <m/>
    <m/>
    <m/>
    <m/>
    <m/>
    <m/>
    <m/>
  </r>
  <r>
    <x v="20"/>
    <x v="11"/>
    <m/>
    <m/>
    <m/>
    <m/>
    <m/>
    <m/>
    <m/>
  </r>
  <r>
    <x v="20"/>
    <x v="12"/>
    <m/>
    <m/>
    <m/>
    <m/>
    <m/>
    <m/>
    <m/>
  </r>
  <r>
    <x v="21"/>
    <x v="0"/>
    <m/>
    <m/>
    <m/>
    <m/>
    <m/>
    <m/>
    <m/>
  </r>
  <r>
    <x v="21"/>
    <x v="1"/>
    <m/>
    <m/>
    <m/>
    <n v="2"/>
    <m/>
    <m/>
    <m/>
  </r>
  <r>
    <x v="21"/>
    <x v="2"/>
    <m/>
    <m/>
    <m/>
    <n v="3"/>
    <m/>
    <m/>
    <m/>
  </r>
  <r>
    <x v="21"/>
    <x v="3"/>
    <m/>
    <m/>
    <m/>
    <m/>
    <m/>
    <m/>
    <m/>
  </r>
  <r>
    <x v="21"/>
    <x v="4"/>
    <m/>
    <m/>
    <m/>
    <n v="2"/>
    <m/>
    <m/>
    <m/>
  </r>
  <r>
    <x v="21"/>
    <x v="5"/>
    <m/>
    <m/>
    <m/>
    <n v="2"/>
    <m/>
    <m/>
    <m/>
  </r>
  <r>
    <x v="21"/>
    <x v="6"/>
    <m/>
    <m/>
    <m/>
    <n v="3"/>
    <m/>
    <m/>
    <m/>
  </r>
  <r>
    <x v="21"/>
    <x v="7"/>
    <m/>
    <m/>
    <m/>
    <m/>
    <m/>
    <m/>
    <m/>
  </r>
  <r>
    <x v="21"/>
    <x v="8"/>
    <m/>
    <m/>
    <m/>
    <n v="3"/>
    <m/>
    <m/>
    <m/>
  </r>
  <r>
    <x v="21"/>
    <x v="9"/>
    <m/>
    <m/>
    <m/>
    <n v="2"/>
    <m/>
    <m/>
    <m/>
  </r>
  <r>
    <x v="21"/>
    <x v="10"/>
    <m/>
    <m/>
    <m/>
    <n v="2"/>
    <m/>
    <m/>
    <m/>
  </r>
  <r>
    <x v="21"/>
    <x v="11"/>
    <m/>
    <m/>
    <m/>
    <m/>
    <m/>
    <m/>
    <m/>
  </r>
  <r>
    <x v="21"/>
    <x v="12"/>
    <m/>
    <m/>
    <m/>
    <m/>
    <m/>
    <m/>
    <m/>
  </r>
  <r>
    <x v="22"/>
    <x v="0"/>
    <m/>
    <m/>
    <m/>
    <m/>
    <m/>
    <m/>
    <m/>
  </r>
  <r>
    <x v="22"/>
    <x v="1"/>
    <m/>
    <m/>
    <n v="1"/>
    <m/>
    <m/>
    <m/>
    <m/>
  </r>
  <r>
    <x v="22"/>
    <x v="2"/>
    <m/>
    <m/>
    <m/>
    <m/>
    <m/>
    <m/>
    <m/>
  </r>
  <r>
    <x v="22"/>
    <x v="3"/>
    <m/>
    <m/>
    <n v="1"/>
    <m/>
    <m/>
    <m/>
    <m/>
  </r>
  <r>
    <x v="22"/>
    <x v="4"/>
    <m/>
    <m/>
    <m/>
    <m/>
    <m/>
    <m/>
    <m/>
  </r>
  <r>
    <x v="22"/>
    <x v="5"/>
    <m/>
    <m/>
    <m/>
    <m/>
    <m/>
    <m/>
    <m/>
  </r>
  <r>
    <x v="22"/>
    <x v="6"/>
    <m/>
    <m/>
    <m/>
    <m/>
    <m/>
    <m/>
    <m/>
  </r>
  <r>
    <x v="22"/>
    <x v="7"/>
    <m/>
    <m/>
    <n v="1"/>
    <m/>
    <m/>
    <m/>
    <m/>
  </r>
  <r>
    <x v="22"/>
    <x v="8"/>
    <m/>
    <m/>
    <m/>
    <m/>
    <m/>
    <m/>
    <m/>
  </r>
  <r>
    <x v="22"/>
    <x v="9"/>
    <m/>
    <m/>
    <m/>
    <m/>
    <m/>
    <m/>
    <m/>
  </r>
  <r>
    <x v="22"/>
    <x v="10"/>
    <m/>
    <m/>
    <m/>
    <m/>
    <m/>
    <m/>
    <m/>
  </r>
  <r>
    <x v="22"/>
    <x v="11"/>
    <m/>
    <m/>
    <m/>
    <m/>
    <m/>
    <m/>
    <m/>
  </r>
  <r>
    <x v="22"/>
    <x v="12"/>
    <m/>
    <m/>
    <m/>
    <m/>
    <m/>
    <m/>
    <m/>
  </r>
  <r>
    <x v="23"/>
    <x v="0"/>
    <m/>
    <m/>
    <m/>
    <m/>
    <m/>
    <m/>
    <m/>
  </r>
  <r>
    <x v="23"/>
    <x v="1"/>
    <m/>
    <m/>
    <m/>
    <m/>
    <m/>
    <m/>
    <m/>
  </r>
  <r>
    <x v="23"/>
    <x v="2"/>
    <m/>
    <m/>
    <m/>
    <m/>
    <m/>
    <m/>
    <m/>
  </r>
  <r>
    <x v="23"/>
    <x v="3"/>
    <m/>
    <m/>
    <m/>
    <m/>
    <m/>
    <m/>
    <m/>
  </r>
  <r>
    <x v="23"/>
    <x v="4"/>
    <m/>
    <m/>
    <m/>
    <m/>
    <m/>
    <m/>
    <m/>
  </r>
  <r>
    <x v="23"/>
    <x v="5"/>
    <m/>
    <m/>
    <m/>
    <m/>
    <m/>
    <m/>
    <m/>
  </r>
  <r>
    <x v="23"/>
    <x v="6"/>
    <m/>
    <m/>
    <m/>
    <m/>
    <m/>
    <m/>
    <m/>
  </r>
  <r>
    <x v="23"/>
    <x v="7"/>
    <m/>
    <m/>
    <m/>
    <m/>
    <m/>
    <m/>
    <m/>
  </r>
  <r>
    <x v="23"/>
    <x v="8"/>
    <m/>
    <m/>
    <m/>
    <m/>
    <m/>
    <m/>
    <m/>
  </r>
  <r>
    <x v="23"/>
    <x v="9"/>
    <m/>
    <m/>
    <m/>
    <m/>
    <m/>
    <m/>
    <m/>
  </r>
  <r>
    <x v="23"/>
    <x v="10"/>
    <m/>
    <m/>
    <m/>
    <m/>
    <m/>
    <m/>
    <m/>
  </r>
  <r>
    <x v="23"/>
    <x v="11"/>
    <m/>
    <m/>
    <m/>
    <m/>
    <m/>
    <m/>
    <m/>
  </r>
  <r>
    <x v="23"/>
    <x v="12"/>
    <m/>
    <m/>
    <m/>
    <m/>
    <m/>
    <m/>
    <m/>
  </r>
  <r>
    <x v="24"/>
    <x v="0"/>
    <m/>
    <m/>
    <m/>
    <m/>
    <m/>
    <m/>
    <m/>
  </r>
  <r>
    <x v="24"/>
    <x v="1"/>
    <m/>
    <n v="3"/>
    <n v="6"/>
    <n v="2"/>
    <n v="1"/>
    <n v="4"/>
    <m/>
  </r>
  <r>
    <x v="24"/>
    <x v="2"/>
    <m/>
    <n v="1"/>
    <n v="6"/>
    <n v="3"/>
    <n v="1"/>
    <n v="1"/>
    <m/>
  </r>
  <r>
    <x v="24"/>
    <x v="3"/>
    <m/>
    <n v="2"/>
    <n v="4"/>
    <m/>
    <m/>
    <m/>
    <m/>
  </r>
  <r>
    <x v="24"/>
    <x v="4"/>
    <m/>
    <n v="3"/>
    <n v="2"/>
    <n v="2"/>
    <n v="1"/>
    <n v="1"/>
    <m/>
  </r>
  <r>
    <x v="24"/>
    <x v="5"/>
    <m/>
    <n v="1"/>
    <n v="2"/>
    <n v="2"/>
    <n v="1"/>
    <n v="1"/>
    <m/>
  </r>
  <r>
    <x v="24"/>
    <x v="6"/>
    <m/>
    <n v="3"/>
    <n v="4"/>
    <n v="3"/>
    <n v="1"/>
    <n v="1"/>
    <m/>
  </r>
  <r>
    <x v="24"/>
    <x v="7"/>
    <n v="1"/>
    <n v="9"/>
    <n v="6"/>
    <m/>
    <n v="1"/>
    <n v="2"/>
    <m/>
  </r>
  <r>
    <x v="24"/>
    <x v="8"/>
    <m/>
    <m/>
    <n v="3"/>
    <n v="3"/>
    <n v="1"/>
    <n v="1"/>
    <m/>
  </r>
  <r>
    <x v="24"/>
    <x v="9"/>
    <m/>
    <n v="2"/>
    <n v="4"/>
    <n v="2"/>
    <n v="1"/>
    <n v="2"/>
    <m/>
  </r>
  <r>
    <x v="24"/>
    <x v="10"/>
    <m/>
    <m/>
    <n v="1"/>
    <n v="2"/>
    <m/>
    <n v="1"/>
    <m/>
  </r>
  <r>
    <x v="24"/>
    <x v="11"/>
    <m/>
    <m/>
    <m/>
    <m/>
    <m/>
    <m/>
    <m/>
  </r>
  <r>
    <x v="24"/>
    <x v="12"/>
    <m/>
    <m/>
    <m/>
    <m/>
    <m/>
    <m/>
    <m/>
  </r>
  <r>
    <x v="25"/>
    <x v="0"/>
    <n v="0"/>
    <n v="0"/>
    <n v="0"/>
    <n v="0"/>
    <n v="0"/>
    <n v="0"/>
    <m/>
  </r>
  <r>
    <x v="25"/>
    <x v="1"/>
    <n v="0"/>
    <n v="6"/>
    <n v="25"/>
    <n v="2"/>
    <n v="3"/>
    <n v="16"/>
    <m/>
  </r>
  <r>
    <x v="25"/>
    <x v="2"/>
    <n v="0"/>
    <n v="10"/>
    <n v="47"/>
    <n v="8"/>
    <n v="6"/>
    <n v="24"/>
    <m/>
  </r>
  <r>
    <x v="25"/>
    <x v="3"/>
    <n v="0"/>
    <n v="3"/>
    <n v="50"/>
    <n v="3"/>
    <n v="0"/>
    <n v="4"/>
    <m/>
  </r>
  <r>
    <x v="25"/>
    <x v="4"/>
    <n v="0"/>
    <n v="9"/>
    <n v="46"/>
    <n v="7"/>
    <n v="4"/>
    <n v="33"/>
    <m/>
  </r>
  <r>
    <x v="25"/>
    <x v="5"/>
    <n v="0"/>
    <n v="10"/>
    <n v="37"/>
    <n v="7"/>
    <n v="4"/>
    <n v="33"/>
    <m/>
  </r>
  <r>
    <x v="25"/>
    <x v="6"/>
    <n v="0"/>
    <n v="10"/>
    <n v="34"/>
    <n v="8"/>
    <n v="5"/>
    <n v="25"/>
    <m/>
  </r>
  <r>
    <x v="25"/>
    <x v="7"/>
    <n v="0"/>
    <n v="7"/>
    <n v="43"/>
    <n v="2"/>
    <n v="3"/>
    <n v="34"/>
    <m/>
  </r>
  <r>
    <x v="25"/>
    <x v="8"/>
    <n v="0"/>
    <n v="9"/>
    <n v="32"/>
    <n v="6"/>
    <n v="4"/>
    <n v="32"/>
    <m/>
  </r>
  <r>
    <x v="25"/>
    <x v="9"/>
    <n v="0"/>
    <n v="8"/>
    <n v="39"/>
    <n v="6"/>
    <n v="6"/>
    <n v="31"/>
    <m/>
  </r>
  <r>
    <x v="25"/>
    <x v="10"/>
    <n v="0"/>
    <n v="6"/>
    <n v="34"/>
    <n v="0"/>
    <n v="0"/>
    <n v="23"/>
    <m/>
  </r>
  <r>
    <x v="25"/>
    <x v="11"/>
    <n v="0"/>
    <n v="0"/>
    <n v="4"/>
    <n v="1"/>
    <n v="0"/>
    <n v="8"/>
    <m/>
  </r>
  <r>
    <x v="25"/>
    <x v="12"/>
    <n v="0"/>
    <n v="0"/>
    <n v="2"/>
    <n v="2"/>
    <n v="0"/>
    <n v="0"/>
    <m/>
  </r>
  <r>
    <x v="26"/>
    <x v="0"/>
    <m/>
    <m/>
    <m/>
    <m/>
    <m/>
    <m/>
    <m/>
  </r>
  <r>
    <x v="26"/>
    <x v="1"/>
    <m/>
    <m/>
    <n v="2"/>
    <m/>
    <m/>
    <n v="2"/>
    <m/>
  </r>
  <r>
    <x v="26"/>
    <x v="2"/>
    <m/>
    <m/>
    <m/>
    <m/>
    <m/>
    <n v="1"/>
    <m/>
  </r>
  <r>
    <x v="26"/>
    <x v="3"/>
    <m/>
    <m/>
    <n v="1"/>
    <m/>
    <m/>
    <m/>
    <m/>
  </r>
  <r>
    <x v="26"/>
    <x v="4"/>
    <m/>
    <m/>
    <m/>
    <m/>
    <m/>
    <n v="2"/>
    <m/>
  </r>
  <r>
    <x v="26"/>
    <x v="5"/>
    <m/>
    <m/>
    <n v="1"/>
    <m/>
    <m/>
    <n v="2"/>
    <m/>
  </r>
  <r>
    <x v="26"/>
    <x v="6"/>
    <m/>
    <m/>
    <n v="2"/>
    <m/>
    <m/>
    <n v="1"/>
    <m/>
  </r>
  <r>
    <x v="26"/>
    <x v="7"/>
    <m/>
    <m/>
    <m/>
    <m/>
    <m/>
    <n v="2"/>
    <m/>
  </r>
  <r>
    <x v="26"/>
    <x v="8"/>
    <m/>
    <m/>
    <n v="2"/>
    <m/>
    <m/>
    <n v="1"/>
    <m/>
  </r>
  <r>
    <x v="26"/>
    <x v="9"/>
    <m/>
    <m/>
    <n v="3"/>
    <m/>
    <m/>
    <n v="1"/>
    <m/>
  </r>
  <r>
    <x v="26"/>
    <x v="10"/>
    <m/>
    <m/>
    <n v="2"/>
    <m/>
    <m/>
    <n v="2"/>
    <m/>
  </r>
  <r>
    <x v="26"/>
    <x v="11"/>
    <m/>
    <m/>
    <m/>
    <m/>
    <m/>
    <m/>
    <m/>
  </r>
  <r>
    <x v="26"/>
    <x v="12"/>
    <m/>
    <m/>
    <m/>
    <m/>
    <m/>
    <m/>
    <m/>
  </r>
  <r>
    <x v="27"/>
    <x v="0"/>
    <m/>
    <m/>
    <m/>
    <m/>
    <m/>
    <m/>
    <m/>
  </r>
  <r>
    <x v="27"/>
    <x v="1"/>
    <m/>
    <m/>
    <m/>
    <m/>
    <n v="1"/>
    <m/>
    <m/>
  </r>
  <r>
    <x v="27"/>
    <x v="2"/>
    <m/>
    <m/>
    <m/>
    <m/>
    <n v="1"/>
    <m/>
    <m/>
  </r>
  <r>
    <x v="27"/>
    <x v="3"/>
    <m/>
    <m/>
    <m/>
    <m/>
    <m/>
    <m/>
    <m/>
  </r>
  <r>
    <x v="27"/>
    <x v="4"/>
    <m/>
    <m/>
    <m/>
    <m/>
    <n v="1"/>
    <m/>
    <m/>
  </r>
  <r>
    <x v="27"/>
    <x v="5"/>
    <m/>
    <m/>
    <m/>
    <m/>
    <n v="1"/>
    <m/>
    <m/>
  </r>
  <r>
    <x v="27"/>
    <x v="6"/>
    <m/>
    <m/>
    <m/>
    <m/>
    <n v="1"/>
    <m/>
    <m/>
  </r>
  <r>
    <x v="27"/>
    <x v="7"/>
    <m/>
    <m/>
    <m/>
    <m/>
    <n v="1"/>
    <m/>
    <m/>
  </r>
  <r>
    <x v="27"/>
    <x v="8"/>
    <m/>
    <m/>
    <m/>
    <m/>
    <n v="1"/>
    <m/>
    <m/>
  </r>
  <r>
    <x v="27"/>
    <x v="9"/>
    <m/>
    <m/>
    <m/>
    <m/>
    <n v="1"/>
    <m/>
    <m/>
  </r>
  <r>
    <x v="27"/>
    <x v="10"/>
    <m/>
    <m/>
    <m/>
    <m/>
    <m/>
    <m/>
    <m/>
  </r>
  <r>
    <x v="27"/>
    <x v="11"/>
    <m/>
    <m/>
    <m/>
    <m/>
    <m/>
    <m/>
    <m/>
  </r>
  <r>
    <x v="27"/>
    <x v="12"/>
    <m/>
    <m/>
    <m/>
    <m/>
    <m/>
    <m/>
    <m/>
  </r>
  <r>
    <x v="28"/>
    <x v="0"/>
    <m/>
    <m/>
    <n v="1"/>
    <m/>
    <m/>
    <m/>
    <m/>
  </r>
  <r>
    <x v="28"/>
    <x v="1"/>
    <m/>
    <m/>
    <n v="2"/>
    <m/>
    <m/>
    <m/>
    <m/>
  </r>
  <r>
    <x v="28"/>
    <x v="2"/>
    <m/>
    <m/>
    <n v="1"/>
    <m/>
    <m/>
    <m/>
    <m/>
  </r>
  <r>
    <x v="28"/>
    <x v="3"/>
    <m/>
    <m/>
    <m/>
    <m/>
    <m/>
    <m/>
    <m/>
  </r>
  <r>
    <x v="28"/>
    <x v="4"/>
    <m/>
    <n v="2"/>
    <m/>
    <m/>
    <m/>
    <m/>
    <m/>
  </r>
  <r>
    <x v="28"/>
    <x v="5"/>
    <m/>
    <n v="2"/>
    <m/>
    <m/>
    <m/>
    <m/>
    <m/>
  </r>
  <r>
    <x v="28"/>
    <x v="6"/>
    <m/>
    <n v="2"/>
    <m/>
    <m/>
    <m/>
    <m/>
    <m/>
  </r>
  <r>
    <x v="28"/>
    <x v="7"/>
    <m/>
    <m/>
    <m/>
    <m/>
    <m/>
    <m/>
    <m/>
  </r>
  <r>
    <x v="28"/>
    <x v="8"/>
    <m/>
    <n v="2"/>
    <n v="2"/>
    <m/>
    <m/>
    <m/>
    <m/>
  </r>
  <r>
    <x v="28"/>
    <x v="9"/>
    <m/>
    <m/>
    <m/>
    <m/>
    <m/>
    <m/>
    <m/>
  </r>
  <r>
    <x v="28"/>
    <x v="10"/>
    <m/>
    <n v="2"/>
    <n v="1"/>
    <m/>
    <m/>
    <m/>
    <m/>
  </r>
  <r>
    <x v="28"/>
    <x v="11"/>
    <m/>
    <m/>
    <m/>
    <m/>
    <m/>
    <m/>
    <m/>
  </r>
  <r>
    <x v="28"/>
    <x v="12"/>
    <m/>
    <m/>
    <m/>
    <m/>
    <m/>
    <m/>
    <m/>
  </r>
  <r>
    <x v="29"/>
    <x v="0"/>
    <m/>
    <m/>
    <m/>
    <m/>
    <m/>
    <m/>
    <m/>
  </r>
  <r>
    <x v="29"/>
    <x v="1"/>
    <m/>
    <m/>
    <m/>
    <m/>
    <m/>
    <n v="1"/>
    <m/>
  </r>
  <r>
    <x v="29"/>
    <x v="2"/>
    <m/>
    <m/>
    <m/>
    <m/>
    <m/>
    <n v="1"/>
    <m/>
  </r>
  <r>
    <x v="29"/>
    <x v="3"/>
    <m/>
    <m/>
    <m/>
    <m/>
    <m/>
    <m/>
    <m/>
  </r>
  <r>
    <x v="29"/>
    <x v="4"/>
    <m/>
    <m/>
    <m/>
    <m/>
    <m/>
    <n v="1"/>
    <m/>
  </r>
  <r>
    <x v="29"/>
    <x v="5"/>
    <m/>
    <m/>
    <m/>
    <m/>
    <m/>
    <n v="1"/>
    <m/>
  </r>
  <r>
    <x v="29"/>
    <x v="6"/>
    <m/>
    <m/>
    <m/>
    <m/>
    <m/>
    <n v="1"/>
    <m/>
  </r>
  <r>
    <x v="29"/>
    <x v="7"/>
    <m/>
    <m/>
    <m/>
    <m/>
    <m/>
    <n v="1"/>
    <m/>
  </r>
  <r>
    <x v="29"/>
    <x v="8"/>
    <m/>
    <m/>
    <m/>
    <m/>
    <m/>
    <n v="1"/>
    <m/>
  </r>
  <r>
    <x v="29"/>
    <x v="9"/>
    <m/>
    <m/>
    <m/>
    <m/>
    <m/>
    <m/>
    <m/>
  </r>
  <r>
    <x v="29"/>
    <x v="10"/>
    <m/>
    <m/>
    <m/>
    <m/>
    <m/>
    <n v="1"/>
    <m/>
  </r>
  <r>
    <x v="29"/>
    <x v="11"/>
    <m/>
    <m/>
    <m/>
    <m/>
    <m/>
    <m/>
    <m/>
  </r>
  <r>
    <x v="29"/>
    <x v="12"/>
    <m/>
    <m/>
    <m/>
    <m/>
    <m/>
    <m/>
    <m/>
  </r>
  <r>
    <x v="30"/>
    <x v="0"/>
    <m/>
    <n v="1"/>
    <m/>
    <m/>
    <m/>
    <m/>
    <m/>
  </r>
  <r>
    <x v="30"/>
    <x v="1"/>
    <m/>
    <n v="1"/>
    <m/>
    <m/>
    <m/>
    <m/>
    <m/>
  </r>
  <r>
    <x v="30"/>
    <x v="2"/>
    <m/>
    <n v="1"/>
    <m/>
    <m/>
    <m/>
    <m/>
    <m/>
  </r>
  <r>
    <x v="30"/>
    <x v="3"/>
    <m/>
    <n v="1"/>
    <m/>
    <m/>
    <m/>
    <m/>
    <m/>
  </r>
  <r>
    <x v="30"/>
    <x v="4"/>
    <m/>
    <m/>
    <m/>
    <m/>
    <m/>
    <m/>
    <m/>
  </r>
  <r>
    <x v="30"/>
    <x v="5"/>
    <m/>
    <n v="1"/>
    <m/>
    <m/>
    <m/>
    <m/>
    <m/>
  </r>
  <r>
    <x v="30"/>
    <x v="6"/>
    <m/>
    <n v="1"/>
    <m/>
    <m/>
    <m/>
    <m/>
    <m/>
  </r>
  <r>
    <x v="30"/>
    <x v="7"/>
    <m/>
    <m/>
    <m/>
    <m/>
    <m/>
    <m/>
    <m/>
  </r>
  <r>
    <x v="30"/>
    <x v="8"/>
    <m/>
    <n v="1"/>
    <m/>
    <m/>
    <m/>
    <m/>
    <m/>
  </r>
  <r>
    <x v="30"/>
    <x v="9"/>
    <m/>
    <n v="1"/>
    <m/>
    <m/>
    <m/>
    <m/>
    <m/>
  </r>
  <r>
    <x v="30"/>
    <x v="10"/>
    <m/>
    <n v="1"/>
    <m/>
    <m/>
    <m/>
    <m/>
    <m/>
  </r>
  <r>
    <x v="30"/>
    <x v="11"/>
    <m/>
    <m/>
    <m/>
    <m/>
    <m/>
    <m/>
    <m/>
  </r>
  <r>
    <x v="30"/>
    <x v="12"/>
    <m/>
    <m/>
    <m/>
    <m/>
    <m/>
    <m/>
    <m/>
  </r>
  <r>
    <x v="31"/>
    <x v="0"/>
    <m/>
    <m/>
    <m/>
    <m/>
    <m/>
    <m/>
    <m/>
  </r>
  <r>
    <x v="31"/>
    <x v="1"/>
    <m/>
    <m/>
    <n v="2"/>
    <m/>
    <m/>
    <m/>
    <m/>
  </r>
  <r>
    <x v="31"/>
    <x v="2"/>
    <m/>
    <m/>
    <n v="2"/>
    <m/>
    <m/>
    <m/>
    <m/>
  </r>
  <r>
    <x v="31"/>
    <x v="3"/>
    <m/>
    <m/>
    <n v="2"/>
    <m/>
    <m/>
    <m/>
    <m/>
  </r>
  <r>
    <x v="31"/>
    <x v="4"/>
    <m/>
    <m/>
    <n v="2"/>
    <m/>
    <m/>
    <m/>
    <m/>
  </r>
  <r>
    <x v="31"/>
    <x v="5"/>
    <m/>
    <m/>
    <m/>
    <m/>
    <m/>
    <m/>
    <m/>
  </r>
  <r>
    <x v="31"/>
    <x v="6"/>
    <m/>
    <m/>
    <n v="2"/>
    <m/>
    <m/>
    <m/>
    <m/>
  </r>
  <r>
    <x v="31"/>
    <x v="7"/>
    <m/>
    <m/>
    <n v="2"/>
    <m/>
    <m/>
    <m/>
    <m/>
  </r>
  <r>
    <x v="31"/>
    <x v="8"/>
    <m/>
    <m/>
    <n v="4"/>
    <m/>
    <m/>
    <m/>
    <m/>
  </r>
  <r>
    <x v="31"/>
    <x v="9"/>
    <m/>
    <m/>
    <n v="2"/>
    <m/>
    <m/>
    <m/>
    <m/>
  </r>
  <r>
    <x v="31"/>
    <x v="10"/>
    <m/>
    <m/>
    <m/>
    <m/>
    <m/>
    <m/>
    <m/>
  </r>
  <r>
    <x v="31"/>
    <x v="11"/>
    <m/>
    <m/>
    <m/>
    <m/>
    <m/>
    <m/>
    <m/>
  </r>
  <r>
    <x v="31"/>
    <x v="12"/>
    <m/>
    <m/>
    <m/>
    <m/>
    <m/>
    <m/>
    <m/>
  </r>
  <r>
    <x v="32"/>
    <x v="0"/>
    <m/>
    <m/>
    <n v="2"/>
    <m/>
    <m/>
    <m/>
    <m/>
  </r>
  <r>
    <x v="32"/>
    <x v="1"/>
    <m/>
    <m/>
    <n v="2"/>
    <m/>
    <m/>
    <m/>
    <m/>
  </r>
  <r>
    <x v="32"/>
    <x v="2"/>
    <m/>
    <m/>
    <n v="6"/>
    <m/>
    <m/>
    <m/>
    <m/>
  </r>
  <r>
    <x v="32"/>
    <x v="3"/>
    <m/>
    <m/>
    <n v="3"/>
    <m/>
    <m/>
    <m/>
    <m/>
  </r>
  <r>
    <x v="32"/>
    <x v="4"/>
    <m/>
    <m/>
    <n v="8"/>
    <m/>
    <m/>
    <m/>
    <m/>
  </r>
  <r>
    <x v="32"/>
    <x v="5"/>
    <m/>
    <m/>
    <n v="6"/>
    <m/>
    <m/>
    <m/>
    <m/>
  </r>
  <r>
    <x v="32"/>
    <x v="6"/>
    <m/>
    <m/>
    <n v="6"/>
    <m/>
    <m/>
    <m/>
    <m/>
  </r>
  <r>
    <x v="32"/>
    <x v="7"/>
    <m/>
    <m/>
    <n v="6"/>
    <m/>
    <m/>
    <m/>
    <m/>
  </r>
  <r>
    <x v="32"/>
    <x v="8"/>
    <m/>
    <m/>
    <n v="6"/>
    <m/>
    <m/>
    <m/>
    <m/>
  </r>
  <r>
    <x v="32"/>
    <x v="9"/>
    <m/>
    <m/>
    <n v="6"/>
    <m/>
    <m/>
    <m/>
    <m/>
  </r>
  <r>
    <x v="32"/>
    <x v="10"/>
    <m/>
    <m/>
    <n v="6"/>
    <m/>
    <m/>
    <m/>
    <m/>
  </r>
  <r>
    <x v="32"/>
    <x v="11"/>
    <m/>
    <m/>
    <m/>
    <m/>
    <m/>
    <m/>
    <m/>
  </r>
  <r>
    <x v="32"/>
    <x v="12"/>
    <m/>
    <m/>
    <m/>
    <m/>
    <m/>
    <m/>
    <m/>
  </r>
  <r>
    <x v="33"/>
    <x v="0"/>
    <m/>
    <m/>
    <m/>
    <m/>
    <m/>
    <m/>
    <m/>
  </r>
  <r>
    <x v="33"/>
    <x v="1"/>
    <m/>
    <m/>
    <m/>
    <m/>
    <m/>
    <m/>
    <m/>
  </r>
  <r>
    <x v="33"/>
    <x v="2"/>
    <m/>
    <m/>
    <n v="3"/>
    <m/>
    <m/>
    <m/>
    <m/>
  </r>
  <r>
    <x v="33"/>
    <x v="3"/>
    <m/>
    <m/>
    <m/>
    <m/>
    <m/>
    <m/>
    <m/>
  </r>
  <r>
    <x v="33"/>
    <x v="4"/>
    <m/>
    <m/>
    <n v="9"/>
    <m/>
    <m/>
    <m/>
    <m/>
  </r>
  <r>
    <x v="33"/>
    <x v="5"/>
    <m/>
    <m/>
    <n v="9"/>
    <m/>
    <m/>
    <m/>
    <m/>
  </r>
  <r>
    <x v="33"/>
    <x v="6"/>
    <m/>
    <m/>
    <n v="3"/>
    <m/>
    <m/>
    <m/>
    <m/>
  </r>
  <r>
    <x v="33"/>
    <x v="7"/>
    <m/>
    <m/>
    <n v="3"/>
    <m/>
    <m/>
    <m/>
    <m/>
  </r>
  <r>
    <x v="33"/>
    <x v="8"/>
    <m/>
    <m/>
    <n v="3"/>
    <m/>
    <m/>
    <m/>
    <m/>
  </r>
  <r>
    <x v="33"/>
    <x v="9"/>
    <m/>
    <m/>
    <n v="9"/>
    <m/>
    <m/>
    <m/>
    <m/>
  </r>
  <r>
    <x v="33"/>
    <x v="10"/>
    <m/>
    <m/>
    <m/>
    <m/>
    <m/>
    <m/>
    <m/>
  </r>
  <r>
    <x v="33"/>
    <x v="11"/>
    <m/>
    <m/>
    <n v="1"/>
    <m/>
    <m/>
    <m/>
    <m/>
  </r>
  <r>
    <x v="33"/>
    <x v="12"/>
    <m/>
    <m/>
    <m/>
    <m/>
    <m/>
    <m/>
    <m/>
  </r>
  <r>
    <x v="34"/>
    <x v="0"/>
    <m/>
    <m/>
    <m/>
    <m/>
    <m/>
    <m/>
    <m/>
  </r>
  <r>
    <x v="34"/>
    <x v="1"/>
    <m/>
    <m/>
    <m/>
    <m/>
    <m/>
    <m/>
    <m/>
  </r>
  <r>
    <x v="34"/>
    <x v="2"/>
    <m/>
    <m/>
    <m/>
    <m/>
    <m/>
    <m/>
    <m/>
  </r>
  <r>
    <x v="34"/>
    <x v="3"/>
    <m/>
    <m/>
    <m/>
    <m/>
    <m/>
    <m/>
    <m/>
  </r>
  <r>
    <x v="34"/>
    <x v="4"/>
    <m/>
    <m/>
    <m/>
    <m/>
    <m/>
    <m/>
    <m/>
  </r>
  <r>
    <x v="34"/>
    <x v="5"/>
    <m/>
    <m/>
    <m/>
    <m/>
    <m/>
    <m/>
    <m/>
  </r>
  <r>
    <x v="34"/>
    <x v="6"/>
    <m/>
    <m/>
    <m/>
    <m/>
    <m/>
    <m/>
    <m/>
  </r>
  <r>
    <x v="34"/>
    <x v="7"/>
    <m/>
    <m/>
    <m/>
    <m/>
    <m/>
    <m/>
    <m/>
  </r>
  <r>
    <x v="34"/>
    <x v="8"/>
    <m/>
    <m/>
    <m/>
    <m/>
    <m/>
    <m/>
    <m/>
  </r>
  <r>
    <x v="34"/>
    <x v="9"/>
    <m/>
    <m/>
    <m/>
    <m/>
    <m/>
    <m/>
    <m/>
  </r>
  <r>
    <x v="34"/>
    <x v="10"/>
    <m/>
    <m/>
    <m/>
    <m/>
    <m/>
    <m/>
    <m/>
  </r>
  <r>
    <x v="34"/>
    <x v="11"/>
    <m/>
    <m/>
    <m/>
    <m/>
    <m/>
    <m/>
    <m/>
  </r>
  <r>
    <x v="34"/>
    <x v="12"/>
    <m/>
    <m/>
    <m/>
    <m/>
    <m/>
    <m/>
    <m/>
  </r>
  <r>
    <x v="35"/>
    <x v="0"/>
    <m/>
    <m/>
    <m/>
    <m/>
    <m/>
    <m/>
    <m/>
  </r>
  <r>
    <x v="35"/>
    <x v="1"/>
    <m/>
    <m/>
    <m/>
    <m/>
    <m/>
    <m/>
    <m/>
  </r>
  <r>
    <x v="35"/>
    <x v="2"/>
    <m/>
    <n v="1"/>
    <m/>
    <m/>
    <m/>
    <m/>
    <m/>
  </r>
  <r>
    <x v="35"/>
    <x v="3"/>
    <m/>
    <m/>
    <m/>
    <m/>
    <m/>
    <m/>
    <m/>
  </r>
  <r>
    <x v="35"/>
    <x v="4"/>
    <m/>
    <n v="3"/>
    <m/>
    <m/>
    <m/>
    <m/>
    <m/>
  </r>
  <r>
    <x v="35"/>
    <x v="5"/>
    <m/>
    <n v="3"/>
    <n v="1"/>
    <m/>
    <m/>
    <m/>
    <m/>
  </r>
  <r>
    <x v="35"/>
    <x v="6"/>
    <m/>
    <n v="3"/>
    <m/>
    <m/>
    <m/>
    <m/>
    <m/>
  </r>
  <r>
    <x v="35"/>
    <x v="7"/>
    <m/>
    <n v="1"/>
    <m/>
    <m/>
    <m/>
    <m/>
    <m/>
  </r>
  <r>
    <x v="35"/>
    <x v="8"/>
    <m/>
    <n v="2"/>
    <m/>
    <m/>
    <m/>
    <m/>
    <m/>
  </r>
  <r>
    <x v="35"/>
    <x v="9"/>
    <m/>
    <n v="3"/>
    <n v="1"/>
    <m/>
    <m/>
    <m/>
    <m/>
  </r>
  <r>
    <x v="35"/>
    <x v="10"/>
    <m/>
    <n v="3"/>
    <m/>
    <m/>
    <m/>
    <m/>
    <m/>
  </r>
  <r>
    <x v="35"/>
    <x v="11"/>
    <m/>
    <m/>
    <m/>
    <m/>
    <m/>
    <m/>
    <m/>
  </r>
  <r>
    <x v="35"/>
    <x v="12"/>
    <m/>
    <m/>
    <m/>
    <m/>
    <m/>
    <m/>
    <m/>
  </r>
  <r>
    <x v="36"/>
    <x v="0"/>
    <m/>
    <m/>
    <m/>
    <m/>
    <m/>
    <m/>
    <m/>
  </r>
  <r>
    <x v="36"/>
    <x v="1"/>
    <m/>
    <m/>
    <n v="1"/>
    <m/>
    <m/>
    <m/>
    <m/>
  </r>
  <r>
    <x v="36"/>
    <x v="2"/>
    <m/>
    <m/>
    <m/>
    <m/>
    <m/>
    <m/>
    <m/>
  </r>
  <r>
    <x v="36"/>
    <x v="3"/>
    <m/>
    <m/>
    <m/>
    <m/>
    <m/>
    <m/>
    <m/>
  </r>
  <r>
    <x v="36"/>
    <x v="4"/>
    <m/>
    <m/>
    <m/>
    <m/>
    <m/>
    <m/>
    <m/>
  </r>
  <r>
    <x v="36"/>
    <x v="5"/>
    <m/>
    <m/>
    <m/>
    <m/>
    <m/>
    <m/>
    <m/>
  </r>
  <r>
    <x v="36"/>
    <x v="6"/>
    <m/>
    <m/>
    <m/>
    <m/>
    <m/>
    <m/>
    <m/>
  </r>
  <r>
    <x v="36"/>
    <x v="7"/>
    <m/>
    <m/>
    <m/>
    <m/>
    <m/>
    <m/>
    <m/>
  </r>
  <r>
    <x v="36"/>
    <x v="8"/>
    <m/>
    <m/>
    <m/>
    <m/>
    <m/>
    <m/>
    <m/>
  </r>
  <r>
    <x v="36"/>
    <x v="9"/>
    <m/>
    <m/>
    <m/>
    <m/>
    <m/>
    <m/>
    <m/>
  </r>
  <r>
    <x v="36"/>
    <x v="10"/>
    <m/>
    <m/>
    <m/>
    <m/>
    <m/>
    <m/>
    <m/>
  </r>
  <r>
    <x v="36"/>
    <x v="11"/>
    <m/>
    <m/>
    <m/>
    <m/>
    <m/>
    <m/>
    <m/>
  </r>
  <r>
    <x v="36"/>
    <x v="12"/>
    <m/>
    <m/>
    <m/>
    <m/>
    <m/>
    <m/>
    <m/>
  </r>
  <r>
    <x v="37"/>
    <x v="0"/>
    <m/>
    <m/>
    <m/>
    <m/>
    <m/>
    <m/>
    <m/>
  </r>
  <r>
    <x v="37"/>
    <x v="1"/>
    <m/>
    <m/>
    <m/>
    <m/>
    <m/>
    <m/>
    <m/>
  </r>
  <r>
    <x v="37"/>
    <x v="2"/>
    <m/>
    <m/>
    <m/>
    <m/>
    <m/>
    <m/>
    <m/>
  </r>
  <r>
    <x v="37"/>
    <x v="3"/>
    <m/>
    <m/>
    <m/>
    <m/>
    <m/>
    <m/>
    <m/>
  </r>
  <r>
    <x v="37"/>
    <x v="4"/>
    <m/>
    <m/>
    <m/>
    <m/>
    <m/>
    <m/>
    <m/>
  </r>
  <r>
    <x v="37"/>
    <x v="5"/>
    <m/>
    <m/>
    <m/>
    <m/>
    <m/>
    <m/>
    <m/>
  </r>
  <r>
    <x v="37"/>
    <x v="6"/>
    <m/>
    <m/>
    <m/>
    <m/>
    <m/>
    <m/>
    <m/>
  </r>
  <r>
    <x v="37"/>
    <x v="7"/>
    <m/>
    <m/>
    <m/>
    <m/>
    <m/>
    <m/>
    <m/>
  </r>
  <r>
    <x v="37"/>
    <x v="8"/>
    <m/>
    <m/>
    <m/>
    <m/>
    <m/>
    <m/>
    <m/>
  </r>
  <r>
    <x v="37"/>
    <x v="9"/>
    <m/>
    <m/>
    <m/>
    <m/>
    <m/>
    <m/>
    <m/>
  </r>
  <r>
    <x v="37"/>
    <x v="10"/>
    <m/>
    <m/>
    <m/>
    <m/>
    <m/>
    <m/>
    <m/>
  </r>
  <r>
    <x v="37"/>
    <x v="11"/>
    <m/>
    <m/>
    <m/>
    <m/>
    <m/>
    <m/>
    <m/>
  </r>
  <r>
    <x v="37"/>
    <x v="12"/>
    <m/>
    <m/>
    <m/>
    <m/>
    <m/>
    <m/>
    <m/>
  </r>
  <r>
    <x v="38"/>
    <x v="0"/>
    <n v="3"/>
    <m/>
    <m/>
    <n v="10"/>
    <n v="24"/>
    <n v="78"/>
    <m/>
  </r>
  <r>
    <x v="38"/>
    <x v="1"/>
    <n v="9"/>
    <n v="5"/>
    <m/>
    <n v="35"/>
    <n v="35"/>
    <n v="236"/>
    <m/>
  </r>
  <r>
    <x v="38"/>
    <x v="2"/>
    <n v="8"/>
    <n v="6"/>
    <m/>
    <n v="10"/>
    <n v="10"/>
    <n v="70"/>
    <m/>
  </r>
  <r>
    <x v="38"/>
    <x v="3"/>
    <n v="13"/>
    <m/>
    <m/>
    <n v="20"/>
    <n v="27"/>
    <n v="83"/>
    <m/>
  </r>
  <r>
    <x v="38"/>
    <x v="4"/>
    <n v="7"/>
    <m/>
    <m/>
    <n v="15"/>
    <n v="15"/>
    <n v="82"/>
    <m/>
  </r>
  <r>
    <x v="38"/>
    <x v="5"/>
    <n v="1"/>
    <n v="6"/>
    <m/>
    <n v="10"/>
    <n v="10"/>
    <n v="24"/>
    <m/>
  </r>
  <r>
    <x v="38"/>
    <x v="6"/>
    <n v="5"/>
    <n v="6"/>
    <m/>
    <n v="15"/>
    <n v="15"/>
    <n v="78"/>
    <m/>
  </r>
  <r>
    <x v="38"/>
    <x v="7"/>
    <n v="2"/>
    <m/>
    <m/>
    <n v="16"/>
    <n v="19"/>
    <n v="79"/>
    <m/>
  </r>
  <r>
    <x v="38"/>
    <x v="8"/>
    <n v="11"/>
    <n v="6"/>
    <m/>
    <n v="20"/>
    <n v="24"/>
    <n v="138"/>
    <m/>
  </r>
  <r>
    <x v="38"/>
    <x v="9"/>
    <n v="1"/>
    <m/>
    <m/>
    <n v="10"/>
    <n v="12"/>
    <n v="54"/>
    <m/>
  </r>
  <r>
    <x v="38"/>
    <x v="10"/>
    <n v="2"/>
    <m/>
    <m/>
    <n v="10"/>
    <n v="12"/>
    <n v="84"/>
    <m/>
  </r>
  <r>
    <x v="38"/>
    <x v="11"/>
    <n v="70"/>
    <m/>
    <m/>
    <n v="60"/>
    <n v="112"/>
    <n v="400"/>
    <m/>
  </r>
  <r>
    <x v="38"/>
    <x v="12"/>
    <m/>
    <m/>
    <m/>
    <n v="20"/>
    <n v="10"/>
    <n v="16"/>
    <m/>
  </r>
  <r>
    <x v="39"/>
    <x v="0"/>
    <m/>
    <m/>
    <m/>
    <m/>
    <m/>
    <m/>
    <m/>
  </r>
  <r>
    <x v="39"/>
    <x v="1"/>
    <m/>
    <m/>
    <n v="1"/>
    <m/>
    <m/>
    <m/>
    <m/>
  </r>
  <r>
    <x v="39"/>
    <x v="2"/>
    <m/>
    <m/>
    <n v="1"/>
    <m/>
    <m/>
    <m/>
    <m/>
  </r>
  <r>
    <x v="39"/>
    <x v="3"/>
    <m/>
    <m/>
    <m/>
    <m/>
    <m/>
    <m/>
    <m/>
  </r>
  <r>
    <x v="39"/>
    <x v="4"/>
    <m/>
    <m/>
    <m/>
    <m/>
    <m/>
    <m/>
    <m/>
  </r>
  <r>
    <x v="39"/>
    <x v="5"/>
    <m/>
    <m/>
    <m/>
    <m/>
    <m/>
    <m/>
    <m/>
  </r>
  <r>
    <x v="39"/>
    <x v="6"/>
    <m/>
    <m/>
    <m/>
    <m/>
    <m/>
    <m/>
    <m/>
  </r>
  <r>
    <x v="39"/>
    <x v="7"/>
    <m/>
    <m/>
    <m/>
    <m/>
    <m/>
    <m/>
    <m/>
  </r>
  <r>
    <x v="39"/>
    <x v="8"/>
    <m/>
    <m/>
    <m/>
    <m/>
    <m/>
    <m/>
    <m/>
  </r>
  <r>
    <x v="39"/>
    <x v="9"/>
    <m/>
    <m/>
    <m/>
    <m/>
    <m/>
    <m/>
    <m/>
  </r>
  <r>
    <x v="39"/>
    <x v="10"/>
    <m/>
    <m/>
    <m/>
    <m/>
    <m/>
    <m/>
    <m/>
  </r>
  <r>
    <x v="39"/>
    <x v="11"/>
    <m/>
    <m/>
    <m/>
    <m/>
    <m/>
    <m/>
    <m/>
  </r>
  <r>
    <x v="39"/>
    <x v="12"/>
    <m/>
    <m/>
    <m/>
    <m/>
    <m/>
    <m/>
    <m/>
  </r>
  <r>
    <x v="40"/>
    <x v="0"/>
    <n v="2"/>
    <n v="1"/>
    <n v="97"/>
    <n v="1"/>
    <n v="5"/>
    <n v="3"/>
    <m/>
  </r>
  <r>
    <x v="40"/>
    <x v="1"/>
    <n v="6"/>
    <n v="2"/>
    <n v="166"/>
    <n v="4"/>
    <n v="11"/>
    <n v="15"/>
    <m/>
  </r>
  <r>
    <x v="40"/>
    <x v="2"/>
    <n v="4"/>
    <n v="2"/>
    <n v="61"/>
    <n v="2"/>
    <n v="2"/>
    <n v="4"/>
    <m/>
  </r>
  <r>
    <x v="40"/>
    <x v="3"/>
    <n v="6"/>
    <n v="1"/>
    <n v="146"/>
    <n v="2"/>
    <n v="8"/>
    <n v="5"/>
    <m/>
  </r>
  <r>
    <x v="40"/>
    <x v="4"/>
    <n v="0"/>
    <n v="0"/>
    <n v="90"/>
    <n v="3"/>
    <n v="9"/>
    <n v="12"/>
    <m/>
  </r>
  <r>
    <x v="40"/>
    <x v="5"/>
    <n v="1"/>
    <n v="0"/>
    <n v="68"/>
    <n v="1"/>
    <n v="0"/>
    <n v="2"/>
    <m/>
  </r>
  <r>
    <x v="40"/>
    <x v="6"/>
    <n v="8"/>
    <n v="4"/>
    <n v="116"/>
    <n v="8"/>
    <n v="5"/>
    <n v="17"/>
    <m/>
  </r>
  <r>
    <x v="40"/>
    <x v="7"/>
    <n v="0"/>
    <n v="0"/>
    <n v="39"/>
    <n v="0"/>
    <n v="0"/>
    <n v="1"/>
    <m/>
  </r>
  <r>
    <x v="40"/>
    <x v="8"/>
    <n v="9"/>
    <n v="4"/>
    <n v="157"/>
    <n v="7"/>
    <n v="7"/>
    <n v="12"/>
    <m/>
  </r>
  <r>
    <x v="40"/>
    <x v="9"/>
    <n v="0"/>
    <n v="0"/>
    <n v="52"/>
    <n v="0"/>
    <n v="0"/>
    <n v="1"/>
    <m/>
  </r>
  <r>
    <x v="40"/>
    <x v="10"/>
    <n v="6"/>
    <n v="3"/>
    <n v="137"/>
    <n v="5"/>
    <n v="5"/>
    <n v="14"/>
    <m/>
  </r>
  <r>
    <x v="40"/>
    <x v="11"/>
    <n v="5"/>
    <n v="0"/>
    <n v="776"/>
    <n v="0"/>
    <n v="0"/>
    <n v="1"/>
    <m/>
  </r>
  <r>
    <x v="40"/>
    <x v="12"/>
    <n v="0"/>
    <n v="0"/>
    <n v="25"/>
    <n v="0"/>
    <n v="0"/>
    <n v="0"/>
    <m/>
  </r>
  <r>
    <x v="41"/>
    <x v="0"/>
    <m/>
    <m/>
    <m/>
    <m/>
    <m/>
    <m/>
    <m/>
  </r>
  <r>
    <x v="41"/>
    <x v="1"/>
    <m/>
    <m/>
    <m/>
    <m/>
    <m/>
    <m/>
    <m/>
  </r>
  <r>
    <x v="41"/>
    <x v="2"/>
    <m/>
    <m/>
    <m/>
    <m/>
    <m/>
    <m/>
    <m/>
  </r>
  <r>
    <x v="41"/>
    <x v="3"/>
    <n v="4"/>
    <n v="23"/>
    <n v="2"/>
    <m/>
    <m/>
    <m/>
    <m/>
  </r>
  <r>
    <x v="41"/>
    <x v="4"/>
    <n v="4"/>
    <n v="23"/>
    <n v="2"/>
    <m/>
    <m/>
    <m/>
    <m/>
  </r>
  <r>
    <x v="41"/>
    <x v="5"/>
    <m/>
    <m/>
    <m/>
    <m/>
    <m/>
    <m/>
    <m/>
  </r>
  <r>
    <x v="41"/>
    <x v="6"/>
    <m/>
    <m/>
    <m/>
    <m/>
    <m/>
    <m/>
    <m/>
  </r>
  <r>
    <x v="41"/>
    <x v="7"/>
    <m/>
    <m/>
    <m/>
    <m/>
    <m/>
    <m/>
    <m/>
  </r>
  <r>
    <x v="41"/>
    <x v="8"/>
    <m/>
    <m/>
    <m/>
    <m/>
    <m/>
    <m/>
    <m/>
  </r>
  <r>
    <x v="41"/>
    <x v="9"/>
    <m/>
    <m/>
    <m/>
    <m/>
    <m/>
    <m/>
    <m/>
  </r>
  <r>
    <x v="41"/>
    <x v="10"/>
    <m/>
    <m/>
    <m/>
    <m/>
    <m/>
    <m/>
    <m/>
  </r>
  <r>
    <x v="41"/>
    <x v="11"/>
    <m/>
    <m/>
    <m/>
    <m/>
    <m/>
    <m/>
    <m/>
  </r>
  <r>
    <x v="41"/>
    <x v="12"/>
    <m/>
    <m/>
    <m/>
    <m/>
    <m/>
    <m/>
    <m/>
  </r>
  <r>
    <x v="42"/>
    <x v="0"/>
    <m/>
    <m/>
    <m/>
    <m/>
    <m/>
    <m/>
    <m/>
  </r>
  <r>
    <x v="42"/>
    <x v="1"/>
    <m/>
    <m/>
    <m/>
    <m/>
    <m/>
    <m/>
    <m/>
  </r>
  <r>
    <x v="42"/>
    <x v="2"/>
    <m/>
    <m/>
    <m/>
    <m/>
    <m/>
    <m/>
    <m/>
  </r>
  <r>
    <x v="42"/>
    <x v="3"/>
    <m/>
    <m/>
    <m/>
    <m/>
    <m/>
    <m/>
    <m/>
  </r>
  <r>
    <x v="42"/>
    <x v="4"/>
    <m/>
    <m/>
    <m/>
    <m/>
    <m/>
    <m/>
    <m/>
  </r>
  <r>
    <x v="42"/>
    <x v="5"/>
    <m/>
    <m/>
    <m/>
    <m/>
    <m/>
    <m/>
    <m/>
  </r>
  <r>
    <x v="42"/>
    <x v="6"/>
    <m/>
    <m/>
    <m/>
    <m/>
    <m/>
    <n v="11"/>
    <m/>
  </r>
  <r>
    <x v="42"/>
    <x v="7"/>
    <m/>
    <m/>
    <m/>
    <m/>
    <m/>
    <m/>
    <m/>
  </r>
  <r>
    <x v="42"/>
    <x v="8"/>
    <m/>
    <m/>
    <m/>
    <m/>
    <m/>
    <m/>
    <m/>
  </r>
  <r>
    <x v="42"/>
    <x v="9"/>
    <m/>
    <m/>
    <m/>
    <m/>
    <m/>
    <m/>
    <m/>
  </r>
  <r>
    <x v="42"/>
    <x v="10"/>
    <m/>
    <m/>
    <m/>
    <m/>
    <m/>
    <m/>
    <m/>
  </r>
  <r>
    <x v="42"/>
    <x v="11"/>
    <m/>
    <m/>
    <m/>
    <m/>
    <m/>
    <m/>
    <m/>
  </r>
  <r>
    <x v="42"/>
    <x v="12"/>
    <m/>
    <m/>
    <m/>
    <m/>
    <m/>
    <m/>
    <m/>
  </r>
  <r>
    <x v="43"/>
    <x v="0"/>
    <m/>
    <m/>
    <m/>
    <m/>
    <m/>
    <m/>
    <m/>
  </r>
  <r>
    <x v="43"/>
    <x v="1"/>
    <m/>
    <m/>
    <n v="4"/>
    <n v="5"/>
    <m/>
    <m/>
    <m/>
  </r>
  <r>
    <x v="43"/>
    <x v="2"/>
    <m/>
    <m/>
    <n v="6"/>
    <n v="2"/>
    <m/>
    <n v="2"/>
    <m/>
  </r>
  <r>
    <x v="43"/>
    <x v="3"/>
    <m/>
    <m/>
    <n v="2"/>
    <n v="1"/>
    <m/>
    <m/>
    <m/>
  </r>
  <r>
    <x v="43"/>
    <x v="4"/>
    <m/>
    <m/>
    <n v="10"/>
    <n v="3"/>
    <m/>
    <m/>
    <m/>
  </r>
  <r>
    <x v="43"/>
    <x v="5"/>
    <m/>
    <m/>
    <n v="5"/>
    <m/>
    <m/>
    <m/>
    <m/>
  </r>
  <r>
    <x v="43"/>
    <x v="6"/>
    <m/>
    <m/>
    <n v="9"/>
    <m/>
    <m/>
    <n v="2"/>
    <m/>
  </r>
  <r>
    <x v="43"/>
    <x v="7"/>
    <m/>
    <m/>
    <n v="4"/>
    <n v="2"/>
    <m/>
    <n v="3"/>
    <m/>
  </r>
  <r>
    <x v="43"/>
    <x v="8"/>
    <m/>
    <m/>
    <n v="10"/>
    <n v="4"/>
    <m/>
    <m/>
    <m/>
  </r>
  <r>
    <x v="43"/>
    <x v="9"/>
    <m/>
    <m/>
    <n v="6"/>
    <n v="5"/>
    <m/>
    <n v="2"/>
    <m/>
  </r>
  <r>
    <x v="43"/>
    <x v="10"/>
    <m/>
    <m/>
    <n v="4"/>
    <n v="4"/>
    <m/>
    <n v="1"/>
    <m/>
  </r>
  <r>
    <x v="43"/>
    <x v="11"/>
    <m/>
    <m/>
    <n v="3"/>
    <n v="1"/>
    <m/>
    <n v="3"/>
    <m/>
  </r>
  <r>
    <x v="43"/>
    <x v="12"/>
    <m/>
    <m/>
    <m/>
    <n v="2"/>
    <m/>
    <m/>
    <m/>
  </r>
  <r>
    <x v="44"/>
    <x v="0"/>
    <m/>
    <m/>
    <m/>
    <m/>
    <m/>
    <m/>
    <m/>
  </r>
  <r>
    <x v="44"/>
    <x v="1"/>
    <m/>
    <m/>
    <m/>
    <m/>
    <m/>
    <m/>
    <m/>
  </r>
  <r>
    <x v="44"/>
    <x v="2"/>
    <m/>
    <m/>
    <m/>
    <m/>
    <m/>
    <m/>
    <m/>
  </r>
  <r>
    <x v="44"/>
    <x v="3"/>
    <m/>
    <m/>
    <n v="1"/>
    <m/>
    <m/>
    <m/>
    <m/>
  </r>
  <r>
    <x v="44"/>
    <x v="4"/>
    <m/>
    <m/>
    <m/>
    <m/>
    <m/>
    <m/>
    <m/>
  </r>
  <r>
    <x v="44"/>
    <x v="5"/>
    <m/>
    <m/>
    <m/>
    <m/>
    <m/>
    <m/>
    <m/>
  </r>
  <r>
    <x v="44"/>
    <x v="6"/>
    <m/>
    <m/>
    <m/>
    <m/>
    <m/>
    <m/>
    <m/>
  </r>
  <r>
    <x v="44"/>
    <x v="7"/>
    <m/>
    <m/>
    <m/>
    <m/>
    <m/>
    <m/>
    <m/>
  </r>
  <r>
    <x v="44"/>
    <x v="8"/>
    <m/>
    <m/>
    <m/>
    <m/>
    <m/>
    <m/>
    <m/>
  </r>
  <r>
    <x v="44"/>
    <x v="9"/>
    <m/>
    <m/>
    <n v="1"/>
    <m/>
    <m/>
    <m/>
    <m/>
  </r>
  <r>
    <x v="44"/>
    <x v="10"/>
    <m/>
    <m/>
    <m/>
    <m/>
    <m/>
    <m/>
    <m/>
  </r>
  <r>
    <x v="44"/>
    <x v="11"/>
    <m/>
    <m/>
    <m/>
    <m/>
    <m/>
    <m/>
    <m/>
  </r>
  <r>
    <x v="44"/>
    <x v="12"/>
    <m/>
    <m/>
    <m/>
    <m/>
    <m/>
    <m/>
    <m/>
  </r>
  <r>
    <x v="45"/>
    <x v="0"/>
    <m/>
    <m/>
    <m/>
    <m/>
    <m/>
    <m/>
    <m/>
  </r>
  <r>
    <x v="45"/>
    <x v="1"/>
    <m/>
    <m/>
    <m/>
    <m/>
    <m/>
    <m/>
    <m/>
  </r>
  <r>
    <x v="45"/>
    <x v="2"/>
    <m/>
    <m/>
    <m/>
    <m/>
    <m/>
    <m/>
    <m/>
  </r>
  <r>
    <x v="45"/>
    <x v="3"/>
    <m/>
    <m/>
    <m/>
    <m/>
    <m/>
    <m/>
    <m/>
  </r>
  <r>
    <x v="45"/>
    <x v="4"/>
    <m/>
    <m/>
    <m/>
    <m/>
    <m/>
    <m/>
    <m/>
  </r>
  <r>
    <x v="45"/>
    <x v="5"/>
    <m/>
    <m/>
    <m/>
    <m/>
    <m/>
    <m/>
    <m/>
  </r>
  <r>
    <x v="45"/>
    <x v="6"/>
    <m/>
    <m/>
    <m/>
    <m/>
    <m/>
    <m/>
    <m/>
  </r>
  <r>
    <x v="45"/>
    <x v="7"/>
    <m/>
    <m/>
    <m/>
    <m/>
    <n v="8"/>
    <m/>
    <m/>
  </r>
  <r>
    <x v="45"/>
    <x v="8"/>
    <m/>
    <m/>
    <m/>
    <m/>
    <m/>
    <m/>
    <m/>
  </r>
  <r>
    <x v="45"/>
    <x v="9"/>
    <m/>
    <m/>
    <m/>
    <m/>
    <m/>
    <m/>
    <m/>
  </r>
  <r>
    <x v="45"/>
    <x v="10"/>
    <m/>
    <m/>
    <m/>
    <m/>
    <m/>
    <m/>
    <m/>
  </r>
  <r>
    <x v="45"/>
    <x v="11"/>
    <m/>
    <m/>
    <m/>
    <m/>
    <n v="10"/>
    <m/>
    <m/>
  </r>
  <r>
    <x v="45"/>
    <x v="12"/>
    <m/>
    <m/>
    <m/>
    <n v="20"/>
    <n v="4"/>
    <n v="14"/>
    <m/>
  </r>
  <r>
    <x v="46"/>
    <x v="0"/>
    <m/>
    <m/>
    <m/>
    <m/>
    <m/>
    <m/>
    <m/>
  </r>
  <r>
    <x v="46"/>
    <x v="1"/>
    <m/>
    <m/>
    <m/>
    <m/>
    <m/>
    <m/>
    <m/>
  </r>
  <r>
    <x v="46"/>
    <x v="2"/>
    <m/>
    <m/>
    <m/>
    <m/>
    <m/>
    <m/>
    <m/>
  </r>
  <r>
    <x v="46"/>
    <x v="3"/>
    <m/>
    <m/>
    <m/>
    <m/>
    <m/>
    <m/>
    <m/>
  </r>
  <r>
    <x v="46"/>
    <x v="4"/>
    <m/>
    <m/>
    <m/>
    <m/>
    <m/>
    <m/>
    <m/>
  </r>
  <r>
    <x v="46"/>
    <x v="5"/>
    <m/>
    <m/>
    <m/>
    <m/>
    <m/>
    <m/>
    <m/>
  </r>
  <r>
    <x v="46"/>
    <x v="6"/>
    <m/>
    <m/>
    <m/>
    <m/>
    <m/>
    <m/>
    <m/>
  </r>
  <r>
    <x v="46"/>
    <x v="7"/>
    <m/>
    <m/>
    <m/>
    <m/>
    <m/>
    <m/>
    <m/>
  </r>
  <r>
    <x v="46"/>
    <x v="8"/>
    <m/>
    <m/>
    <m/>
    <m/>
    <m/>
    <m/>
    <m/>
  </r>
  <r>
    <x v="46"/>
    <x v="9"/>
    <m/>
    <m/>
    <m/>
    <m/>
    <m/>
    <m/>
    <m/>
  </r>
  <r>
    <x v="46"/>
    <x v="10"/>
    <m/>
    <m/>
    <m/>
    <m/>
    <m/>
    <m/>
    <m/>
  </r>
  <r>
    <x v="46"/>
    <x v="11"/>
    <m/>
    <m/>
    <m/>
    <m/>
    <m/>
    <m/>
    <m/>
  </r>
  <r>
    <x v="46"/>
    <x v="12"/>
    <m/>
    <m/>
    <m/>
    <m/>
    <m/>
    <m/>
    <m/>
  </r>
  <r>
    <x v="47"/>
    <x v="0"/>
    <m/>
    <m/>
    <m/>
    <n v="10"/>
    <n v="20"/>
    <n v="50"/>
    <m/>
  </r>
  <r>
    <x v="47"/>
    <x v="1"/>
    <m/>
    <m/>
    <m/>
    <n v="30"/>
    <n v="30"/>
    <n v="180"/>
    <m/>
  </r>
  <r>
    <x v="47"/>
    <x v="2"/>
    <m/>
    <m/>
    <m/>
    <n v="10"/>
    <n v="10"/>
    <n v="30"/>
    <m/>
  </r>
  <r>
    <x v="47"/>
    <x v="3"/>
    <m/>
    <m/>
    <m/>
    <n v="20"/>
    <n v="20"/>
    <n v="50"/>
    <m/>
  </r>
  <r>
    <x v="47"/>
    <x v="4"/>
    <m/>
    <m/>
    <m/>
    <n v="15"/>
    <n v="15"/>
    <n v="30"/>
    <m/>
  </r>
  <r>
    <x v="47"/>
    <x v="5"/>
    <m/>
    <m/>
    <m/>
    <n v="10"/>
    <n v="10"/>
    <n v="20"/>
    <m/>
  </r>
  <r>
    <x v="47"/>
    <x v="6"/>
    <m/>
    <m/>
    <m/>
    <n v="15"/>
    <n v="15"/>
    <n v="40"/>
    <m/>
  </r>
  <r>
    <x v="47"/>
    <x v="7"/>
    <m/>
    <m/>
    <m/>
    <n v="10"/>
    <n v="10"/>
    <n v="30"/>
    <m/>
  </r>
  <r>
    <x v="47"/>
    <x v="8"/>
    <m/>
    <m/>
    <m/>
    <n v="20"/>
    <n v="20"/>
    <n v="100"/>
    <m/>
  </r>
  <r>
    <x v="47"/>
    <x v="9"/>
    <m/>
    <m/>
    <m/>
    <n v="10"/>
    <n v="10"/>
    <n v="40"/>
    <m/>
  </r>
  <r>
    <x v="47"/>
    <x v="10"/>
    <m/>
    <m/>
    <m/>
    <n v="10"/>
    <n v="10"/>
    <n v="50"/>
    <m/>
  </r>
  <r>
    <x v="47"/>
    <x v="11"/>
    <m/>
    <m/>
    <m/>
    <n v="60"/>
    <n v="60"/>
    <n v="440"/>
    <m/>
  </r>
  <r>
    <x v="47"/>
    <x v="12"/>
    <m/>
    <m/>
    <m/>
    <m/>
    <m/>
    <m/>
    <m/>
  </r>
  <r>
    <x v="48"/>
    <x v="0"/>
    <m/>
    <m/>
    <m/>
    <m/>
    <m/>
    <n v="3"/>
    <m/>
  </r>
  <r>
    <x v="48"/>
    <x v="1"/>
    <m/>
    <m/>
    <m/>
    <m/>
    <m/>
    <n v="3"/>
    <m/>
  </r>
  <r>
    <x v="48"/>
    <x v="2"/>
    <m/>
    <n v="2"/>
    <n v="2"/>
    <m/>
    <m/>
    <n v="2"/>
    <m/>
  </r>
  <r>
    <x v="48"/>
    <x v="3"/>
    <m/>
    <n v="2"/>
    <n v="2"/>
    <m/>
    <m/>
    <n v="2"/>
    <m/>
  </r>
  <r>
    <x v="48"/>
    <x v="4"/>
    <m/>
    <n v="2"/>
    <n v="2"/>
    <m/>
    <m/>
    <n v="2"/>
    <m/>
  </r>
  <r>
    <x v="48"/>
    <x v="5"/>
    <m/>
    <n v="2"/>
    <n v="2"/>
    <m/>
    <m/>
    <n v="2"/>
    <m/>
  </r>
  <r>
    <x v="48"/>
    <x v="6"/>
    <m/>
    <n v="10"/>
    <m/>
    <m/>
    <m/>
    <n v="10"/>
    <m/>
  </r>
  <r>
    <x v="48"/>
    <x v="7"/>
    <m/>
    <m/>
    <m/>
    <m/>
    <m/>
    <m/>
    <m/>
  </r>
  <r>
    <x v="48"/>
    <x v="8"/>
    <m/>
    <n v="2"/>
    <n v="2"/>
    <m/>
    <m/>
    <n v="2"/>
    <m/>
  </r>
  <r>
    <x v="48"/>
    <x v="9"/>
    <m/>
    <n v="2"/>
    <n v="2"/>
    <m/>
    <m/>
    <n v="2"/>
    <m/>
  </r>
  <r>
    <x v="48"/>
    <x v="10"/>
    <m/>
    <n v="2"/>
    <n v="2"/>
    <m/>
    <m/>
    <n v="2"/>
    <m/>
  </r>
  <r>
    <x v="48"/>
    <x v="11"/>
    <m/>
    <m/>
    <m/>
    <m/>
    <m/>
    <m/>
    <m/>
  </r>
  <r>
    <x v="48"/>
    <x v="12"/>
    <m/>
    <m/>
    <m/>
    <m/>
    <m/>
    <m/>
    <m/>
  </r>
  <r>
    <x v="49"/>
    <x v="0"/>
    <m/>
    <m/>
    <m/>
    <m/>
    <m/>
    <m/>
    <m/>
  </r>
  <r>
    <x v="49"/>
    <x v="1"/>
    <m/>
    <m/>
    <m/>
    <m/>
    <m/>
    <m/>
    <m/>
  </r>
  <r>
    <x v="49"/>
    <x v="2"/>
    <m/>
    <m/>
    <m/>
    <m/>
    <m/>
    <m/>
    <m/>
  </r>
  <r>
    <x v="49"/>
    <x v="3"/>
    <m/>
    <m/>
    <m/>
    <m/>
    <m/>
    <m/>
    <m/>
  </r>
  <r>
    <x v="49"/>
    <x v="4"/>
    <m/>
    <m/>
    <m/>
    <m/>
    <m/>
    <m/>
    <m/>
  </r>
  <r>
    <x v="49"/>
    <x v="5"/>
    <m/>
    <m/>
    <m/>
    <m/>
    <m/>
    <m/>
    <m/>
  </r>
  <r>
    <x v="49"/>
    <x v="6"/>
    <n v="1"/>
    <n v="1"/>
    <n v="6"/>
    <m/>
    <n v="2"/>
    <n v="3"/>
    <m/>
  </r>
  <r>
    <x v="49"/>
    <x v="7"/>
    <m/>
    <m/>
    <m/>
    <m/>
    <m/>
    <m/>
    <m/>
  </r>
  <r>
    <x v="49"/>
    <x v="8"/>
    <m/>
    <m/>
    <m/>
    <m/>
    <m/>
    <m/>
    <m/>
  </r>
  <r>
    <x v="49"/>
    <x v="9"/>
    <m/>
    <m/>
    <m/>
    <m/>
    <m/>
    <m/>
    <m/>
  </r>
  <r>
    <x v="49"/>
    <x v="10"/>
    <m/>
    <m/>
    <m/>
    <m/>
    <m/>
    <m/>
    <m/>
  </r>
  <r>
    <x v="49"/>
    <x v="11"/>
    <m/>
    <m/>
    <m/>
    <m/>
    <m/>
    <m/>
    <m/>
  </r>
  <r>
    <x v="49"/>
    <x v="12"/>
    <m/>
    <m/>
    <m/>
    <m/>
    <m/>
    <m/>
    <m/>
  </r>
  <r>
    <x v="50"/>
    <x v="0"/>
    <m/>
    <n v="0"/>
    <n v="4"/>
    <m/>
    <m/>
    <n v="10"/>
    <m/>
  </r>
  <r>
    <x v="50"/>
    <x v="1"/>
    <m/>
    <n v="6"/>
    <n v="28"/>
    <n v="10"/>
    <n v="8"/>
    <n v="32"/>
    <m/>
  </r>
  <r>
    <x v="50"/>
    <x v="2"/>
    <m/>
    <n v="15"/>
    <n v="40"/>
    <n v="7"/>
    <n v="8"/>
    <n v="20"/>
    <m/>
  </r>
  <r>
    <x v="50"/>
    <x v="3"/>
    <m/>
    <n v="12"/>
    <n v="30"/>
    <n v="3"/>
    <n v="8"/>
    <n v="10"/>
    <m/>
  </r>
  <r>
    <x v="50"/>
    <x v="4"/>
    <m/>
    <n v="10"/>
    <n v="36"/>
    <n v="0"/>
    <n v="8"/>
    <n v="24"/>
    <m/>
  </r>
  <r>
    <x v="50"/>
    <x v="5"/>
    <m/>
    <n v="10"/>
    <n v="36"/>
    <n v="3"/>
    <n v="8"/>
    <n v="20"/>
    <m/>
  </r>
  <r>
    <x v="50"/>
    <x v="6"/>
    <m/>
    <n v="16"/>
    <n v="40"/>
    <n v="3"/>
    <n v="8"/>
    <n v="25"/>
    <m/>
  </r>
  <r>
    <x v="50"/>
    <x v="7"/>
    <m/>
    <n v="10"/>
    <n v="37"/>
    <n v="3"/>
    <n v="8"/>
    <n v="25"/>
    <m/>
  </r>
  <r>
    <x v="50"/>
    <x v="8"/>
    <m/>
    <n v="11"/>
    <n v="38"/>
    <n v="3"/>
    <n v="8"/>
    <n v="30"/>
    <m/>
  </r>
  <r>
    <x v="50"/>
    <x v="9"/>
    <m/>
    <n v="5"/>
    <n v="36"/>
    <n v="3"/>
    <n v="8"/>
    <n v="30"/>
    <m/>
  </r>
  <r>
    <x v="50"/>
    <x v="10"/>
    <m/>
    <n v="5"/>
    <n v="38"/>
    <n v="3"/>
    <n v="8"/>
    <n v="29"/>
    <m/>
  </r>
  <r>
    <x v="50"/>
    <x v="11"/>
    <m/>
    <m/>
    <m/>
    <m/>
    <m/>
    <m/>
    <m/>
  </r>
  <r>
    <x v="50"/>
    <x v="12"/>
    <m/>
    <m/>
    <m/>
    <m/>
    <m/>
    <m/>
    <m/>
  </r>
  <r>
    <x v="51"/>
    <x v="0"/>
    <n v="3"/>
    <n v="0"/>
    <n v="0"/>
    <n v="0"/>
    <n v="4"/>
    <n v="28"/>
    <m/>
  </r>
  <r>
    <x v="51"/>
    <x v="1"/>
    <n v="9"/>
    <n v="5"/>
    <n v="5"/>
    <n v="5"/>
    <n v="5"/>
    <n v="56"/>
    <m/>
  </r>
  <r>
    <x v="51"/>
    <x v="2"/>
    <n v="8"/>
    <n v="6"/>
    <n v="6"/>
    <n v="0"/>
    <n v="0"/>
    <n v="40"/>
    <m/>
  </r>
  <r>
    <x v="51"/>
    <x v="3"/>
    <n v="13"/>
    <n v="0"/>
    <n v="3"/>
    <n v="0"/>
    <n v="7"/>
    <n v="33"/>
    <m/>
  </r>
  <r>
    <x v="51"/>
    <x v="4"/>
    <n v="7"/>
    <n v="0"/>
    <n v="4"/>
    <n v="0"/>
    <n v="0"/>
    <n v="52"/>
    <m/>
  </r>
  <r>
    <x v="51"/>
    <x v="5"/>
    <n v="1"/>
    <n v="6"/>
    <n v="6"/>
    <n v="0"/>
    <n v="0"/>
    <n v="14"/>
    <m/>
  </r>
  <r>
    <x v="51"/>
    <x v="6"/>
    <n v="5"/>
    <n v="6"/>
    <n v="3"/>
    <n v="0"/>
    <n v="0"/>
    <n v="25"/>
    <m/>
  </r>
  <r>
    <x v="51"/>
    <x v="7"/>
    <n v="2"/>
    <n v="0"/>
    <n v="0"/>
    <n v="0"/>
    <n v="0"/>
    <n v="46"/>
    <m/>
  </r>
  <r>
    <x v="51"/>
    <x v="8"/>
    <n v="11"/>
    <n v="6"/>
    <n v="2"/>
    <n v="0"/>
    <n v="4"/>
    <n v="37"/>
    <m/>
  </r>
  <r>
    <x v="51"/>
    <x v="9"/>
    <n v="1"/>
    <n v="0"/>
    <n v="3"/>
    <n v="0"/>
    <n v="2"/>
    <n v="13"/>
    <m/>
  </r>
  <r>
    <x v="51"/>
    <x v="10"/>
    <n v="2"/>
    <n v="0"/>
    <n v="0"/>
    <n v="0"/>
    <n v="2"/>
    <n v="32"/>
    <m/>
  </r>
  <r>
    <x v="51"/>
    <x v="11"/>
    <n v="70"/>
    <n v="0"/>
    <n v="0"/>
    <n v="0"/>
    <n v="50"/>
    <n v="89"/>
    <m/>
  </r>
  <r>
    <x v="51"/>
    <x v="12"/>
    <n v="0"/>
    <n v="0"/>
    <n v="0"/>
    <n v="0"/>
    <n v="0"/>
    <n v="0"/>
    <m/>
  </r>
  <r>
    <x v="52"/>
    <x v="0"/>
    <m/>
    <m/>
    <m/>
    <m/>
    <m/>
    <m/>
    <m/>
  </r>
  <r>
    <x v="52"/>
    <x v="1"/>
    <m/>
    <m/>
    <m/>
    <m/>
    <m/>
    <m/>
    <m/>
  </r>
  <r>
    <x v="52"/>
    <x v="2"/>
    <m/>
    <m/>
    <m/>
    <m/>
    <m/>
    <m/>
    <m/>
  </r>
  <r>
    <x v="52"/>
    <x v="3"/>
    <m/>
    <m/>
    <m/>
    <m/>
    <m/>
    <m/>
    <m/>
  </r>
  <r>
    <x v="52"/>
    <x v="4"/>
    <m/>
    <m/>
    <m/>
    <m/>
    <m/>
    <m/>
    <m/>
  </r>
  <r>
    <x v="52"/>
    <x v="5"/>
    <m/>
    <m/>
    <m/>
    <m/>
    <m/>
    <m/>
    <m/>
  </r>
  <r>
    <x v="52"/>
    <x v="6"/>
    <m/>
    <m/>
    <m/>
    <m/>
    <m/>
    <n v="3"/>
    <m/>
  </r>
  <r>
    <x v="52"/>
    <x v="7"/>
    <m/>
    <m/>
    <n v="3"/>
    <m/>
    <m/>
    <m/>
    <m/>
  </r>
  <r>
    <x v="52"/>
    <x v="8"/>
    <m/>
    <m/>
    <n v="3"/>
    <m/>
    <m/>
    <n v="1"/>
    <m/>
  </r>
  <r>
    <x v="52"/>
    <x v="9"/>
    <m/>
    <m/>
    <n v="4"/>
    <m/>
    <m/>
    <m/>
    <m/>
  </r>
  <r>
    <x v="52"/>
    <x v="10"/>
    <m/>
    <m/>
    <n v="1"/>
    <m/>
    <m/>
    <n v="2"/>
    <m/>
  </r>
  <r>
    <x v="52"/>
    <x v="11"/>
    <m/>
    <m/>
    <n v="2"/>
    <m/>
    <m/>
    <n v="1"/>
    <m/>
  </r>
  <r>
    <x v="52"/>
    <x v="12"/>
    <m/>
    <m/>
    <n v="1"/>
    <m/>
    <m/>
    <m/>
    <m/>
  </r>
  <r>
    <x v="53"/>
    <x v="0"/>
    <m/>
    <m/>
    <m/>
    <m/>
    <m/>
    <m/>
    <m/>
  </r>
  <r>
    <x v="53"/>
    <x v="1"/>
    <m/>
    <n v="4"/>
    <n v="14"/>
    <m/>
    <m/>
    <n v="3"/>
    <m/>
  </r>
  <r>
    <x v="53"/>
    <x v="2"/>
    <n v="8"/>
    <n v="7"/>
    <n v="22"/>
    <n v="5"/>
    <n v="5"/>
    <n v="20"/>
    <m/>
  </r>
  <r>
    <x v="53"/>
    <x v="3"/>
    <m/>
    <n v="2"/>
    <n v="8"/>
    <m/>
    <n v="19"/>
    <n v="12"/>
    <m/>
  </r>
  <r>
    <x v="53"/>
    <x v="4"/>
    <m/>
    <n v="2"/>
    <n v="25"/>
    <n v="5"/>
    <n v="12"/>
    <n v="17"/>
    <m/>
  </r>
  <r>
    <x v="53"/>
    <x v="5"/>
    <n v="2"/>
    <n v="7"/>
    <n v="8"/>
    <n v="2"/>
    <n v="2"/>
    <n v="5"/>
    <m/>
  </r>
  <r>
    <x v="53"/>
    <x v="6"/>
    <n v="8"/>
    <n v="7"/>
    <n v="55"/>
    <n v="5"/>
    <n v="13"/>
    <n v="32"/>
    <m/>
  </r>
  <r>
    <x v="53"/>
    <x v="7"/>
    <n v="2"/>
    <n v="6"/>
    <n v="5"/>
    <n v="2"/>
    <n v="2"/>
    <n v="4"/>
    <m/>
  </r>
  <r>
    <x v="53"/>
    <x v="8"/>
    <n v="8"/>
    <n v="7"/>
    <n v="52"/>
    <n v="5"/>
    <n v="13"/>
    <n v="21"/>
    <m/>
  </r>
  <r>
    <x v="53"/>
    <x v="9"/>
    <n v="2"/>
    <n v="7"/>
    <n v="6"/>
    <n v="2"/>
    <n v="2"/>
    <n v="2"/>
    <m/>
  </r>
  <r>
    <x v="53"/>
    <x v="10"/>
    <m/>
    <n v="4"/>
    <n v="4"/>
    <m/>
    <m/>
    <m/>
    <m/>
  </r>
  <r>
    <x v="53"/>
    <x v="11"/>
    <m/>
    <m/>
    <m/>
    <m/>
    <m/>
    <m/>
    <m/>
  </r>
  <r>
    <x v="53"/>
    <x v="12"/>
    <m/>
    <m/>
    <m/>
    <m/>
    <m/>
    <m/>
    <m/>
  </r>
  <r>
    <x v="54"/>
    <x v="0"/>
    <m/>
    <m/>
    <m/>
    <m/>
    <m/>
    <m/>
    <m/>
  </r>
  <r>
    <x v="54"/>
    <x v="1"/>
    <m/>
    <m/>
    <m/>
    <m/>
    <m/>
    <m/>
    <m/>
  </r>
  <r>
    <x v="54"/>
    <x v="2"/>
    <m/>
    <m/>
    <m/>
    <m/>
    <m/>
    <m/>
    <m/>
  </r>
  <r>
    <x v="54"/>
    <x v="3"/>
    <m/>
    <m/>
    <m/>
    <m/>
    <m/>
    <m/>
    <m/>
  </r>
  <r>
    <x v="54"/>
    <x v="4"/>
    <m/>
    <m/>
    <m/>
    <m/>
    <m/>
    <m/>
    <m/>
  </r>
  <r>
    <x v="54"/>
    <x v="5"/>
    <m/>
    <m/>
    <m/>
    <m/>
    <m/>
    <n v="1"/>
    <m/>
  </r>
  <r>
    <x v="54"/>
    <x v="6"/>
    <m/>
    <m/>
    <m/>
    <m/>
    <m/>
    <m/>
    <m/>
  </r>
  <r>
    <x v="54"/>
    <x v="7"/>
    <m/>
    <m/>
    <m/>
    <m/>
    <m/>
    <n v="2"/>
    <m/>
  </r>
  <r>
    <x v="54"/>
    <x v="8"/>
    <m/>
    <m/>
    <m/>
    <m/>
    <m/>
    <n v="1"/>
    <m/>
  </r>
  <r>
    <x v="54"/>
    <x v="9"/>
    <m/>
    <m/>
    <m/>
    <m/>
    <m/>
    <m/>
    <m/>
  </r>
  <r>
    <x v="54"/>
    <x v="10"/>
    <m/>
    <m/>
    <m/>
    <m/>
    <m/>
    <n v="7"/>
    <m/>
  </r>
  <r>
    <x v="54"/>
    <x v="11"/>
    <m/>
    <m/>
    <m/>
    <m/>
    <m/>
    <m/>
    <m/>
  </r>
  <r>
    <x v="54"/>
    <x v="12"/>
    <m/>
    <m/>
    <m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6">
  <r>
    <x v="0"/>
    <x v="0"/>
    <m/>
    <m/>
    <m/>
    <m/>
    <m/>
    <m/>
    <m/>
    <m/>
    <m/>
    <n v="0"/>
  </r>
  <r>
    <x v="0"/>
    <x v="1"/>
    <m/>
    <m/>
    <m/>
    <m/>
    <m/>
    <m/>
    <m/>
    <m/>
    <m/>
    <n v="0"/>
  </r>
  <r>
    <x v="0"/>
    <x v="2"/>
    <m/>
    <m/>
    <m/>
    <m/>
    <m/>
    <m/>
    <m/>
    <m/>
    <m/>
    <n v="0"/>
  </r>
  <r>
    <x v="0"/>
    <x v="3"/>
    <m/>
    <m/>
    <m/>
    <m/>
    <m/>
    <m/>
    <m/>
    <m/>
    <m/>
    <n v="0"/>
  </r>
  <r>
    <x v="0"/>
    <x v="4"/>
    <m/>
    <m/>
    <m/>
    <m/>
    <m/>
    <m/>
    <m/>
    <m/>
    <m/>
    <n v="0"/>
  </r>
  <r>
    <x v="0"/>
    <x v="5"/>
    <m/>
    <m/>
    <m/>
    <m/>
    <m/>
    <m/>
    <m/>
    <m/>
    <m/>
    <n v="0"/>
  </r>
  <r>
    <x v="0"/>
    <x v="6"/>
    <m/>
    <m/>
    <m/>
    <m/>
    <m/>
    <m/>
    <m/>
    <m/>
    <m/>
    <n v="0"/>
  </r>
  <r>
    <x v="0"/>
    <x v="7"/>
    <m/>
    <m/>
    <m/>
    <m/>
    <m/>
    <m/>
    <m/>
    <m/>
    <m/>
    <n v="0"/>
  </r>
  <r>
    <x v="0"/>
    <x v="8"/>
    <m/>
    <m/>
    <m/>
    <m/>
    <m/>
    <m/>
    <m/>
    <m/>
    <m/>
    <n v="0"/>
  </r>
  <r>
    <x v="0"/>
    <x v="9"/>
    <m/>
    <m/>
    <m/>
    <m/>
    <m/>
    <m/>
    <m/>
    <m/>
    <m/>
    <n v="0"/>
  </r>
  <r>
    <x v="0"/>
    <x v="10"/>
    <m/>
    <m/>
    <m/>
    <m/>
    <m/>
    <m/>
    <m/>
    <m/>
    <m/>
    <n v="0"/>
  </r>
  <r>
    <x v="0"/>
    <x v="11"/>
    <m/>
    <m/>
    <m/>
    <m/>
    <m/>
    <m/>
    <m/>
    <m/>
    <m/>
    <n v="0"/>
  </r>
  <r>
    <x v="0"/>
    <x v="12"/>
    <m/>
    <m/>
    <m/>
    <m/>
    <m/>
    <m/>
    <m/>
    <m/>
    <m/>
    <n v="0"/>
  </r>
  <r>
    <x v="0"/>
    <x v="13"/>
    <m/>
    <m/>
    <m/>
    <m/>
    <m/>
    <m/>
    <m/>
    <m/>
    <m/>
    <n v="0"/>
  </r>
  <r>
    <x v="0"/>
    <x v="14"/>
    <m/>
    <m/>
    <m/>
    <m/>
    <m/>
    <m/>
    <m/>
    <m/>
    <m/>
    <n v="0"/>
  </r>
  <r>
    <x v="0"/>
    <x v="15"/>
    <m/>
    <m/>
    <m/>
    <m/>
    <m/>
    <m/>
    <m/>
    <m/>
    <m/>
    <n v="0"/>
  </r>
  <r>
    <x v="0"/>
    <x v="16"/>
    <m/>
    <m/>
    <m/>
    <m/>
    <m/>
    <m/>
    <m/>
    <m/>
    <m/>
    <n v="0"/>
  </r>
  <r>
    <x v="0"/>
    <x v="17"/>
    <m/>
    <m/>
    <m/>
    <m/>
    <m/>
    <m/>
    <m/>
    <m/>
    <m/>
    <n v="0"/>
  </r>
  <r>
    <x v="0"/>
    <x v="18"/>
    <m/>
    <m/>
    <m/>
    <m/>
    <m/>
    <m/>
    <m/>
    <m/>
    <m/>
    <n v="0"/>
  </r>
  <r>
    <x v="0"/>
    <x v="19"/>
    <m/>
    <m/>
    <m/>
    <m/>
    <m/>
    <m/>
    <m/>
    <m/>
    <m/>
    <n v="0"/>
  </r>
  <r>
    <x v="0"/>
    <x v="20"/>
    <m/>
    <m/>
    <n v="14"/>
    <n v="14"/>
    <m/>
    <m/>
    <m/>
    <n v="2"/>
    <m/>
    <n v="30"/>
  </r>
  <r>
    <x v="0"/>
    <x v="21"/>
    <m/>
    <m/>
    <m/>
    <m/>
    <m/>
    <m/>
    <m/>
    <m/>
    <m/>
    <n v="0"/>
  </r>
  <r>
    <x v="0"/>
    <x v="22"/>
    <m/>
    <m/>
    <m/>
    <m/>
    <m/>
    <m/>
    <m/>
    <m/>
    <m/>
    <n v="0"/>
  </r>
  <r>
    <x v="0"/>
    <x v="23"/>
    <m/>
    <m/>
    <m/>
    <m/>
    <m/>
    <m/>
    <m/>
    <m/>
    <m/>
    <n v="0"/>
  </r>
  <r>
    <x v="0"/>
    <x v="24"/>
    <m/>
    <m/>
    <m/>
    <m/>
    <m/>
    <m/>
    <m/>
    <m/>
    <m/>
    <n v="0"/>
  </r>
  <r>
    <x v="0"/>
    <x v="25"/>
    <m/>
    <m/>
    <m/>
    <m/>
    <m/>
    <m/>
    <m/>
    <m/>
    <m/>
    <n v="0"/>
  </r>
  <r>
    <x v="0"/>
    <x v="26"/>
    <m/>
    <m/>
    <n v="4"/>
    <n v="4"/>
    <n v="2"/>
    <n v="2"/>
    <n v="2"/>
    <n v="4"/>
    <m/>
    <n v="18"/>
  </r>
  <r>
    <x v="0"/>
    <x v="27"/>
    <m/>
    <m/>
    <m/>
    <m/>
    <m/>
    <m/>
    <m/>
    <m/>
    <m/>
    <n v="0"/>
  </r>
  <r>
    <x v="0"/>
    <x v="28"/>
    <m/>
    <m/>
    <m/>
    <m/>
    <m/>
    <m/>
    <m/>
    <m/>
    <m/>
    <n v="0"/>
  </r>
  <r>
    <x v="0"/>
    <x v="29"/>
    <m/>
    <m/>
    <m/>
    <m/>
    <m/>
    <m/>
    <m/>
    <m/>
    <m/>
    <n v="0"/>
  </r>
  <r>
    <x v="0"/>
    <x v="30"/>
    <m/>
    <m/>
    <m/>
    <m/>
    <m/>
    <m/>
    <m/>
    <m/>
    <m/>
    <n v="0"/>
  </r>
  <r>
    <x v="0"/>
    <x v="31"/>
    <n v="9"/>
    <n v="16"/>
    <n v="25"/>
    <n v="11"/>
    <n v="17"/>
    <n v="5"/>
    <n v="13"/>
    <n v="18"/>
    <n v="9"/>
    <n v="123"/>
  </r>
  <r>
    <x v="0"/>
    <x v="32"/>
    <m/>
    <m/>
    <m/>
    <m/>
    <m/>
    <m/>
    <m/>
    <m/>
    <m/>
    <n v="0"/>
  </r>
  <r>
    <x v="0"/>
    <x v="33"/>
    <m/>
    <m/>
    <m/>
    <m/>
    <m/>
    <m/>
    <m/>
    <m/>
    <m/>
    <n v="0"/>
  </r>
  <r>
    <x v="0"/>
    <x v="34"/>
    <m/>
    <m/>
    <m/>
    <m/>
    <m/>
    <m/>
    <m/>
    <m/>
    <m/>
    <n v="0"/>
  </r>
  <r>
    <x v="0"/>
    <x v="35"/>
    <m/>
    <m/>
    <m/>
    <m/>
    <m/>
    <m/>
    <m/>
    <m/>
    <m/>
    <n v="0"/>
  </r>
  <r>
    <x v="0"/>
    <x v="36"/>
    <m/>
    <m/>
    <m/>
    <m/>
    <m/>
    <m/>
    <m/>
    <m/>
    <m/>
    <n v="0"/>
  </r>
  <r>
    <x v="0"/>
    <x v="37"/>
    <m/>
    <m/>
    <m/>
    <m/>
    <m/>
    <m/>
    <m/>
    <m/>
    <m/>
    <n v="0"/>
  </r>
  <r>
    <x v="0"/>
    <x v="38"/>
    <m/>
    <m/>
    <n v="1"/>
    <n v="1"/>
    <m/>
    <m/>
    <m/>
    <m/>
    <m/>
    <n v="2"/>
  </r>
  <r>
    <x v="0"/>
    <x v="39"/>
    <m/>
    <m/>
    <m/>
    <m/>
    <m/>
    <m/>
    <m/>
    <m/>
    <m/>
    <n v="0"/>
  </r>
  <r>
    <x v="0"/>
    <x v="40"/>
    <m/>
    <m/>
    <m/>
    <m/>
    <m/>
    <m/>
    <m/>
    <m/>
    <m/>
    <n v="0"/>
  </r>
  <r>
    <x v="0"/>
    <x v="41"/>
    <m/>
    <m/>
    <m/>
    <m/>
    <m/>
    <m/>
    <m/>
    <m/>
    <m/>
    <n v="0"/>
  </r>
  <r>
    <x v="0"/>
    <x v="42"/>
    <m/>
    <m/>
    <m/>
    <m/>
    <m/>
    <m/>
    <m/>
    <m/>
    <m/>
    <n v="0"/>
  </r>
  <r>
    <x v="0"/>
    <x v="43"/>
    <m/>
    <m/>
    <m/>
    <m/>
    <m/>
    <m/>
    <m/>
    <m/>
    <m/>
    <n v="0"/>
  </r>
  <r>
    <x v="0"/>
    <x v="44"/>
    <m/>
    <m/>
    <m/>
    <m/>
    <m/>
    <m/>
    <m/>
    <m/>
    <m/>
    <n v="0"/>
  </r>
  <r>
    <x v="0"/>
    <x v="45"/>
    <m/>
    <m/>
    <m/>
    <m/>
    <m/>
    <m/>
    <m/>
    <m/>
    <m/>
    <n v="0"/>
  </r>
  <r>
    <x v="0"/>
    <x v="46"/>
    <m/>
    <m/>
    <m/>
    <m/>
    <m/>
    <m/>
    <m/>
    <m/>
    <m/>
    <n v="0"/>
  </r>
  <r>
    <x v="0"/>
    <x v="47"/>
    <m/>
    <m/>
    <m/>
    <m/>
    <m/>
    <m/>
    <m/>
    <m/>
    <m/>
    <n v="0"/>
  </r>
  <r>
    <x v="0"/>
    <x v="48"/>
    <m/>
    <m/>
    <m/>
    <m/>
    <m/>
    <m/>
    <m/>
    <m/>
    <m/>
    <n v="0"/>
  </r>
  <r>
    <x v="0"/>
    <x v="49"/>
    <m/>
    <m/>
    <m/>
    <m/>
    <m/>
    <m/>
    <m/>
    <m/>
    <m/>
    <n v="0"/>
  </r>
  <r>
    <x v="0"/>
    <x v="50"/>
    <m/>
    <m/>
    <m/>
    <m/>
    <m/>
    <m/>
    <m/>
    <m/>
    <m/>
    <n v="0"/>
  </r>
  <r>
    <x v="0"/>
    <x v="51"/>
    <m/>
    <m/>
    <m/>
    <m/>
    <m/>
    <m/>
    <m/>
    <m/>
    <m/>
    <n v="0"/>
  </r>
  <r>
    <x v="1"/>
    <x v="0"/>
    <m/>
    <m/>
    <m/>
    <m/>
    <m/>
    <m/>
    <m/>
    <m/>
    <m/>
    <n v="0"/>
  </r>
  <r>
    <x v="1"/>
    <x v="1"/>
    <n v="8"/>
    <n v="10"/>
    <n v="10"/>
    <m/>
    <m/>
    <m/>
    <m/>
    <n v="10"/>
    <n v="2"/>
    <n v="40"/>
  </r>
  <r>
    <x v="1"/>
    <x v="2"/>
    <n v="6"/>
    <n v="10"/>
    <n v="10"/>
    <m/>
    <m/>
    <m/>
    <m/>
    <n v="10"/>
    <n v="2"/>
    <n v="38"/>
  </r>
  <r>
    <x v="1"/>
    <x v="3"/>
    <m/>
    <m/>
    <m/>
    <m/>
    <m/>
    <m/>
    <m/>
    <m/>
    <m/>
    <n v="0"/>
  </r>
  <r>
    <x v="1"/>
    <x v="4"/>
    <n v="20"/>
    <n v="20"/>
    <n v="20"/>
    <m/>
    <m/>
    <m/>
    <m/>
    <n v="20"/>
    <n v="4"/>
    <n v="84"/>
  </r>
  <r>
    <x v="1"/>
    <x v="5"/>
    <m/>
    <m/>
    <m/>
    <m/>
    <m/>
    <m/>
    <m/>
    <m/>
    <m/>
    <n v="0"/>
  </r>
  <r>
    <x v="1"/>
    <x v="6"/>
    <m/>
    <m/>
    <m/>
    <m/>
    <m/>
    <m/>
    <m/>
    <m/>
    <m/>
    <n v="0"/>
  </r>
  <r>
    <x v="1"/>
    <x v="7"/>
    <m/>
    <m/>
    <m/>
    <m/>
    <m/>
    <m/>
    <m/>
    <m/>
    <m/>
    <n v="0"/>
  </r>
  <r>
    <x v="1"/>
    <x v="8"/>
    <n v="8"/>
    <n v="10"/>
    <n v="10"/>
    <m/>
    <m/>
    <m/>
    <m/>
    <n v="10"/>
    <n v="2"/>
    <n v="40"/>
  </r>
  <r>
    <x v="1"/>
    <x v="9"/>
    <n v="4"/>
    <n v="2"/>
    <n v="4"/>
    <m/>
    <m/>
    <m/>
    <m/>
    <n v="4"/>
    <n v="2"/>
    <n v="16"/>
  </r>
  <r>
    <x v="1"/>
    <x v="10"/>
    <m/>
    <m/>
    <m/>
    <m/>
    <m/>
    <m/>
    <m/>
    <m/>
    <m/>
    <n v="0"/>
  </r>
  <r>
    <x v="1"/>
    <x v="11"/>
    <n v="2"/>
    <m/>
    <n v="1"/>
    <m/>
    <m/>
    <m/>
    <m/>
    <n v="1"/>
    <m/>
    <n v="4"/>
  </r>
  <r>
    <x v="1"/>
    <x v="12"/>
    <n v="6"/>
    <n v="8"/>
    <n v="6"/>
    <m/>
    <m/>
    <m/>
    <m/>
    <n v="6"/>
    <n v="4"/>
    <n v="30"/>
  </r>
  <r>
    <x v="1"/>
    <x v="13"/>
    <m/>
    <m/>
    <m/>
    <m/>
    <m/>
    <m/>
    <m/>
    <m/>
    <m/>
    <n v="0"/>
  </r>
  <r>
    <x v="1"/>
    <x v="14"/>
    <m/>
    <m/>
    <m/>
    <m/>
    <m/>
    <m/>
    <m/>
    <m/>
    <m/>
    <n v="0"/>
  </r>
  <r>
    <x v="1"/>
    <x v="15"/>
    <n v="12"/>
    <n v="14"/>
    <n v="10"/>
    <m/>
    <m/>
    <m/>
    <m/>
    <n v="10"/>
    <n v="6"/>
    <n v="52"/>
  </r>
  <r>
    <x v="1"/>
    <x v="16"/>
    <m/>
    <m/>
    <m/>
    <m/>
    <m/>
    <m/>
    <m/>
    <m/>
    <m/>
    <n v="0"/>
  </r>
  <r>
    <x v="1"/>
    <x v="17"/>
    <m/>
    <m/>
    <m/>
    <m/>
    <m/>
    <m/>
    <m/>
    <m/>
    <m/>
    <n v="0"/>
  </r>
  <r>
    <x v="1"/>
    <x v="18"/>
    <m/>
    <m/>
    <m/>
    <m/>
    <m/>
    <m/>
    <m/>
    <m/>
    <m/>
    <n v="0"/>
  </r>
  <r>
    <x v="1"/>
    <x v="19"/>
    <m/>
    <m/>
    <m/>
    <m/>
    <m/>
    <m/>
    <m/>
    <m/>
    <m/>
    <n v="0"/>
  </r>
  <r>
    <x v="1"/>
    <x v="20"/>
    <m/>
    <m/>
    <m/>
    <m/>
    <m/>
    <m/>
    <m/>
    <m/>
    <m/>
    <n v="0"/>
  </r>
  <r>
    <x v="1"/>
    <x v="21"/>
    <m/>
    <m/>
    <m/>
    <m/>
    <m/>
    <m/>
    <m/>
    <m/>
    <m/>
    <n v="0"/>
  </r>
  <r>
    <x v="1"/>
    <x v="22"/>
    <m/>
    <m/>
    <m/>
    <m/>
    <m/>
    <m/>
    <m/>
    <m/>
    <m/>
    <n v="0"/>
  </r>
  <r>
    <x v="1"/>
    <x v="23"/>
    <m/>
    <m/>
    <m/>
    <m/>
    <m/>
    <m/>
    <m/>
    <m/>
    <m/>
    <n v="0"/>
  </r>
  <r>
    <x v="1"/>
    <x v="24"/>
    <m/>
    <m/>
    <m/>
    <m/>
    <m/>
    <m/>
    <m/>
    <m/>
    <m/>
    <n v="0"/>
  </r>
  <r>
    <x v="1"/>
    <x v="25"/>
    <n v="8"/>
    <n v="10"/>
    <n v="10"/>
    <m/>
    <m/>
    <m/>
    <m/>
    <n v="10"/>
    <n v="6"/>
    <n v="44"/>
  </r>
  <r>
    <x v="1"/>
    <x v="26"/>
    <m/>
    <m/>
    <m/>
    <m/>
    <m/>
    <m/>
    <m/>
    <m/>
    <m/>
    <n v="0"/>
  </r>
  <r>
    <x v="1"/>
    <x v="27"/>
    <m/>
    <m/>
    <m/>
    <m/>
    <m/>
    <m/>
    <m/>
    <m/>
    <m/>
    <n v="0"/>
  </r>
  <r>
    <x v="1"/>
    <x v="28"/>
    <m/>
    <m/>
    <m/>
    <m/>
    <m/>
    <m/>
    <m/>
    <m/>
    <m/>
    <n v="0"/>
  </r>
  <r>
    <x v="1"/>
    <x v="29"/>
    <m/>
    <m/>
    <m/>
    <m/>
    <m/>
    <m/>
    <m/>
    <m/>
    <m/>
    <n v="0"/>
  </r>
  <r>
    <x v="1"/>
    <x v="30"/>
    <m/>
    <m/>
    <m/>
    <m/>
    <m/>
    <m/>
    <m/>
    <m/>
    <m/>
    <n v="0"/>
  </r>
  <r>
    <x v="1"/>
    <x v="31"/>
    <m/>
    <m/>
    <m/>
    <m/>
    <m/>
    <m/>
    <m/>
    <m/>
    <m/>
    <n v="0"/>
  </r>
  <r>
    <x v="1"/>
    <x v="32"/>
    <n v="2"/>
    <n v="4"/>
    <n v="4"/>
    <m/>
    <m/>
    <m/>
    <m/>
    <n v="4"/>
    <n v="2"/>
    <n v="16"/>
  </r>
  <r>
    <x v="1"/>
    <x v="33"/>
    <m/>
    <m/>
    <m/>
    <m/>
    <m/>
    <m/>
    <m/>
    <m/>
    <m/>
    <n v="0"/>
  </r>
  <r>
    <x v="1"/>
    <x v="34"/>
    <m/>
    <m/>
    <m/>
    <m/>
    <m/>
    <m/>
    <m/>
    <m/>
    <m/>
    <n v="0"/>
  </r>
  <r>
    <x v="1"/>
    <x v="35"/>
    <n v="10"/>
    <n v="16"/>
    <n v="16"/>
    <m/>
    <m/>
    <m/>
    <m/>
    <n v="6"/>
    <n v="10"/>
    <n v="58"/>
  </r>
  <r>
    <x v="1"/>
    <x v="36"/>
    <n v="6"/>
    <n v="8"/>
    <n v="6"/>
    <m/>
    <m/>
    <m/>
    <m/>
    <n v="6"/>
    <n v="6"/>
    <n v="32"/>
  </r>
  <r>
    <x v="1"/>
    <x v="37"/>
    <n v="10"/>
    <n v="10"/>
    <n v="10"/>
    <m/>
    <m/>
    <m/>
    <m/>
    <n v="10"/>
    <n v="10"/>
    <n v="50"/>
  </r>
  <r>
    <x v="1"/>
    <x v="38"/>
    <m/>
    <m/>
    <m/>
    <m/>
    <m/>
    <m/>
    <m/>
    <m/>
    <m/>
    <n v="0"/>
  </r>
  <r>
    <x v="1"/>
    <x v="39"/>
    <m/>
    <m/>
    <m/>
    <m/>
    <m/>
    <m/>
    <m/>
    <m/>
    <m/>
    <n v="0"/>
  </r>
  <r>
    <x v="1"/>
    <x v="40"/>
    <m/>
    <m/>
    <m/>
    <m/>
    <m/>
    <m/>
    <m/>
    <m/>
    <m/>
    <n v="0"/>
  </r>
  <r>
    <x v="1"/>
    <x v="41"/>
    <m/>
    <m/>
    <m/>
    <m/>
    <m/>
    <m/>
    <m/>
    <m/>
    <m/>
    <n v="0"/>
  </r>
  <r>
    <x v="1"/>
    <x v="42"/>
    <n v="18"/>
    <n v="20"/>
    <n v="16"/>
    <m/>
    <m/>
    <m/>
    <m/>
    <n v="16"/>
    <n v="20"/>
    <n v="90"/>
  </r>
  <r>
    <x v="1"/>
    <x v="43"/>
    <n v="10"/>
    <n v="12"/>
    <n v="12"/>
    <m/>
    <m/>
    <m/>
    <m/>
    <n v="8"/>
    <n v="10"/>
    <n v="52"/>
  </r>
  <r>
    <x v="1"/>
    <x v="44"/>
    <m/>
    <m/>
    <m/>
    <m/>
    <m/>
    <m/>
    <m/>
    <m/>
    <m/>
    <n v="0"/>
  </r>
  <r>
    <x v="1"/>
    <x v="45"/>
    <m/>
    <m/>
    <m/>
    <m/>
    <m/>
    <m/>
    <m/>
    <m/>
    <m/>
    <n v="0"/>
  </r>
  <r>
    <x v="1"/>
    <x v="46"/>
    <m/>
    <m/>
    <m/>
    <m/>
    <m/>
    <m/>
    <m/>
    <m/>
    <m/>
    <n v="0"/>
  </r>
  <r>
    <x v="1"/>
    <x v="47"/>
    <m/>
    <m/>
    <m/>
    <m/>
    <m/>
    <m/>
    <m/>
    <m/>
    <m/>
    <n v="0"/>
  </r>
  <r>
    <x v="1"/>
    <x v="48"/>
    <m/>
    <m/>
    <m/>
    <m/>
    <m/>
    <m/>
    <m/>
    <m/>
    <m/>
    <n v="0"/>
  </r>
  <r>
    <x v="1"/>
    <x v="49"/>
    <m/>
    <m/>
    <m/>
    <m/>
    <m/>
    <m/>
    <m/>
    <m/>
    <m/>
    <n v="0"/>
  </r>
  <r>
    <x v="1"/>
    <x v="50"/>
    <n v="6"/>
    <n v="8"/>
    <n v="6"/>
    <m/>
    <m/>
    <m/>
    <m/>
    <n v="6"/>
    <n v="6"/>
    <n v="32"/>
  </r>
  <r>
    <x v="1"/>
    <x v="51"/>
    <n v="8"/>
    <n v="12"/>
    <n v="10"/>
    <m/>
    <m/>
    <m/>
    <m/>
    <n v="8"/>
    <n v="6"/>
    <n v="44"/>
  </r>
  <r>
    <x v="2"/>
    <x v="0"/>
    <m/>
    <m/>
    <m/>
    <m/>
    <m/>
    <m/>
    <m/>
    <m/>
    <m/>
    <n v="0"/>
  </r>
  <r>
    <x v="2"/>
    <x v="1"/>
    <m/>
    <m/>
    <m/>
    <m/>
    <m/>
    <m/>
    <m/>
    <m/>
    <m/>
    <n v="0"/>
  </r>
  <r>
    <x v="2"/>
    <x v="2"/>
    <m/>
    <m/>
    <m/>
    <m/>
    <m/>
    <m/>
    <m/>
    <m/>
    <m/>
    <n v="0"/>
  </r>
  <r>
    <x v="2"/>
    <x v="3"/>
    <m/>
    <m/>
    <m/>
    <m/>
    <m/>
    <m/>
    <m/>
    <m/>
    <m/>
    <n v="0"/>
  </r>
  <r>
    <x v="2"/>
    <x v="4"/>
    <m/>
    <m/>
    <m/>
    <m/>
    <m/>
    <m/>
    <m/>
    <m/>
    <m/>
    <n v="0"/>
  </r>
  <r>
    <x v="2"/>
    <x v="5"/>
    <m/>
    <m/>
    <m/>
    <m/>
    <m/>
    <m/>
    <m/>
    <m/>
    <m/>
    <n v="0"/>
  </r>
  <r>
    <x v="2"/>
    <x v="6"/>
    <m/>
    <m/>
    <m/>
    <m/>
    <m/>
    <m/>
    <m/>
    <m/>
    <m/>
    <n v="0"/>
  </r>
  <r>
    <x v="2"/>
    <x v="7"/>
    <m/>
    <m/>
    <m/>
    <m/>
    <m/>
    <m/>
    <m/>
    <m/>
    <m/>
    <n v="0"/>
  </r>
  <r>
    <x v="2"/>
    <x v="8"/>
    <m/>
    <m/>
    <m/>
    <m/>
    <m/>
    <m/>
    <m/>
    <m/>
    <m/>
    <n v="0"/>
  </r>
  <r>
    <x v="2"/>
    <x v="9"/>
    <m/>
    <m/>
    <m/>
    <m/>
    <m/>
    <m/>
    <m/>
    <m/>
    <m/>
    <n v="0"/>
  </r>
  <r>
    <x v="2"/>
    <x v="10"/>
    <m/>
    <m/>
    <m/>
    <m/>
    <m/>
    <m/>
    <m/>
    <m/>
    <m/>
    <n v="0"/>
  </r>
  <r>
    <x v="2"/>
    <x v="11"/>
    <m/>
    <m/>
    <m/>
    <m/>
    <m/>
    <m/>
    <m/>
    <m/>
    <m/>
    <n v="0"/>
  </r>
  <r>
    <x v="2"/>
    <x v="12"/>
    <m/>
    <m/>
    <m/>
    <m/>
    <m/>
    <m/>
    <m/>
    <m/>
    <m/>
    <n v="0"/>
  </r>
  <r>
    <x v="2"/>
    <x v="13"/>
    <m/>
    <m/>
    <m/>
    <m/>
    <m/>
    <m/>
    <m/>
    <m/>
    <m/>
    <n v="0"/>
  </r>
  <r>
    <x v="2"/>
    <x v="14"/>
    <m/>
    <m/>
    <m/>
    <m/>
    <m/>
    <m/>
    <m/>
    <m/>
    <m/>
    <n v="0"/>
  </r>
  <r>
    <x v="2"/>
    <x v="15"/>
    <m/>
    <m/>
    <m/>
    <m/>
    <m/>
    <m/>
    <m/>
    <m/>
    <m/>
    <n v="0"/>
  </r>
  <r>
    <x v="2"/>
    <x v="16"/>
    <m/>
    <m/>
    <m/>
    <m/>
    <m/>
    <m/>
    <m/>
    <m/>
    <m/>
    <n v="0"/>
  </r>
  <r>
    <x v="2"/>
    <x v="17"/>
    <m/>
    <m/>
    <m/>
    <m/>
    <m/>
    <m/>
    <m/>
    <m/>
    <m/>
    <n v="0"/>
  </r>
  <r>
    <x v="2"/>
    <x v="18"/>
    <m/>
    <m/>
    <m/>
    <m/>
    <m/>
    <m/>
    <m/>
    <m/>
    <m/>
    <n v="0"/>
  </r>
  <r>
    <x v="2"/>
    <x v="19"/>
    <m/>
    <m/>
    <m/>
    <m/>
    <m/>
    <m/>
    <m/>
    <m/>
    <m/>
    <n v="0"/>
  </r>
  <r>
    <x v="2"/>
    <x v="20"/>
    <m/>
    <m/>
    <m/>
    <m/>
    <m/>
    <m/>
    <m/>
    <m/>
    <m/>
    <n v="0"/>
  </r>
  <r>
    <x v="2"/>
    <x v="21"/>
    <m/>
    <m/>
    <m/>
    <m/>
    <m/>
    <m/>
    <m/>
    <m/>
    <m/>
    <n v="0"/>
  </r>
  <r>
    <x v="2"/>
    <x v="22"/>
    <m/>
    <m/>
    <m/>
    <m/>
    <m/>
    <m/>
    <m/>
    <m/>
    <m/>
    <n v="0"/>
  </r>
  <r>
    <x v="2"/>
    <x v="23"/>
    <m/>
    <m/>
    <m/>
    <m/>
    <m/>
    <m/>
    <m/>
    <m/>
    <m/>
    <n v="0"/>
  </r>
  <r>
    <x v="2"/>
    <x v="24"/>
    <m/>
    <m/>
    <m/>
    <m/>
    <m/>
    <m/>
    <m/>
    <m/>
    <m/>
    <n v="0"/>
  </r>
  <r>
    <x v="2"/>
    <x v="25"/>
    <m/>
    <m/>
    <m/>
    <m/>
    <m/>
    <m/>
    <m/>
    <m/>
    <m/>
    <n v="0"/>
  </r>
  <r>
    <x v="2"/>
    <x v="26"/>
    <m/>
    <m/>
    <m/>
    <m/>
    <m/>
    <m/>
    <m/>
    <m/>
    <m/>
    <n v="0"/>
  </r>
  <r>
    <x v="2"/>
    <x v="27"/>
    <m/>
    <m/>
    <m/>
    <m/>
    <m/>
    <m/>
    <m/>
    <m/>
    <m/>
    <n v="0"/>
  </r>
  <r>
    <x v="2"/>
    <x v="28"/>
    <m/>
    <m/>
    <m/>
    <m/>
    <m/>
    <m/>
    <m/>
    <m/>
    <m/>
    <n v="0"/>
  </r>
  <r>
    <x v="2"/>
    <x v="29"/>
    <m/>
    <m/>
    <m/>
    <m/>
    <m/>
    <m/>
    <m/>
    <m/>
    <m/>
    <n v="0"/>
  </r>
  <r>
    <x v="2"/>
    <x v="30"/>
    <m/>
    <m/>
    <m/>
    <m/>
    <m/>
    <m/>
    <m/>
    <m/>
    <m/>
    <n v="0"/>
  </r>
  <r>
    <x v="2"/>
    <x v="31"/>
    <m/>
    <m/>
    <m/>
    <m/>
    <m/>
    <m/>
    <m/>
    <m/>
    <m/>
    <n v="0"/>
  </r>
  <r>
    <x v="2"/>
    <x v="32"/>
    <m/>
    <m/>
    <m/>
    <m/>
    <m/>
    <m/>
    <m/>
    <m/>
    <m/>
    <n v="0"/>
  </r>
  <r>
    <x v="2"/>
    <x v="33"/>
    <m/>
    <m/>
    <m/>
    <m/>
    <m/>
    <m/>
    <m/>
    <m/>
    <m/>
    <n v="0"/>
  </r>
  <r>
    <x v="2"/>
    <x v="34"/>
    <m/>
    <m/>
    <m/>
    <m/>
    <m/>
    <m/>
    <m/>
    <m/>
    <m/>
    <n v="0"/>
  </r>
  <r>
    <x v="2"/>
    <x v="35"/>
    <m/>
    <m/>
    <m/>
    <m/>
    <m/>
    <m/>
    <m/>
    <m/>
    <m/>
    <n v="0"/>
  </r>
  <r>
    <x v="2"/>
    <x v="36"/>
    <m/>
    <m/>
    <m/>
    <m/>
    <m/>
    <m/>
    <m/>
    <m/>
    <m/>
    <n v="0"/>
  </r>
  <r>
    <x v="2"/>
    <x v="37"/>
    <m/>
    <m/>
    <m/>
    <m/>
    <m/>
    <m/>
    <m/>
    <m/>
    <m/>
    <n v="0"/>
  </r>
  <r>
    <x v="2"/>
    <x v="38"/>
    <m/>
    <m/>
    <m/>
    <m/>
    <m/>
    <m/>
    <m/>
    <m/>
    <m/>
    <n v="0"/>
  </r>
  <r>
    <x v="2"/>
    <x v="39"/>
    <m/>
    <m/>
    <m/>
    <m/>
    <m/>
    <m/>
    <m/>
    <m/>
    <m/>
    <n v="0"/>
  </r>
  <r>
    <x v="2"/>
    <x v="40"/>
    <m/>
    <m/>
    <m/>
    <m/>
    <m/>
    <m/>
    <m/>
    <m/>
    <m/>
    <n v="0"/>
  </r>
  <r>
    <x v="2"/>
    <x v="41"/>
    <m/>
    <m/>
    <m/>
    <m/>
    <m/>
    <m/>
    <m/>
    <m/>
    <m/>
    <n v="0"/>
  </r>
  <r>
    <x v="2"/>
    <x v="42"/>
    <m/>
    <m/>
    <m/>
    <m/>
    <m/>
    <m/>
    <m/>
    <m/>
    <m/>
    <n v="0"/>
  </r>
  <r>
    <x v="2"/>
    <x v="43"/>
    <m/>
    <m/>
    <m/>
    <m/>
    <m/>
    <m/>
    <m/>
    <m/>
    <m/>
    <n v="0"/>
  </r>
  <r>
    <x v="2"/>
    <x v="44"/>
    <m/>
    <m/>
    <m/>
    <m/>
    <m/>
    <m/>
    <m/>
    <m/>
    <m/>
    <n v="0"/>
  </r>
  <r>
    <x v="2"/>
    <x v="45"/>
    <m/>
    <m/>
    <m/>
    <m/>
    <m/>
    <m/>
    <m/>
    <m/>
    <m/>
    <n v="0"/>
  </r>
  <r>
    <x v="2"/>
    <x v="46"/>
    <m/>
    <m/>
    <m/>
    <m/>
    <m/>
    <m/>
    <m/>
    <m/>
    <m/>
    <n v="0"/>
  </r>
  <r>
    <x v="2"/>
    <x v="47"/>
    <m/>
    <m/>
    <m/>
    <m/>
    <m/>
    <m/>
    <m/>
    <m/>
    <m/>
    <n v="0"/>
  </r>
  <r>
    <x v="2"/>
    <x v="48"/>
    <m/>
    <m/>
    <m/>
    <m/>
    <m/>
    <m/>
    <m/>
    <m/>
    <m/>
    <n v="0"/>
  </r>
  <r>
    <x v="2"/>
    <x v="49"/>
    <m/>
    <m/>
    <n v="2"/>
    <m/>
    <m/>
    <m/>
    <m/>
    <m/>
    <m/>
    <n v="2"/>
  </r>
  <r>
    <x v="2"/>
    <x v="50"/>
    <m/>
    <m/>
    <m/>
    <m/>
    <m/>
    <m/>
    <m/>
    <m/>
    <m/>
    <n v="0"/>
  </r>
  <r>
    <x v="2"/>
    <x v="51"/>
    <m/>
    <m/>
    <m/>
    <m/>
    <m/>
    <m/>
    <m/>
    <m/>
    <m/>
    <n v="0"/>
  </r>
  <r>
    <x v="3"/>
    <x v="0"/>
    <m/>
    <m/>
    <m/>
    <m/>
    <m/>
    <m/>
    <m/>
    <m/>
    <m/>
    <n v="0"/>
  </r>
  <r>
    <x v="3"/>
    <x v="1"/>
    <m/>
    <m/>
    <m/>
    <m/>
    <m/>
    <m/>
    <m/>
    <m/>
    <m/>
    <n v="0"/>
  </r>
  <r>
    <x v="3"/>
    <x v="2"/>
    <m/>
    <m/>
    <n v="7"/>
    <n v="2"/>
    <m/>
    <m/>
    <m/>
    <m/>
    <m/>
    <n v="9"/>
  </r>
  <r>
    <x v="3"/>
    <x v="3"/>
    <m/>
    <m/>
    <m/>
    <m/>
    <m/>
    <m/>
    <m/>
    <m/>
    <m/>
    <n v="0"/>
  </r>
  <r>
    <x v="3"/>
    <x v="4"/>
    <m/>
    <m/>
    <n v="6"/>
    <n v="22"/>
    <n v="4"/>
    <m/>
    <m/>
    <n v="4"/>
    <n v="2"/>
    <n v="38"/>
  </r>
  <r>
    <x v="3"/>
    <x v="5"/>
    <m/>
    <m/>
    <m/>
    <m/>
    <m/>
    <m/>
    <m/>
    <m/>
    <m/>
    <n v="0"/>
  </r>
  <r>
    <x v="3"/>
    <x v="6"/>
    <m/>
    <m/>
    <n v="1"/>
    <n v="2"/>
    <m/>
    <m/>
    <m/>
    <n v="1"/>
    <m/>
    <n v="4"/>
  </r>
  <r>
    <x v="3"/>
    <x v="7"/>
    <m/>
    <m/>
    <m/>
    <m/>
    <m/>
    <m/>
    <m/>
    <m/>
    <m/>
    <n v="0"/>
  </r>
  <r>
    <x v="3"/>
    <x v="8"/>
    <m/>
    <m/>
    <m/>
    <m/>
    <m/>
    <m/>
    <m/>
    <m/>
    <m/>
    <n v="0"/>
  </r>
  <r>
    <x v="3"/>
    <x v="9"/>
    <m/>
    <m/>
    <m/>
    <m/>
    <m/>
    <m/>
    <m/>
    <m/>
    <m/>
    <n v="0"/>
  </r>
  <r>
    <x v="3"/>
    <x v="10"/>
    <m/>
    <m/>
    <n v="10"/>
    <n v="30"/>
    <m/>
    <n v="30"/>
    <m/>
    <n v="30"/>
    <m/>
    <n v="100"/>
  </r>
  <r>
    <x v="3"/>
    <x v="11"/>
    <m/>
    <m/>
    <m/>
    <m/>
    <m/>
    <m/>
    <m/>
    <m/>
    <m/>
    <n v="0"/>
  </r>
  <r>
    <x v="3"/>
    <x v="12"/>
    <m/>
    <m/>
    <m/>
    <m/>
    <m/>
    <m/>
    <m/>
    <m/>
    <m/>
    <n v="0"/>
  </r>
  <r>
    <x v="3"/>
    <x v="13"/>
    <m/>
    <m/>
    <m/>
    <m/>
    <m/>
    <m/>
    <m/>
    <m/>
    <m/>
    <n v="0"/>
  </r>
  <r>
    <x v="3"/>
    <x v="14"/>
    <m/>
    <m/>
    <m/>
    <m/>
    <m/>
    <m/>
    <n v="1"/>
    <n v="1"/>
    <m/>
    <n v="2"/>
  </r>
  <r>
    <x v="3"/>
    <x v="15"/>
    <m/>
    <m/>
    <m/>
    <m/>
    <m/>
    <m/>
    <m/>
    <m/>
    <m/>
    <n v="0"/>
  </r>
  <r>
    <x v="3"/>
    <x v="16"/>
    <m/>
    <m/>
    <m/>
    <m/>
    <m/>
    <m/>
    <m/>
    <m/>
    <m/>
    <n v="0"/>
  </r>
  <r>
    <x v="3"/>
    <x v="17"/>
    <m/>
    <m/>
    <m/>
    <m/>
    <m/>
    <m/>
    <m/>
    <m/>
    <m/>
    <n v="0"/>
  </r>
  <r>
    <x v="3"/>
    <x v="18"/>
    <m/>
    <m/>
    <m/>
    <m/>
    <m/>
    <m/>
    <m/>
    <m/>
    <m/>
    <n v="0"/>
  </r>
  <r>
    <x v="3"/>
    <x v="19"/>
    <m/>
    <m/>
    <m/>
    <m/>
    <m/>
    <m/>
    <m/>
    <m/>
    <m/>
    <n v="0"/>
  </r>
  <r>
    <x v="3"/>
    <x v="20"/>
    <m/>
    <m/>
    <m/>
    <m/>
    <m/>
    <m/>
    <m/>
    <m/>
    <m/>
    <n v="0"/>
  </r>
  <r>
    <x v="3"/>
    <x v="21"/>
    <m/>
    <m/>
    <m/>
    <m/>
    <m/>
    <m/>
    <m/>
    <m/>
    <m/>
    <n v="0"/>
  </r>
  <r>
    <x v="3"/>
    <x v="22"/>
    <m/>
    <m/>
    <m/>
    <m/>
    <n v="1"/>
    <n v="3"/>
    <n v="1"/>
    <n v="3"/>
    <m/>
    <n v="8"/>
  </r>
  <r>
    <x v="3"/>
    <x v="23"/>
    <m/>
    <m/>
    <m/>
    <m/>
    <m/>
    <m/>
    <m/>
    <m/>
    <m/>
    <n v="0"/>
  </r>
  <r>
    <x v="3"/>
    <x v="24"/>
    <m/>
    <m/>
    <m/>
    <m/>
    <m/>
    <m/>
    <m/>
    <m/>
    <m/>
    <n v="0"/>
  </r>
  <r>
    <x v="3"/>
    <x v="25"/>
    <m/>
    <m/>
    <m/>
    <m/>
    <m/>
    <m/>
    <m/>
    <m/>
    <m/>
    <n v="0"/>
  </r>
  <r>
    <x v="3"/>
    <x v="26"/>
    <m/>
    <m/>
    <m/>
    <n v="1"/>
    <m/>
    <m/>
    <m/>
    <m/>
    <m/>
    <n v="1"/>
  </r>
  <r>
    <x v="3"/>
    <x v="27"/>
    <m/>
    <m/>
    <m/>
    <m/>
    <m/>
    <m/>
    <m/>
    <m/>
    <m/>
    <n v="0"/>
  </r>
  <r>
    <x v="3"/>
    <x v="28"/>
    <m/>
    <m/>
    <m/>
    <m/>
    <m/>
    <m/>
    <m/>
    <m/>
    <m/>
    <n v="0"/>
  </r>
  <r>
    <x v="3"/>
    <x v="29"/>
    <m/>
    <m/>
    <m/>
    <m/>
    <n v="1"/>
    <m/>
    <m/>
    <m/>
    <m/>
    <n v="1"/>
  </r>
  <r>
    <x v="3"/>
    <x v="30"/>
    <m/>
    <n v="2"/>
    <n v="2"/>
    <m/>
    <n v="2"/>
    <m/>
    <m/>
    <n v="2"/>
    <n v="2"/>
    <n v="10"/>
  </r>
  <r>
    <x v="3"/>
    <x v="31"/>
    <n v="4"/>
    <n v="4"/>
    <n v="11"/>
    <n v="10"/>
    <n v="7"/>
    <n v="4"/>
    <n v="7"/>
    <n v="10"/>
    <n v="10"/>
    <n v="67"/>
  </r>
  <r>
    <x v="3"/>
    <x v="32"/>
    <m/>
    <m/>
    <m/>
    <m/>
    <m/>
    <m/>
    <m/>
    <m/>
    <m/>
    <n v="0"/>
  </r>
  <r>
    <x v="3"/>
    <x v="33"/>
    <m/>
    <m/>
    <m/>
    <m/>
    <m/>
    <m/>
    <m/>
    <m/>
    <m/>
    <n v="0"/>
  </r>
  <r>
    <x v="3"/>
    <x v="34"/>
    <m/>
    <m/>
    <m/>
    <m/>
    <m/>
    <m/>
    <m/>
    <m/>
    <m/>
    <n v="0"/>
  </r>
  <r>
    <x v="3"/>
    <x v="35"/>
    <n v="5"/>
    <n v="7"/>
    <n v="12"/>
    <n v="19"/>
    <n v="21"/>
    <n v="11"/>
    <n v="24"/>
    <n v="11"/>
    <n v="9"/>
    <n v="119"/>
  </r>
  <r>
    <x v="3"/>
    <x v="36"/>
    <m/>
    <m/>
    <m/>
    <m/>
    <m/>
    <m/>
    <m/>
    <m/>
    <m/>
    <n v="0"/>
  </r>
  <r>
    <x v="3"/>
    <x v="37"/>
    <m/>
    <m/>
    <m/>
    <m/>
    <m/>
    <m/>
    <m/>
    <m/>
    <m/>
    <n v="0"/>
  </r>
  <r>
    <x v="3"/>
    <x v="38"/>
    <m/>
    <m/>
    <m/>
    <m/>
    <m/>
    <m/>
    <m/>
    <m/>
    <m/>
    <n v="0"/>
  </r>
  <r>
    <x v="3"/>
    <x v="39"/>
    <m/>
    <m/>
    <m/>
    <m/>
    <m/>
    <m/>
    <m/>
    <m/>
    <m/>
    <n v="0"/>
  </r>
  <r>
    <x v="3"/>
    <x v="40"/>
    <m/>
    <m/>
    <m/>
    <m/>
    <m/>
    <m/>
    <m/>
    <m/>
    <m/>
    <n v="0"/>
  </r>
  <r>
    <x v="3"/>
    <x v="41"/>
    <m/>
    <m/>
    <m/>
    <m/>
    <m/>
    <m/>
    <m/>
    <m/>
    <m/>
    <n v="0"/>
  </r>
  <r>
    <x v="3"/>
    <x v="42"/>
    <m/>
    <m/>
    <m/>
    <m/>
    <m/>
    <m/>
    <m/>
    <m/>
    <m/>
    <n v="0"/>
  </r>
  <r>
    <x v="3"/>
    <x v="43"/>
    <n v="11"/>
    <m/>
    <n v="2"/>
    <n v="10"/>
    <n v="8"/>
    <m/>
    <n v="2"/>
    <n v="6"/>
    <m/>
    <n v="39"/>
  </r>
  <r>
    <x v="3"/>
    <x v="44"/>
    <m/>
    <m/>
    <m/>
    <m/>
    <m/>
    <m/>
    <m/>
    <m/>
    <m/>
    <n v="0"/>
  </r>
  <r>
    <x v="3"/>
    <x v="45"/>
    <m/>
    <m/>
    <m/>
    <m/>
    <m/>
    <m/>
    <m/>
    <m/>
    <m/>
    <n v="0"/>
  </r>
  <r>
    <x v="3"/>
    <x v="46"/>
    <m/>
    <m/>
    <m/>
    <m/>
    <m/>
    <m/>
    <m/>
    <m/>
    <m/>
    <n v="0"/>
  </r>
  <r>
    <x v="3"/>
    <x v="47"/>
    <m/>
    <m/>
    <m/>
    <m/>
    <m/>
    <m/>
    <m/>
    <m/>
    <m/>
    <n v="0"/>
  </r>
  <r>
    <x v="3"/>
    <x v="48"/>
    <m/>
    <m/>
    <m/>
    <m/>
    <m/>
    <m/>
    <m/>
    <m/>
    <m/>
    <n v="0"/>
  </r>
  <r>
    <x v="3"/>
    <x v="49"/>
    <m/>
    <m/>
    <m/>
    <m/>
    <m/>
    <m/>
    <m/>
    <m/>
    <m/>
    <n v="0"/>
  </r>
  <r>
    <x v="3"/>
    <x v="50"/>
    <m/>
    <m/>
    <m/>
    <m/>
    <m/>
    <m/>
    <m/>
    <m/>
    <m/>
    <n v="0"/>
  </r>
  <r>
    <x v="3"/>
    <x v="51"/>
    <m/>
    <m/>
    <n v="2"/>
    <n v="9"/>
    <n v="4"/>
    <m/>
    <n v="4"/>
    <m/>
    <n v="2"/>
    <n v="21"/>
  </r>
  <r>
    <x v="4"/>
    <x v="0"/>
    <m/>
    <m/>
    <m/>
    <m/>
    <m/>
    <m/>
    <m/>
    <m/>
    <m/>
    <n v="0"/>
  </r>
  <r>
    <x v="4"/>
    <x v="1"/>
    <m/>
    <m/>
    <m/>
    <m/>
    <m/>
    <m/>
    <m/>
    <m/>
    <m/>
    <n v="0"/>
  </r>
  <r>
    <x v="4"/>
    <x v="2"/>
    <m/>
    <m/>
    <m/>
    <m/>
    <m/>
    <m/>
    <m/>
    <m/>
    <m/>
    <n v="0"/>
  </r>
  <r>
    <x v="4"/>
    <x v="3"/>
    <m/>
    <m/>
    <m/>
    <m/>
    <m/>
    <m/>
    <m/>
    <m/>
    <m/>
    <n v="0"/>
  </r>
  <r>
    <x v="4"/>
    <x v="4"/>
    <m/>
    <m/>
    <m/>
    <m/>
    <m/>
    <m/>
    <m/>
    <m/>
    <m/>
    <n v="0"/>
  </r>
  <r>
    <x v="4"/>
    <x v="5"/>
    <m/>
    <m/>
    <m/>
    <m/>
    <m/>
    <m/>
    <m/>
    <m/>
    <m/>
    <n v="0"/>
  </r>
  <r>
    <x v="4"/>
    <x v="6"/>
    <m/>
    <m/>
    <m/>
    <m/>
    <m/>
    <m/>
    <m/>
    <m/>
    <m/>
    <n v="0"/>
  </r>
  <r>
    <x v="4"/>
    <x v="7"/>
    <m/>
    <m/>
    <m/>
    <m/>
    <m/>
    <m/>
    <m/>
    <m/>
    <m/>
    <n v="0"/>
  </r>
  <r>
    <x v="4"/>
    <x v="8"/>
    <m/>
    <m/>
    <m/>
    <m/>
    <m/>
    <m/>
    <m/>
    <m/>
    <m/>
    <n v="0"/>
  </r>
  <r>
    <x v="4"/>
    <x v="9"/>
    <m/>
    <m/>
    <m/>
    <m/>
    <m/>
    <m/>
    <m/>
    <m/>
    <m/>
    <n v="0"/>
  </r>
  <r>
    <x v="4"/>
    <x v="10"/>
    <m/>
    <m/>
    <m/>
    <m/>
    <m/>
    <m/>
    <m/>
    <m/>
    <m/>
    <n v="0"/>
  </r>
  <r>
    <x v="4"/>
    <x v="11"/>
    <m/>
    <m/>
    <m/>
    <m/>
    <m/>
    <m/>
    <m/>
    <m/>
    <m/>
    <n v="0"/>
  </r>
  <r>
    <x v="4"/>
    <x v="12"/>
    <m/>
    <m/>
    <m/>
    <m/>
    <m/>
    <m/>
    <m/>
    <m/>
    <m/>
    <n v="0"/>
  </r>
  <r>
    <x v="4"/>
    <x v="13"/>
    <m/>
    <m/>
    <m/>
    <m/>
    <m/>
    <m/>
    <m/>
    <m/>
    <m/>
    <n v="0"/>
  </r>
  <r>
    <x v="4"/>
    <x v="14"/>
    <m/>
    <m/>
    <m/>
    <m/>
    <m/>
    <m/>
    <m/>
    <m/>
    <m/>
    <n v="0"/>
  </r>
  <r>
    <x v="4"/>
    <x v="15"/>
    <m/>
    <m/>
    <m/>
    <m/>
    <m/>
    <m/>
    <m/>
    <m/>
    <m/>
    <n v="0"/>
  </r>
  <r>
    <x v="4"/>
    <x v="16"/>
    <m/>
    <m/>
    <m/>
    <m/>
    <m/>
    <m/>
    <m/>
    <m/>
    <m/>
    <n v="0"/>
  </r>
  <r>
    <x v="4"/>
    <x v="17"/>
    <m/>
    <m/>
    <m/>
    <m/>
    <m/>
    <m/>
    <m/>
    <m/>
    <m/>
    <n v="0"/>
  </r>
  <r>
    <x v="4"/>
    <x v="18"/>
    <m/>
    <m/>
    <m/>
    <m/>
    <m/>
    <m/>
    <m/>
    <m/>
    <m/>
    <n v="0"/>
  </r>
  <r>
    <x v="4"/>
    <x v="19"/>
    <m/>
    <m/>
    <m/>
    <m/>
    <m/>
    <m/>
    <m/>
    <m/>
    <m/>
    <n v="0"/>
  </r>
  <r>
    <x v="4"/>
    <x v="20"/>
    <m/>
    <m/>
    <m/>
    <m/>
    <m/>
    <m/>
    <m/>
    <m/>
    <m/>
    <n v="0"/>
  </r>
  <r>
    <x v="4"/>
    <x v="21"/>
    <m/>
    <m/>
    <m/>
    <m/>
    <m/>
    <m/>
    <m/>
    <m/>
    <m/>
    <n v="0"/>
  </r>
  <r>
    <x v="4"/>
    <x v="22"/>
    <m/>
    <m/>
    <m/>
    <m/>
    <m/>
    <m/>
    <m/>
    <m/>
    <m/>
    <n v="0"/>
  </r>
  <r>
    <x v="4"/>
    <x v="23"/>
    <m/>
    <m/>
    <m/>
    <m/>
    <m/>
    <m/>
    <m/>
    <m/>
    <m/>
    <n v="0"/>
  </r>
  <r>
    <x v="4"/>
    <x v="24"/>
    <m/>
    <m/>
    <m/>
    <m/>
    <m/>
    <m/>
    <m/>
    <m/>
    <m/>
    <n v="0"/>
  </r>
  <r>
    <x v="4"/>
    <x v="25"/>
    <m/>
    <m/>
    <m/>
    <m/>
    <m/>
    <m/>
    <m/>
    <m/>
    <m/>
    <n v="0"/>
  </r>
  <r>
    <x v="4"/>
    <x v="26"/>
    <m/>
    <m/>
    <m/>
    <m/>
    <m/>
    <m/>
    <m/>
    <m/>
    <m/>
    <n v="0"/>
  </r>
  <r>
    <x v="4"/>
    <x v="27"/>
    <m/>
    <m/>
    <m/>
    <m/>
    <m/>
    <m/>
    <m/>
    <m/>
    <m/>
    <n v="0"/>
  </r>
  <r>
    <x v="4"/>
    <x v="28"/>
    <m/>
    <m/>
    <m/>
    <m/>
    <m/>
    <m/>
    <m/>
    <m/>
    <m/>
    <n v="0"/>
  </r>
  <r>
    <x v="4"/>
    <x v="29"/>
    <m/>
    <m/>
    <m/>
    <m/>
    <m/>
    <m/>
    <m/>
    <m/>
    <m/>
    <n v="0"/>
  </r>
  <r>
    <x v="4"/>
    <x v="30"/>
    <m/>
    <m/>
    <m/>
    <m/>
    <m/>
    <m/>
    <m/>
    <m/>
    <m/>
    <n v="0"/>
  </r>
  <r>
    <x v="4"/>
    <x v="31"/>
    <m/>
    <m/>
    <m/>
    <m/>
    <m/>
    <m/>
    <m/>
    <m/>
    <n v="2"/>
    <n v="2"/>
  </r>
  <r>
    <x v="4"/>
    <x v="32"/>
    <m/>
    <m/>
    <m/>
    <m/>
    <m/>
    <m/>
    <m/>
    <m/>
    <m/>
    <n v="0"/>
  </r>
  <r>
    <x v="4"/>
    <x v="33"/>
    <m/>
    <m/>
    <m/>
    <m/>
    <m/>
    <m/>
    <m/>
    <m/>
    <m/>
    <n v="0"/>
  </r>
  <r>
    <x v="4"/>
    <x v="34"/>
    <m/>
    <m/>
    <m/>
    <m/>
    <m/>
    <m/>
    <m/>
    <m/>
    <m/>
    <n v="0"/>
  </r>
  <r>
    <x v="4"/>
    <x v="35"/>
    <m/>
    <m/>
    <m/>
    <m/>
    <m/>
    <m/>
    <m/>
    <m/>
    <m/>
    <n v="0"/>
  </r>
  <r>
    <x v="4"/>
    <x v="36"/>
    <m/>
    <m/>
    <m/>
    <m/>
    <m/>
    <m/>
    <m/>
    <m/>
    <m/>
    <n v="0"/>
  </r>
  <r>
    <x v="4"/>
    <x v="37"/>
    <m/>
    <m/>
    <m/>
    <m/>
    <m/>
    <m/>
    <m/>
    <m/>
    <m/>
    <n v="0"/>
  </r>
  <r>
    <x v="4"/>
    <x v="38"/>
    <m/>
    <m/>
    <m/>
    <m/>
    <m/>
    <m/>
    <m/>
    <m/>
    <m/>
    <n v="0"/>
  </r>
  <r>
    <x v="4"/>
    <x v="39"/>
    <m/>
    <m/>
    <m/>
    <m/>
    <m/>
    <m/>
    <m/>
    <m/>
    <m/>
    <n v="0"/>
  </r>
  <r>
    <x v="4"/>
    <x v="40"/>
    <m/>
    <m/>
    <m/>
    <m/>
    <m/>
    <m/>
    <m/>
    <m/>
    <m/>
    <n v="0"/>
  </r>
  <r>
    <x v="4"/>
    <x v="41"/>
    <m/>
    <m/>
    <m/>
    <m/>
    <m/>
    <m/>
    <m/>
    <m/>
    <m/>
    <n v="0"/>
  </r>
  <r>
    <x v="4"/>
    <x v="42"/>
    <m/>
    <m/>
    <m/>
    <m/>
    <m/>
    <m/>
    <m/>
    <m/>
    <m/>
    <n v="0"/>
  </r>
  <r>
    <x v="4"/>
    <x v="43"/>
    <m/>
    <m/>
    <m/>
    <m/>
    <m/>
    <m/>
    <m/>
    <m/>
    <m/>
    <n v="0"/>
  </r>
  <r>
    <x v="4"/>
    <x v="44"/>
    <m/>
    <m/>
    <m/>
    <m/>
    <m/>
    <m/>
    <m/>
    <m/>
    <m/>
    <n v="0"/>
  </r>
  <r>
    <x v="4"/>
    <x v="45"/>
    <m/>
    <m/>
    <m/>
    <m/>
    <m/>
    <m/>
    <m/>
    <m/>
    <m/>
    <n v="0"/>
  </r>
  <r>
    <x v="4"/>
    <x v="46"/>
    <m/>
    <m/>
    <m/>
    <m/>
    <m/>
    <m/>
    <m/>
    <m/>
    <m/>
    <n v="0"/>
  </r>
  <r>
    <x v="4"/>
    <x v="47"/>
    <m/>
    <m/>
    <m/>
    <m/>
    <m/>
    <m/>
    <m/>
    <m/>
    <m/>
    <n v="0"/>
  </r>
  <r>
    <x v="4"/>
    <x v="48"/>
    <m/>
    <m/>
    <m/>
    <m/>
    <m/>
    <m/>
    <m/>
    <m/>
    <m/>
    <n v="0"/>
  </r>
  <r>
    <x v="4"/>
    <x v="49"/>
    <m/>
    <m/>
    <n v="2"/>
    <m/>
    <m/>
    <m/>
    <m/>
    <m/>
    <m/>
    <n v="2"/>
  </r>
  <r>
    <x v="4"/>
    <x v="50"/>
    <m/>
    <m/>
    <m/>
    <m/>
    <m/>
    <m/>
    <m/>
    <m/>
    <m/>
    <n v="0"/>
  </r>
  <r>
    <x v="4"/>
    <x v="51"/>
    <m/>
    <m/>
    <m/>
    <m/>
    <m/>
    <m/>
    <m/>
    <m/>
    <m/>
    <n v="0"/>
  </r>
  <r>
    <x v="5"/>
    <x v="0"/>
    <m/>
    <m/>
    <m/>
    <m/>
    <m/>
    <m/>
    <m/>
    <m/>
    <m/>
    <n v="0"/>
  </r>
  <r>
    <x v="5"/>
    <x v="1"/>
    <m/>
    <m/>
    <m/>
    <m/>
    <m/>
    <m/>
    <m/>
    <m/>
    <m/>
    <n v="0"/>
  </r>
  <r>
    <x v="5"/>
    <x v="2"/>
    <m/>
    <m/>
    <m/>
    <m/>
    <m/>
    <m/>
    <m/>
    <m/>
    <m/>
    <n v="0"/>
  </r>
  <r>
    <x v="5"/>
    <x v="3"/>
    <m/>
    <m/>
    <m/>
    <m/>
    <m/>
    <m/>
    <m/>
    <m/>
    <m/>
    <n v="0"/>
  </r>
  <r>
    <x v="5"/>
    <x v="4"/>
    <m/>
    <m/>
    <m/>
    <m/>
    <m/>
    <m/>
    <m/>
    <m/>
    <m/>
    <n v="0"/>
  </r>
  <r>
    <x v="5"/>
    <x v="5"/>
    <n v="2"/>
    <m/>
    <n v="2"/>
    <n v="2"/>
    <n v="2"/>
    <m/>
    <m/>
    <n v="2"/>
    <m/>
    <n v="10"/>
  </r>
  <r>
    <x v="5"/>
    <x v="6"/>
    <m/>
    <m/>
    <m/>
    <m/>
    <m/>
    <m/>
    <m/>
    <m/>
    <m/>
    <n v="0"/>
  </r>
  <r>
    <x v="5"/>
    <x v="7"/>
    <m/>
    <m/>
    <m/>
    <m/>
    <m/>
    <m/>
    <m/>
    <m/>
    <m/>
    <n v="0"/>
  </r>
  <r>
    <x v="5"/>
    <x v="8"/>
    <m/>
    <m/>
    <m/>
    <m/>
    <m/>
    <m/>
    <m/>
    <m/>
    <m/>
    <n v="0"/>
  </r>
  <r>
    <x v="5"/>
    <x v="9"/>
    <m/>
    <m/>
    <m/>
    <m/>
    <m/>
    <m/>
    <m/>
    <m/>
    <m/>
    <n v="0"/>
  </r>
  <r>
    <x v="5"/>
    <x v="10"/>
    <m/>
    <m/>
    <m/>
    <m/>
    <m/>
    <m/>
    <m/>
    <m/>
    <m/>
    <n v="0"/>
  </r>
  <r>
    <x v="5"/>
    <x v="11"/>
    <m/>
    <m/>
    <m/>
    <m/>
    <m/>
    <m/>
    <m/>
    <m/>
    <m/>
    <n v="0"/>
  </r>
  <r>
    <x v="5"/>
    <x v="12"/>
    <m/>
    <m/>
    <m/>
    <m/>
    <m/>
    <m/>
    <m/>
    <m/>
    <m/>
    <n v="0"/>
  </r>
  <r>
    <x v="5"/>
    <x v="13"/>
    <m/>
    <m/>
    <m/>
    <m/>
    <m/>
    <m/>
    <m/>
    <m/>
    <m/>
    <n v="0"/>
  </r>
  <r>
    <x v="5"/>
    <x v="14"/>
    <m/>
    <m/>
    <m/>
    <m/>
    <m/>
    <m/>
    <m/>
    <m/>
    <m/>
    <n v="0"/>
  </r>
  <r>
    <x v="5"/>
    <x v="15"/>
    <m/>
    <m/>
    <m/>
    <m/>
    <m/>
    <m/>
    <m/>
    <m/>
    <m/>
    <n v="0"/>
  </r>
  <r>
    <x v="5"/>
    <x v="16"/>
    <m/>
    <m/>
    <m/>
    <m/>
    <m/>
    <m/>
    <m/>
    <m/>
    <m/>
    <n v="0"/>
  </r>
  <r>
    <x v="5"/>
    <x v="17"/>
    <m/>
    <m/>
    <m/>
    <m/>
    <m/>
    <m/>
    <m/>
    <m/>
    <m/>
    <n v="0"/>
  </r>
  <r>
    <x v="5"/>
    <x v="18"/>
    <m/>
    <m/>
    <m/>
    <m/>
    <m/>
    <m/>
    <m/>
    <m/>
    <m/>
    <n v="0"/>
  </r>
  <r>
    <x v="5"/>
    <x v="19"/>
    <m/>
    <m/>
    <m/>
    <m/>
    <m/>
    <m/>
    <m/>
    <m/>
    <m/>
    <n v="0"/>
  </r>
  <r>
    <x v="5"/>
    <x v="20"/>
    <m/>
    <m/>
    <m/>
    <m/>
    <m/>
    <m/>
    <m/>
    <m/>
    <m/>
    <n v="0"/>
  </r>
  <r>
    <x v="5"/>
    <x v="21"/>
    <m/>
    <m/>
    <m/>
    <m/>
    <m/>
    <m/>
    <m/>
    <m/>
    <m/>
    <n v="0"/>
  </r>
  <r>
    <x v="5"/>
    <x v="22"/>
    <m/>
    <m/>
    <m/>
    <m/>
    <m/>
    <m/>
    <m/>
    <m/>
    <m/>
    <n v="0"/>
  </r>
  <r>
    <x v="5"/>
    <x v="23"/>
    <m/>
    <m/>
    <m/>
    <m/>
    <m/>
    <m/>
    <m/>
    <m/>
    <m/>
    <n v="0"/>
  </r>
  <r>
    <x v="5"/>
    <x v="24"/>
    <m/>
    <m/>
    <m/>
    <m/>
    <m/>
    <m/>
    <m/>
    <m/>
    <m/>
    <n v="0"/>
  </r>
  <r>
    <x v="5"/>
    <x v="25"/>
    <m/>
    <m/>
    <m/>
    <m/>
    <m/>
    <m/>
    <m/>
    <m/>
    <m/>
    <n v="0"/>
  </r>
  <r>
    <x v="5"/>
    <x v="26"/>
    <m/>
    <m/>
    <m/>
    <m/>
    <m/>
    <m/>
    <m/>
    <m/>
    <m/>
    <n v="0"/>
  </r>
  <r>
    <x v="5"/>
    <x v="27"/>
    <m/>
    <m/>
    <m/>
    <m/>
    <m/>
    <m/>
    <m/>
    <m/>
    <m/>
    <n v="0"/>
  </r>
  <r>
    <x v="5"/>
    <x v="28"/>
    <m/>
    <m/>
    <m/>
    <m/>
    <m/>
    <m/>
    <m/>
    <m/>
    <m/>
    <n v="0"/>
  </r>
  <r>
    <x v="5"/>
    <x v="29"/>
    <m/>
    <m/>
    <m/>
    <m/>
    <m/>
    <m/>
    <m/>
    <m/>
    <m/>
    <n v="0"/>
  </r>
  <r>
    <x v="5"/>
    <x v="30"/>
    <m/>
    <m/>
    <m/>
    <m/>
    <m/>
    <m/>
    <m/>
    <m/>
    <m/>
    <n v="0"/>
  </r>
  <r>
    <x v="5"/>
    <x v="31"/>
    <m/>
    <m/>
    <m/>
    <m/>
    <m/>
    <m/>
    <m/>
    <m/>
    <m/>
    <n v="0"/>
  </r>
  <r>
    <x v="5"/>
    <x v="32"/>
    <m/>
    <m/>
    <m/>
    <m/>
    <m/>
    <m/>
    <m/>
    <m/>
    <m/>
    <n v="0"/>
  </r>
  <r>
    <x v="5"/>
    <x v="33"/>
    <m/>
    <m/>
    <m/>
    <m/>
    <m/>
    <m/>
    <m/>
    <m/>
    <m/>
    <n v="0"/>
  </r>
  <r>
    <x v="5"/>
    <x v="34"/>
    <m/>
    <m/>
    <m/>
    <m/>
    <m/>
    <m/>
    <m/>
    <m/>
    <m/>
    <n v="0"/>
  </r>
  <r>
    <x v="5"/>
    <x v="35"/>
    <m/>
    <m/>
    <m/>
    <m/>
    <m/>
    <m/>
    <m/>
    <m/>
    <m/>
    <n v="0"/>
  </r>
  <r>
    <x v="5"/>
    <x v="36"/>
    <m/>
    <m/>
    <m/>
    <m/>
    <m/>
    <m/>
    <m/>
    <m/>
    <m/>
    <n v="0"/>
  </r>
  <r>
    <x v="5"/>
    <x v="37"/>
    <m/>
    <m/>
    <m/>
    <m/>
    <m/>
    <m/>
    <m/>
    <m/>
    <m/>
    <n v="0"/>
  </r>
  <r>
    <x v="5"/>
    <x v="38"/>
    <m/>
    <m/>
    <m/>
    <m/>
    <m/>
    <m/>
    <m/>
    <m/>
    <m/>
    <n v="0"/>
  </r>
  <r>
    <x v="5"/>
    <x v="39"/>
    <m/>
    <m/>
    <m/>
    <m/>
    <m/>
    <m/>
    <m/>
    <m/>
    <m/>
    <n v="0"/>
  </r>
  <r>
    <x v="5"/>
    <x v="40"/>
    <m/>
    <m/>
    <m/>
    <m/>
    <m/>
    <m/>
    <m/>
    <m/>
    <m/>
    <n v="0"/>
  </r>
  <r>
    <x v="5"/>
    <x v="41"/>
    <m/>
    <m/>
    <m/>
    <m/>
    <m/>
    <m/>
    <m/>
    <m/>
    <m/>
    <n v="0"/>
  </r>
  <r>
    <x v="5"/>
    <x v="42"/>
    <n v="15"/>
    <n v="3"/>
    <n v="15"/>
    <n v="12"/>
    <n v="15"/>
    <m/>
    <n v="3"/>
    <n v="15"/>
    <n v="3"/>
    <n v="81"/>
  </r>
  <r>
    <x v="5"/>
    <x v="43"/>
    <m/>
    <m/>
    <m/>
    <m/>
    <m/>
    <m/>
    <m/>
    <m/>
    <m/>
    <n v="0"/>
  </r>
  <r>
    <x v="5"/>
    <x v="44"/>
    <m/>
    <m/>
    <m/>
    <m/>
    <m/>
    <m/>
    <m/>
    <m/>
    <m/>
    <n v="0"/>
  </r>
  <r>
    <x v="5"/>
    <x v="45"/>
    <m/>
    <m/>
    <m/>
    <m/>
    <m/>
    <m/>
    <m/>
    <m/>
    <m/>
    <n v="0"/>
  </r>
  <r>
    <x v="5"/>
    <x v="46"/>
    <m/>
    <m/>
    <m/>
    <m/>
    <m/>
    <m/>
    <m/>
    <m/>
    <m/>
    <n v="0"/>
  </r>
  <r>
    <x v="5"/>
    <x v="47"/>
    <m/>
    <m/>
    <m/>
    <m/>
    <m/>
    <m/>
    <m/>
    <m/>
    <m/>
    <n v="0"/>
  </r>
  <r>
    <x v="5"/>
    <x v="48"/>
    <m/>
    <m/>
    <m/>
    <m/>
    <m/>
    <m/>
    <m/>
    <m/>
    <m/>
    <n v="0"/>
  </r>
  <r>
    <x v="5"/>
    <x v="49"/>
    <n v="8"/>
    <n v="8"/>
    <n v="8"/>
    <n v="0"/>
    <n v="5"/>
    <n v="0"/>
    <n v="5"/>
    <n v="5"/>
    <n v="5"/>
    <n v="44"/>
  </r>
  <r>
    <x v="5"/>
    <x v="50"/>
    <m/>
    <m/>
    <m/>
    <m/>
    <m/>
    <m/>
    <m/>
    <m/>
    <m/>
    <n v="0"/>
  </r>
  <r>
    <x v="5"/>
    <x v="51"/>
    <m/>
    <m/>
    <m/>
    <m/>
    <m/>
    <m/>
    <m/>
    <m/>
    <m/>
    <n v="0"/>
  </r>
  <r>
    <x v="5"/>
    <x v="52"/>
    <n v="1"/>
    <n v="1"/>
    <m/>
    <n v="2"/>
    <n v="2"/>
    <n v="2"/>
    <m/>
    <n v="1"/>
    <n v="3"/>
    <n v="12"/>
  </r>
  <r>
    <x v="5"/>
    <x v="53"/>
    <m/>
    <m/>
    <n v="3"/>
    <m/>
    <n v="3"/>
    <n v="3"/>
    <n v="3"/>
    <n v="3"/>
    <n v="3"/>
    <n v="18"/>
  </r>
  <r>
    <x v="5"/>
    <x v="54"/>
    <n v="30"/>
    <n v="0"/>
    <n v="50"/>
    <n v="50"/>
    <n v="15"/>
    <n v="15"/>
    <n v="10"/>
    <n v="40"/>
    <n v="20"/>
    <n v="230"/>
  </r>
  <r>
    <x v="5"/>
    <x v="55"/>
    <n v="5"/>
    <n v="5"/>
    <n v="5"/>
    <n v="0"/>
    <n v="3"/>
    <n v="0"/>
    <n v="3"/>
    <n v="5"/>
    <n v="5"/>
    <n v="31"/>
  </r>
  <r>
    <x v="5"/>
    <x v="56"/>
    <n v="8"/>
    <n v="8"/>
    <m/>
    <m/>
    <m/>
    <m/>
    <m/>
    <m/>
    <m/>
    <n v="16"/>
  </r>
  <r>
    <x v="5"/>
    <x v="57"/>
    <m/>
    <m/>
    <m/>
    <m/>
    <m/>
    <m/>
    <m/>
    <m/>
    <m/>
    <n v="0"/>
  </r>
  <r>
    <x v="5"/>
    <x v="58"/>
    <n v="5"/>
    <n v="1"/>
    <n v="25"/>
    <n v="3"/>
    <n v="2"/>
    <n v="5"/>
    <m/>
    <n v="21"/>
    <n v="4"/>
    <n v="66"/>
  </r>
  <r>
    <x v="5"/>
    <x v="59"/>
    <n v="40"/>
    <m/>
    <m/>
    <m/>
    <m/>
    <m/>
    <m/>
    <n v="40"/>
    <m/>
    <n v="80"/>
  </r>
  <r>
    <x v="5"/>
    <x v="60"/>
    <n v="2"/>
    <n v="1"/>
    <n v="3"/>
    <n v="2"/>
    <n v="3"/>
    <n v="1"/>
    <n v="1"/>
    <n v="2"/>
    <n v="1"/>
    <n v="16"/>
  </r>
  <r>
    <x v="5"/>
    <x v="61"/>
    <m/>
    <m/>
    <m/>
    <m/>
    <n v="11"/>
    <n v="5"/>
    <n v="11"/>
    <m/>
    <m/>
    <n v="27"/>
  </r>
  <r>
    <x v="5"/>
    <x v="62"/>
    <m/>
    <m/>
    <n v="10"/>
    <m/>
    <m/>
    <n v="10"/>
    <m/>
    <m/>
    <m/>
    <n v="20"/>
  </r>
  <r>
    <x v="5"/>
    <x v="63"/>
    <m/>
    <m/>
    <m/>
    <m/>
    <n v="1"/>
    <m/>
    <m/>
    <m/>
    <n v="1"/>
    <n v="2"/>
  </r>
  <r>
    <x v="5"/>
    <x v="64"/>
    <n v="2"/>
    <m/>
    <n v="2"/>
    <n v="2"/>
    <n v="2"/>
    <m/>
    <m/>
    <n v="2"/>
    <m/>
    <n v="10"/>
  </r>
  <r>
    <x v="5"/>
    <x v="65"/>
    <n v="10"/>
    <m/>
    <n v="10"/>
    <n v="10"/>
    <n v="10"/>
    <m/>
    <m/>
    <n v="10"/>
    <m/>
    <n v="50"/>
  </r>
  <r>
    <x v="5"/>
    <x v="66"/>
    <n v="2"/>
    <m/>
    <n v="2"/>
    <n v="2"/>
    <n v="2"/>
    <m/>
    <m/>
    <n v="2"/>
    <m/>
    <n v="10"/>
  </r>
  <r>
    <x v="6"/>
    <x v="0"/>
    <m/>
    <m/>
    <n v="2"/>
    <n v="0"/>
    <m/>
    <m/>
    <m/>
    <m/>
    <m/>
    <n v="2"/>
  </r>
  <r>
    <x v="6"/>
    <x v="1"/>
    <m/>
    <m/>
    <n v="2"/>
    <n v="2"/>
    <m/>
    <m/>
    <m/>
    <m/>
    <m/>
    <n v="4"/>
  </r>
  <r>
    <x v="6"/>
    <x v="2"/>
    <m/>
    <m/>
    <n v="12"/>
    <n v="5"/>
    <m/>
    <m/>
    <m/>
    <m/>
    <m/>
    <n v="17"/>
  </r>
  <r>
    <x v="6"/>
    <x v="3"/>
    <m/>
    <m/>
    <n v="1"/>
    <n v="2"/>
    <m/>
    <m/>
    <m/>
    <m/>
    <m/>
    <n v="3"/>
  </r>
  <r>
    <x v="6"/>
    <x v="4"/>
    <m/>
    <m/>
    <n v="7"/>
    <n v="2"/>
    <m/>
    <m/>
    <m/>
    <m/>
    <m/>
    <n v="9"/>
  </r>
  <r>
    <x v="6"/>
    <x v="5"/>
    <m/>
    <m/>
    <m/>
    <m/>
    <m/>
    <m/>
    <m/>
    <m/>
    <m/>
    <n v="0"/>
  </r>
  <r>
    <x v="6"/>
    <x v="67"/>
    <m/>
    <m/>
    <n v="2"/>
    <n v="0"/>
    <m/>
    <m/>
    <m/>
    <m/>
    <m/>
    <n v="2"/>
  </r>
  <r>
    <x v="6"/>
    <x v="6"/>
    <m/>
    <m/>
    <m/>
    <m/>
    <m/>
    <m/>
    <m/>
    <m/>
    <m/>
    <n v="0"/>
  </r>
  <r>
    <x v="6"/>
    <x v="68"/>
    <m/>
    <m/>
    <n v="2"/>
    <n v="8"/>
    <m/>
    <m/>
    <m/>
    <m/>
    <m/>
    <n v="10"/>
  </r>
  <r>
    <x v="6"/>
    <x v="7"/>
    <m/>
    <m/>
    <m/>
    <m/>
    <m/>
    <m/>
    <m/>
    <m/>
    <m/>
    <n v="0"/>
  </r>
  <r>
    <x v="6"/>
    <x v="8"/>
    <m/>
    <m/>
    <n v="9"/>
    <n v="0"/>
    <m/>
    <m/>
    <m/>
    <m/>
    <m/>
    <n v="9"/>
  </r>
  <r>
    <x v="6"/>
    <x v="9"/>
    <m/>
    <m/>
    <n v="0"/>
    <n v="3"/>
    <m/>
    <m/>
    <m/>
    <m/>
    <m/>
    <n v="3"/>
  </r>
  <r>
    <x v="6"/>
    <x v="10"/>
    <m/>
    <m/>
    <m/>
    <m/>
    <m/>
    <m/>
    <m/>
    <m/>
    <m/>
    <n v="0"/>
  </r>
  <r>
    <x v="6"/>
    <x v="69"/>
    <m/>
    <m/>
    <n v="1"/>
    <n v="1"/>
    <m/>
    <m/>
    <m/>
    <m/>
    <m/>
    <n v="2"/>
  </r>
  <r>
    <x v="6"/>
    <x v="11"/>
    <m/>
    <m/>
    <n v="2"/>
    <n v="2"/>
    <m/>
    <m/>
    <m/>
    <m/>
    <m/>
    <n v="4"/>
  </r>
  <r>
    <x v="6"/>
    <x v="70"/>
    <m/>
    <m/>
    <n v="2"/>
    <n v="0"/>
    <m/>
    <m/>
    <m/>
    <m/>
    <m/>
    <n v="2"/>
  </r>
  <r>
    <x v="6"/>
    <x v="12"/>
    <m/>
    <m/>
    <n v="3"/>
    <n v="0"/>
    <m/>
    <m/>
    <m/>
    <m/>
    <m/>
    <n v="3"/>
  </r>
  <r>
    <x v="6"/>
    <x v="13"/>
    <m/>
    <m/>
    <n v="3"/>
    <n v="0"/>
    <m/>
    <m/>
    <m/>
    <m/>
    <m/>
    <n v="3"/>
  </r>
  <r>
    <x v="6"/>
    <x v="71"/>
    <m/>
    <m/>
    <n v="3"/>
    <n v="3"/>
    <m/>
    <m/>
    <m/>
    <m/>
    <m/>
    <n v="6"/>
  </r>
  <r>
    <x v="6"/>
    <x v="14"/>
    <m/>
    <m/>
    <m/>
    <m/>
    <m/>
    <m/>
    <m/>
    <m/>
    <m/>
    <n v="0"/>
  </r>
  <r>
    <x v="6"/>
    <x v="15"/>
    <m/>
    <m/>
    <n v="2"/>
    <n v="0"/>
    <m/>
    <m/>
    <m/>
    <m/>
    <m/>
    <n v="2"/>
  </r>
  <r>
    <x v="6"/>
    <x v="16"/>
    <m/>
    <m/>
    <n v="1"/>
    <n v="4"/>
    <m/>
    <m/>
    <m/>
    <m/>
    <m/>
    <n v="5"/>
  </r>
  <r>
    <x v="6"/>
    <x v="17"/>
    <m/>
    <m/>
    <n v="0"/>
    <n v="4"/>
    <m/>
    <m/>
    <m/>
    <m/>
    <m/>
    <n v="4"/>
  </r>
  <r>
    <x v="6"/>
    <x v="18"/>
    <m/>
    <m/>
    <m/>
    <m/>
    <m/>
    <m/>
    <m/>
    <m/>
    <m/>
    <n v="0"/>
  </r>
  <r>
    <x v="6"/>
    <x v="19"/>
    <m/>
    <m/>
    <m/>
    <m/>
    <m/>
    <m/>
    <m/>
    <m/>
    <m/>
    <n v="0"/>
  </r>
  <r>
    <x v="6"/>
    <x v="20"/>
    <m/>
    <m/>
    <n v="3"/>
    <n v="5"/>
    <m/>
    <m/>
    <m/>
    <m/>
    <m/>
    <n v="8"/>
  </r>
  <r>
    <x v="6"/>
    <x v="21"/>
    <m/>
    <m/>
    <n v="3"/>
    <n v="0"/>
    <m/>
    <m/>
    <m/>
    <m/>
    <m/>
    <n v="3"/>
  </r>
  <r>
    <x v="6"/>
    <x v="72"/>
    <m/>
    <m/>
    <n v="1"/>
    <n v="2"/>
    <m/>
    <m/>
    <m/>
    <m/>
    <m/>
    <n v="3"/>
  </r>
  <r>
    <x v="6"/>
    <x v="22"/>
    <m/>
    <m/>
    <m/>
    <m/>
    <m/>
    <m/>
    <m/>
    <m/>
    <m/>
    <n v="0"/>
  </r>
  <r>
    <x v="6"/>
    <x v="23"/>
    <m/>
    <m/>
    <n v="0"/>
    <n v="2"/>
    <m/>
    <m/>
    <m/>
    <m/>
    <m/>
    <n v="2"/>
  </r>
  <r>
    <x v="6"/>
    <x v="24"/>
    <m/>
    <m/>
    <n v="0"/>
    <n v="2"/>
    <m/>
    <m/>
    <m/>
    <m/>
    <m/>
    <n v="2"/>
  </r>
  <r>
    <x v="6"/>
    <x v="25"/>
    <m/>
    <m/>
    <n v="4"/>
    <n v="0"/>
    <m/>
    <m/>
    <m/>
    <m/>
    <m/>
    <n v="4"/>
  </r>
  <r>
    <x v="6"/>
    <x v="26"/>
    <m/>
    <m/>
    <n v="1"/>
    <n v="9"/>
    <m/>
    <m/>
    <m/>
    <m/>
    <m/>
    <n v="10"/>
  </r>
  <r>
    <x v="6"/>
    <x v="73"/>
    <m/>
    <m/>
    <m/>
    <m/>
    <m/>
    <m/>
    <m/>
    <m/>
    <m/>
    <n v="0"/>
  </r>
  <r>
    <x v="6"/>
    <x v="27"/>
    <m/>
    <m/>
    <m/>
    <m/>
    <m/>
    <m/>
    <m/>
    <m/>
    <m/>
    <n v="0"/>
  </r>
  <r>
    <x v="6"/>
    <x v="74"/>
    <m/>
    <m/>
    <n v="2"/>
    <n v="0"/>
    <m/>
    <m/>
    <m/>
    <m/>
    <m/>
    <n v="2"/>
  </r>
  <r>
    <x v="6"/>
    <x v="28"/>
    <m/>
    <m/>
    <n v="2"/>
    <n v="2"/>
    <m/>
    <m/>
    <m/>
    <m/>
    <m/>
    <n v="4"/>
  </r>
  <r>
    <x v="6"/>
    <x v="29"/>
    <m/>
    <m/>
    <n v="3"/>
    <n v="0"/>
    <m/>
    <m/>
    <m/>
    <m/>
    <m/>
    <n v="3"/>
  </r>
  <r>
    <x v="6"/>
    <x v="75"/>
    <m/>
    <m/>
    <n v="3"/>
    <n v="0"/>
    <m/>
    <m/>
    <m/>
    <m/>
    <m/>
    <n v="3"/>
  </r>
  <r>
    <x v="6"/>
    <x v="30"/>
    <m/>
    <m/>
    <n v="4"/>
    <n v="0"/>
    <m/>
    <m/>
    <m/>
    <m/>
    <m/>
    <n v="4"/>
  </r>
  <r>
    <x v="6"/>
    <x v="31"/>
    <m/>
    <m/>
    <n v="6"/>
    <n v="7"/>
    <m/>
    <m/>
    <m/>
    <m/>
    <m/>
    <n v="13"/>
  </r>
  <r>
    <x v="6"/>
    <x v="32"/>
    <m/>
    <m/>
    <m/>
    <m/>
    <m/>
    <m/>
    <m/>
    <m/>
    <m/>
    <n v="0"/>
  </r>
  <r>
    <x v="6"/>
    <x v="33"/>
    <m/>
    <m/>
    <n v="0"/>
    <n v="3"/>
    <m/>
    <m/>
    <m/>
    <m/>
    <m/>
    <n v="3"/>
  </r>
  <r>
    <x v="6"/>
    <x v="34"/>
    <m/>
    <m/>
    <n v="3"/>
    <n v="4"/>
    <m/>
    <m/>
    <m/>
    <m/>
    <m/>
    <n v="7"/>
  </r>
  <r>
    <x v="6"/>
    <x v="35"/>
    <m/>
    <m/>
    <n v="2"/>
    <n v="10"/>
    <m/>
    <m/>
    <m/>
    <m/>
    <m/>
    <n v="12"/>
  </r>
  <r>
    <x v="6"/>
    <x v="36"/>
    <m/>
    <m/>
    <n v="1"/>
    <n v="4"/>
    <m/>
    <m/>
    <m/>
    <m/>
    <m/>
    <n v="5"/>
  </r>
  <r>
    <x v="6"/>
    <x v="37"/>
    <m/>
    <m/>
    <m/>
    <m/>
    <m/>
    <m/>
    <m/>
    <m/>
    <m/>
    <n v="0"/>
  </r>
  <r>
    <x v="6"/>
    <x v="38"/>
    <m/>
    <m/>
    <m/>
    <m/>
    <m/>
    <m/>
    <m/>
    <m/>
    <m/>
    <n v="0"/>
  </r>
  <r>
    <x v="6"/>
    <x v="39"/>
    <m/>
    <m/>
    <m/>
    <m/>
    <m/>
    <m/>
    <m/>
    <m/>
    <m/>
    <n v="0"/>
  </r>
  <r>
    <x v="6"/>
    <x v="76"/>
    <m/>
    <m/>
    <n v="2"/>
    <n v="0"/>
    <m/>
    <m/>
    <m/>
    <m/>
    <m/>
    <n v="2"/>
  </r>
  <r>
    <x v="6"/>
    <x v="40"/>
    <m/>
    <m/>
    <n v="7"/>
    <n v="1"/>
    <m/>
    <m/>
    <m/>
    <m/>
    <m/>
    <n v="8"/>
  </r>
  <r>
    <x v="6"/>
    <x v="41"/>
    <m/>
    <m/>
    <m/>
    <m/>
    <m/>
    <m/>
    <m/>
    <m/>
    <m/>
    <n v="0"/>
  </r>
  <r>
    <x v="6"/>
    <x v="42"/>
    <m/>
    <m/>
    <n v="21"/>
    <n v="0"/>
    <m/>
    <m/>
    <m/>
    <m/>
    <m/>
    <n v="21"/>
  </r>
  <r>
    <x v="6"/>
    <x v="43"/>
    <m/>
    <m/>
    <n v="13"/>
    <n v="1"/>
    <m/>
    <m/>
    <m/>
    <m/>
    <m/>
    <n v="14"/>
  </r>
  <r>
    <x v="6"/>
    <x v="44"/>
    <m/>
    <m/>
    <m/>
    <m/>
    <m/>
    <m/>
    <m/>
    <m/>
    <m/>
    <n v="0"/>
  </r>
  <r>
    <x v="6"/>
    <x v="45"/>
    <m/>
    <m/>
    <n v="7"/>
    <n v="5"/>
    <m/>
    <m/>
    <m/>
    <m/>
    <m/>
    <n v="12"/>
  </r>
  <r>
    <x v="6"/>
    <x v="77"/>
    <m/>
    <m/>
    <n v="2"/>
    <n v="0"/>
    <m/>
    <m/>
    <m/>
    <m/>
    <m/>
    <n v="2"/>
  </r>
  <r>
    <x v="6"/>
    <x v="46"/>
    <m/>
    <m/>
    <n v="0"/>
    <n v="2"/>
    <m/>
    <m/>
    <m/>
    <m/>
    <m/>
    <n v="2"/>
  </r>
  <r>
    <x v="6"/>
    <x v="47"/>
    <m/>
    <m/>
    <n v="5"/>
    <n v="0"/>
    <m/>
    <m/>
    <m/>
    <m/>
    <m/>
    <n v="5"/>
  </r>
  <r>
    <x v="6"/>
    <x v="48"/>
    <m/>
    <m/>
    <n v="0"/>
    <n v="3"/>
    <m/>
    <m/>
    <m/>
    <m/>
    <m/>
    <n v="3"/>
  </r>
  <r>
    <x v="6"/>
    <x v="49"/>
    <m/>
    <m/>
    <m/>
    <m/>
    <m/>
    <m/>
    <m/>
    <m/>
    <m/>
    <n v="0"/>
  </r>
  <r>
    <x v="6"/>
    <x v="50"/>
    <m/>
    <m/>
    <n v="5"/>
    <n v="0"/>
    <m/>
    <m/>
    <m/>
    <m/>
    <m/>
    <n v="5"/>
  </r>
  <r>
    <x v="6"/>
    <x v="51"/>
    <m/>
    <m/>
    <n v="17"/>
    <n v="8"/>
    <m/>
    <m/>
    <m/>
    <m/>
    <m/>
    <n v="25"/>
  </r>
  <r>
    <x v="7"/>
    <x v="0"/>
    <n v="30"/>
    <m/>
    <n v="25"/>
    <m/>
    <m/>
    <m/>
    <m/>
    <n v="30"/>
    <m/>
    <n v="85"/>
  </r>
  <r>
    <x v="7"/>
    <x v="1"/>
    <n v="20"/>
    <n v="20"/>
    <n v="20"/>
    <n v="20"/>
    <n v="20"/>
    <n v="20"/>
    <n v="20"/>
    <n v="20"/>
    <n v="30"/>
    <n v="190"/>
  </r>
  <r>
    <x v="7"/>
    <x v="2"/>
    <m/>
    <m/>
    <n v="30"/>
    <n v="25"/>
    <m/>
    <m/>
    <m/>
    <m/>
    <n v="2"/>
    <n v="57"/>
  </r>
  <r>
    <x v="7"/>
    <x v="3"/>
    <n v="20"/>
    <n v="30"/>
    <n v="30"/>
    <n v="30"/>
    <n v="30"/>
    <n v="30"/>
    <n v="30"/>
    <n v="30"/>
    <m/>
    <n v="230"/>
  </r>
  <r>
    <x v="7"/>
    <x v="4"/>
    <m/>
    <m/>
    <n v="30"/>
    <n v="30"/>
    <n v="30"/>
    <m/>
    <m/>
    <n v="30"/>
    <n v="2"/>
    <n v="122"/>
  </r>
  <r>
    <x v="7"/>
    <x v="5"/>
    <n v="30"/>
    <m/>
    <n v="30"/>
    <n v="30"/>
    <n v="30"/>
    <n v="30"/>
    <n v="20"/>
    <n v="30"/>
    <n v="20"/>
    <n v="220"/>
  </r>
  <r>
    <x v="7"/>
    <x v="6"/>
    <m/>
    <m/>
    <n v="15"/>
    <n v="15"/>
    <n v="15"/>
    <n v="15"/>
    <m/>
    <n v="15"/>
    <n v="10"/>
    <n v="85"/>
  </r>
  <r>
    <x v="7"/>
    <x v="7"/>
    <m/>
    <n v="30"/>
    <n v="25"/>
    <n v="30"/>
    <m/>
    <n v="30"/>
    <m/>
    <n v="30"/>
    <n v="1"/>
    <n v="146"/>
  </r>
  <r>
    <x v="7"/>
    <x v="8"/>
    <n v="30"/>
    <n v="30"/>
    <n v="30"/>
    <n v="30"/>
    <n v="25"/>
    <n v="25"/>
    <n v="25"/>
    <n v="25"/>
    <n v="15"/>
    <n v="235"/>
  </r>
  <r>
    <x v="7"/>
    <x v="9"/>
    <m/>
    <m/>
    <m/>
    <n v="25"/>
    <m/>
    <m/>
    <m/>
    <m/>
    <n v="2"/>
    <n v="27"/>
  </r>
  <r>
    <x v="7"/>
    <x v="10"/>
    <m/>
    <m/>
    <n v="25"/>
    <n v="30"/>
    <m/>
    <n v="30"/>
    <m/>
    <n v="30"/>
    <n v="1"/>
    <n v="116"/>
  </r>
  <r>
    <x v="7"/>
    <x v="11"/>
    <n v="30"/>
    <m/>
    <n v="30"/>
    <n v="30"/>
    <n v="30"/>
    <n v="30"/>
    <n v="30"/>
    <n v="30"/>
    <n v="30"/>
    <n v="240"/>
  </r>
  <r>
    <x v="7"/>
    <x v="12"/>
    <n v="5"/>
    <m/>
    <n v="5"/>
    <m/>
    <m/>
    <n v="5"/>
    <n v="5"/>
    <m/>
    <m/>
    <n v="20"/>
  </r>
  <r>
    <x v="7"/>
    <x v="13"/>
    <m/>
    <m/>
    <n v="20"/>
    <m/>
    <n v="20"/>
    <m/>
    <n v="20"/>
    <n v="20"/>
    <n v="10"/>
    <n v="90"/>
  </r>
  <r>
    <x v="7"/>
    <x v="14"/>
    <m/>
    <n v="30"/>
    <n v="25"/>
    <n v="30"/>
    <m/>
    <n v="30"/>
    <m/>
    <n v="30"/>
    <m/>
    <n v="145"/>
  </r>
  <r>
    <x v="7"/>
    <x v="15"/>
    <n v="30"/>
    <n v="30"/>
    <n v="30"/>
    <n v="30"/>
    <n v="30"/>
    <n v="30"/>
    <n v="30"/>
    <n v="30"/>
    <n v="30"/>
    <n v="270"/>
  </r>
  <r>
    <x v="7"/>
    <x v="16"/>
    <n v="30"/>
    <m/>
    <m/>
    <m/>
    <m/>
    <m/>
    <m/>
    <m/>
    <m/>
    <n v="30"/>
  </r>
  <r>
    <x v="7"/>
    <x v="17"/>
    <m/>
    <m/>
    <m/>
    <n v="25"/>
    <n v="30"/>
    <m/>
    <n v="30"/>
    <m/>
    <n v="1"/>
    <n v="86"/>
  </r>
  <r>
    <x v="7"/>
    <x v="18"/>
    <m/>
    <n v="30"/>
    <m/>
    <m/>
    <m/>
    <n v="30"/>
    <m/>
    <n v="30"/>
    <m/>
    <n v="90"/>
  </r>
  <r>
    <x v="7"/>
    <x v="19"/>
    <m/>
    <n v="20"/>
    <m/>
    <n v="20"/>
    <m/>
    <m/>
    <m/>
    <m/>
    <m/>
    <n v="40"/>
  </r>
  <r>
    <x v="7"/>
    <x v="20"/>
    <m/>
    <m/>
    <m/>
    <m/>
    <m/>
    <m/>
    <m/>
    <m/>
    <n v="3"/>
    <n v="3"/>
  </r>
  <r>
    <x v="7"/>
    <x v="21"/>
    <m/>
    <n v="15"/>
    <m/>
    <m/>
    <n v="2"/>
    <n v="2"/>
    <n v="2"/>
    <n v="14"/>
    <m/>
    <n v="35"/>
  </r>
  <r>
    <x v="7"/>
    <x v="22"/>
    <m/>
    <m/>
    <m/>
    <m/>
    <n v="1"/>
    <n v="3"/>
    <n v="1"/>
    <n v="3"/>
    <m/>
    <n v="8"/>
  </r>
  <r>
    <x v="7"/>
    <x v="23"/>
    <n v="30"/>
    <m/>
    <m/>
    <m/>
    <m/>
    <m/>
    <m/>
    <m/>
    <m/>
    <n v="30"/>
  </r>
  <r>
    <x v="7"/>
    <x v="24"/>
    <m/>
    <m/>
    <m/>
    <m/>
    <m/>
    <m/>
    <m/>
    <m/>
    <m/>
    <n v="0"/>
  </r>
  <r>
    <x v="7"/>
    <x v="25"/>
    <n v="10"/>
    <m/>
    <n v="10"/>
    <n v="5"/>
    <n v="10"/>
    <n v="15"/>
    <n v="15"/>
    <n v="15"/>
    <n v="5"/>
    <n v="85"/>
  </r>
  <r>
    <x v="7"/>
    <x v="26"/>
    <n v="30"/>
    <m/>
    <m/>
    <m/>
    <n v="30"/>
    <m/>
    <n v="30"/>
    <m/>
    <n v="1"/>
    <n v="91"/>
  </r>
  <r>
    <x v="7"/>
    <x v="27"/>
    <m/>
    <m/>
    <m/>
    <m/>
    <m/>
    <m/>
    <m/>
    <m/>
    <m/>
    <n v="0"/>
  </r>
  <r>
    <x v="7"/>
    <x v="28"/>
    <m/>
    <n v="15"/>
    <n v="30"/>
    <n v="30"/>
    <m/>
    <m/>
    <m/>
    <m/>
    <n v="1"/>
    <n v="76"/>
  </r>
  <r>
    <x v="7"/>
    <x v="29"/>
    <n v="30"/>
    <m/>
    <n v="25"/>
    <n v="30"/>
    <m/>
    <n v="30"/>
    <m/>
    <n v="30"/>
    <n v="2"/>
    <n v="147"/>
  </r>
  <r>
    <x v="7"/>
    <x v="30"/>
    <m/>
    <n v="30"/>
    <n v="25"/>
    <n v="30"/>
    <m/>
    <n v="30"/>
    <m/>
    <n v="30"/>
    <m/>
    <n v="145"/>
  </r>
  <r>
    <x v="7"/>
    <x v="31"/>
    <m/>
    <n v="30"/>
    <n v="30"/>
    <n v="30"/>
    <n v="4"/>
    <n v="30"/>
    <n v="4"/>
    <n v="30"/>
    <n v="19"/>
    <n v="177"/>
  </r>
  <r>
    <x v="7"/>
    <x v="32"/>
    <n v="30"/>
    <m/>
    <n v="30"/>
    <n v="30"/>
    <n v="30"/>
    <n v="30"/>
    <n v="30"/>
    <n v="30"/>
    <n v="30"/>
    <n v="240"/>
  </r>
  <r>
    <x v="7"/>
    <x v="33"/>
    <m/>
    <n v="20"/>
    <m/>
    <m/>
    <m/>
    <m/>
    <m/>
    <m/>
    <m/>
    <n v="20"/>
  </r>
  <r>
    <x v="7"/>
    <x v="34"/>
    <m/>
    <n v="30"/>
    <n v="25"/>
    <n v="30"/>
    <m/>
    <n v="30"/>
    <m/>
    <n v="30"/>
    <n v="10"/>
    <n v="155"/>
  </r>
  <r>
    <x v="7"/>
    <x v="35"/>
    <n v="30"/>
    <m/>
    <n v="30"/>
    <n v="30"/>
    <n v="30"/>
    <n v="30"/>
    <n v="30"/>
    <n v="30"/>
    <n v="30"/>
    <n v="240"/>
  </r>
  <r>
    <x v="7"/>
    <x v="36"/>
    <m/>
    <n v="20"/>
    <m/>
    <m/>
    <m/>
    <m/>
    <m/>
    <m/>
    <m/>
    <n v="20"/>
  </r>
  <r>
    <x v="7"/>
    <x v="37"/>
    <m/>
    <m/>
    <m/>
    <m/>
    <m/>
    <m/>
    <m/>
    <m/>
    <m/>
    <n v="0"/>
  </r>
  <r>
    <x v="7"/>
    <x v="38"/>
    <n v="10"/>
    <m/>
    <n v="10"/>
    <n v="10"/>
    <n v="15"/>
    <n v="10"/>
    <n v="10"/>
    <n v="15"/>
    <n v="3"/>
    <n v="83"/>
  </r>
  <r>
    <x v="7"/>
    <x v="39"/>
    <n v="30"/>
    <m/>
    <n v="28"/>
    <n v="30"/>
    <n v="5"/>
    <n v="30"/>
    <n v="30"/>
    <n v="30"/>
    <n v="1"/>
    <n v="184"/>
  </r>
  <r>
    <x v="7"/>
    <x v="40"/>
    <n v="30"/>
    <m/>
    <n v="30"/>
    <n v="30"/>
    <m/>
    <m/>
    <m/>
    <m/>
    <n v="30"/>
    <n v="120"/>
  </r>
  <r>
    <x v="7"/>
    <x v="41"/>
    <m/>
    <m/>
    <m/>
    <m/>
    <m/>
    <m/>
    <m/>
    <m/>
    <m/>
    <n v="0"/>
  </r>
  <r>
    <x v="7"/>
    <x v="42"/>
    <n v="30"/>
    <m/>
    <n v="30"/>
    <n v="25"/>
    <n v="30"/>
    <n v="15"/>
    <n v="20"/>
    <n v="30"/>
    <n v="15"/>
    <n v="195"/>
  </r>
  <r>
    <x v="7"/>
    <x v="43"/>
    <n v="30"/>
    <n v="30"/>
    <n v="25"/>
    <n v="25"/>
    <n v="26"/>
    <n v="20"/>
    <n v="20"/>
    <n v="26"/>
    <n v="10"/>
    <n v="212"/>
  </r>
  <r>
    <x v="7"/>
    <x v="44"/>
    <m/>
    <m/>
    <m/>
    <m/>
    <m/>
    <m/>
    <m/>
    <m/>
    <m/>
    <n v="0"/>
  </r>
  <r>
    <x v="7"/>
    <x v="45"/>
    <m/>
    <m/>
    <n v="30"/>
    <n v="30"/>
    <m/>
    <m/>
    <m/>
    <m/>
    <n v="30"/>
    <n v="90"/>
  </r>
  <r>
    <x v="7"/>
    <x v="46"/>
    <m/>
    <n v="25"/>
    <n v="25"/>
    <n v="25"/>
    <m/>
    <m/>
    <m/>
    <m/>
    <n v="2"/>
    <n v="77"/>
  </r>
  <r>
    <x v="7"/>
    <x v="47"/>
    <m/>
    <m/>
    <m/>
    <m/>
    <m/>
    <m/>
    <m/>
    <m/>
    <m/>
    <n v="0"/>
  </r>
  <r>
    <x v="7"/>
    <x v="48"/>
    <m/>
    <n v="30"/>
    <m/>
    <m/>
    <m/>
    <n v="30"/>
    <m/>
    <n v="30"/>
    <n v="10"/>
    <n v="100"/>
  </r>
  <r>
    <x v="7"/>
    <x v="49"/>
    <m/>
    <m/>
    <m/>
    <m/>
    <m/>
    <m/>
    <m/>
    <m/>
    <n v="10"/>
    <n v="10"/>
  </r>
  <r>
    <x v="7"/>
    <x v="50"/>
    <m/>
    <n v="21"/>
    <m/>
    <n v="21"/>
    <m/>
    <n v="21"/>
    <n v="5"/>
    <n v="25"/>
    <m/>
    <n v="93"/>
  </r>
  <r>
    <x v="7"/>
    <x v="51"/>
    <n v="20"/>
    <n v="20"/>
    <n v="22"/>
    <n v="31"/>
    <n v="24"/>
    <n v="20"/>
    <n v="24"/>
    <n v="20"/>
    <n v="12"/>
    <n v="193"/>
  </r>
  <r>
    <x v="7"/>
    <x v="78"/>
    <m/>
    <n v="20"/>
    <m/>
    <m/>
    <m/>
    <m/>
    <m/>
    <m/>
    <m/>
    <n v="20"/>
  </r>
  <r>
    <x v="7"/>
    <x v="71"/>
    <m/>
    <m/>
    <m/>
    <m/>
    <n v="30"/>
    <m/>
    <n v="30"/>
    <m/>
    <m/>
    <n v="60"/>
  </r>
  <r>
    <x v="7"/>
    <x v="72"/>
    <n v="30"/>
    <m/>
    <m/>
    <m/>
    <n v="30"/>
    <m/>
    <n v="30"/>
    <m/>
    <m/>
    <n v="90"/>
  </r>
  <r>
    <x v="7"/>
    <x v="79"/>
    <m/>
    <m/>
    <m/>
    <n v="25"/>
    <n v="30"/>
    <m/>
    <n v="30"/>
    <m/>
    <m/>
    <n v="85"/>
  </r>
  <r>
    <x v="7"/>
    <x v="80"/>
    <n v="10"/>
    <n v="10"/>
    <n v="5"/>
    <n v="5"/>
    <n v="10"/>
    <n v="10"/>
    <n v="10"/>
    <n v="10"/>
    <n v="5"/>
    <n v="75"/>
  </r>
  <r>
    <x v="7"/>
    <x v="81"/>
    <m/>
    <m/>
    <m/>
    <m/>
    <m/>
    <m/>
    <m/>
    <m/>
    <m/>
    <n v="0"/>
  </r>
  <r>
    <x v="7"/>
    <x v="82"/>
    <m/>
    <n v="30"/>
    <m/>
    <m/>
    <m/>
    <m/>
    <m/>
    <m/>
    <m/>
    <n v="30"/>
  </r>
  <r>
    <x v="7"/>
    <x v="83"/>
    <m/>
    <n v="30"/>
    <m/>
    <m/>
    <m/>
    <m/>
    <m/>
    <m/>
    <m/>
    <n v="30"/>
  </r>
  <r>
    <x v="7"/>
    <x v="84"/>
    <m/>
    <n v="30"/>
    <m/>
    <m/>
    <m/>
    <m/>
    <m/>
    <m/>
    <m/>
    <n v="30"/>
  </r>
  <r>
    <x v="7"/>
    <x v="85"/>
    <m/>
    <n v="30"/>
    <m/>
    <m/>
    <m/>
    <m/>
    <m/>
    <m/>
    <m/>
    <n v="30"/>
  </r>
  <r>
    <x v="7"/>
    <x v="86"/>
    <n v="20"/>
    <n v="20"/>
    <n v="20"/>
    <n v="60"/>
    <n v="20"/>
    <n v="20"/>
    <n v="20"/>
    <n v="20"/>
    <n v="10"/>
    <n v="210"/>
  </r>
  <r>
    <x v="7"/>
    <x v="21"/>
    <m/>
    <n v="15"/>
    <m/>
    <m/>
    <n v="2"/>
    <n v="2"/>
    <n v="2"/>
    <n v="15"/>
    <m/>
    <n v="36"/>
  </r>
  <r>
    <x v="7"/>
    <x v="87"/>
    <m/>
    <m/>
    <m/>
    <m/>
    <m/>
    <m/>
    <m/>
    <n v="30"/>
    <n v="5"/>
    <n v="35"/>
  </r>
  <r>
    <x v="7"/>
    <x v="88"/>
    <m/>
    <n v="30"/>
    <n v="2"/>
    <n v="35"/>
    <n v="2"/>
    <n v="6"/>
    <n v="5"/>
    <n v="5"/>
    <m/>
    <n v="85"/>
  </r>
  <r>
    <x v="7"/>
    <x v="76"/>
    <m/>
    <m/>
    <n v="20"/>
    <n v="15"/>
    <m/>
    <m/>
    <m/>
    <m/>
    <m/>
    <n v="35"/>
  </r>
  <r>
    <x v="7"/>
    <x v="69"/>
    <m/>
    <m/>
    <n v="20"/>
    <n v="15"/>
    <m/>
    <m/>
    <m/>
    <m/>
    <m/>
    <n v="35"/>
  </r>
  <r>
    <x v="7"/>
    <x v="89"/>
    <m/>
    <m/>
    <n v="4"/>
    <m/>
    <m/>
    <m/>
    <m/>
    <m/>
    <n v="3"/>
    <n v="7"/>
  </r>
  <r>
    <x v="8"/>
    <x v="57"/>
    <n v="40"/>
    <m/>
    <m/>
    <m/>
    <m/>
    <m/>
    <m/>
    <m/>
    <m/>
    <n v="40"/>
  </r>
  <r>
    <x v="8"/>
    <x v="59"/>
    <n v="40"/>
    <m/>
    <m/>
    <m/>
    <m/>
    <m/>
    <m/>
    <m/>
    <m/>
    <n v="40"/>
  </r>
  <r>
    <x v="8"/>
    <x v="58"/>
    <n v="40"/>
    <m/>
    <m/>
    <m/>
    <m/>
    <m/>
    <m/>
    <m/>
    <m/>
    <n v="40"/>
  </r>
  <r>
    <x v="8"/>
    <x v="64"/>
    <n v="40"/>
    <m/>
    <m/>
    <m/>
    <m/>
    <m/>
    <m/>
    <m/>
    <m/>
    <n v="40"/>
  </r>
  <r>
    <x v="8"/>
    <x v="54"/>
    <n v="40"/>
    <m/>
    <m/>
    <m/>
    <m/>
    <m/>
    <m/>
    <m/>
    <m/>
    <n v="40"/>
  </r>
  <r>
    <x v="8"/>
    <x v="61"/>
    <n v="40"/>
    <m/>
    <m/>
    <m/>
    <m/>
    <m/>
    <m/>
    <m/>
    <m/>
    <n v="40"/>
  </r>
  <r>
    <x v="8"/>
    <x v="90"/>
    <m/>
    <n v="40"/>
    <m/>
    <m/>
    <m/>
    <m/>
    <m/>
    <m/>
    <m/>
    <n v="40"/>
  </r>
  <r>
    <x v="8"/>
    <x v="91"/>
    <m/>
    <n v="40"/>
    <m/>
    <m/>
    <m/>
    <m/>
    <m/>
    <m/>
    <m/>
    <n v="40"/>
  </r>
  <r>
    <x v="8"/>
    <x v="65"/>
    <m/>
    <n v="40"/>
    <m/>
    <m/>
    <m/>
    <m/>
    <m/>
    <m/>
    <m/>
    <n v="40"/>
  </r>
  <r>
    <x v="8"/>
    <x v="92"/>
    <m/>
    <n v="40"/>
    <m/>
    <m/>
    <m/>
    <m/>
    <m/>
    <m/>
    <m/>
    <n v="40"/>
  </r>
  <r>
    <x v="8"/>
    <x v="93"/>
    <m/>
    <n v="40"/>
    <m/>
    <m/>
    <m/>
    <m/>
    <m/>
    <m/>
    <m/>
    <n v="40"/>
  </r>
  <r>
    <x v="8"/>
    <x v="94"/>
    <m/>
    <n v="40"/>
    <m/>
    <m/>
    <m/>
    <m/>
    <m/>
    <m/>
    <m/>
    <n v="40"/>
  </r>
  <r>
    <x v="8"/>
    <x v="95"/>
    <m/>
    <n v="40"/>
    <m/>
    <m/>
    <m/>
    <m/>
    <m/>
    <m/>
    <m/>
    <n v="40"/>
  </r>
  <r>
    <x v="8"/>
    <x v="54"/>
    <m/>
    <m/>
    <m/>
    <m/>
    <m/>
    <m/>
    <m/>
    <m/>
    <n v="25"/>
    <n v="25"/>
  </r>
  <r>
    <x v="8"/>
    <x v="61"/>
    <m/>
    <m/>
    <m/>
    <m/>
    <m/>
    <m/>
    <m/>
    <m/>
    <n v="25"/>
    <n v="25"/>
  </r>
  <r>
    <x v="8"/>
    <x v="91"/>
    <m/>
    <m/>
    <m/>
    <m/>
    <m/>
    <m/>
    <m/>
    <m/>
    <n v="25"/>
    <n v="25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  <r>
    <x v="9"/>
    <x v="96"/>
    <m/>
    <m/>
    <m/>
    <m/>
    <m/>
    <m/>
    <m/>
    <m/>
    <m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5">
  <r>
    <x v="0"/>
    <x v="0"/>
    <m/>
    <n v="18"/>
    <n v="69"/>
    <m/>
    <m/>
    <m/>
    <n v="87"/>
  </r>
  <r>
    <x v="0"/>
    <x v="1"/>
    <m/>
    <m/>
    <n v="16"/>
    <m/>
    <m/>
    <m/>
    <n v="16"/>
  </r>
  <r>
    <x v="1"/>
    <x v="0"/>
    <n v="20"/>
    <n v="16"/>
    <n v="14"/>
    <n v="38"/>
    <n v="22"/>
    <n v="42"/>
    <n v="152"/>
  </r>
  <r>
    <x v="1"/>
    <x v="1"/>
    <n v="20"/>
    <n v="14"/>
    <n v="12"/>
    <n v="30"/>
    <n v="16"/>
    <n v="26"/>
    <n v="118"/>
  </r>
  <r>
    <x v="2"/>
    <x v="0"/>
    <m/>
    <m/>
    <m/>
    <m/>
    <m/>
    <m/>
    <n v="0"/>
  </r>
  <r>
    <x v="2"/>
    <x v="1"/>
    <m/>
    <m/>
    <n v="2"/>
    <m/>
    <m/>
    <m/>
    <n v="2"/>
  </r>
  <r>
    <x v="3"/>
    <x v="0"/>
    <n v="0"/>
    <n v="0"/>
    <n v="1"/>
    <n v="2"/>
    <n v="0"/>
    <n v="1"/>
    <n v="4"/>
  </r>
  <r>
    <x v="3"/>
    <x v="1"/>
    <n v="0"/>
    <n v="0"/>
    <n v="2"/>
    <n v="2"/>
    <n v="0"/>
    <n v="1"/>
    <n v="5"/>
  </r>
  <r>
    <x v="4"/>
    <x v="0"/>
    <m/>
    <m/>
    <n v="1"/>
    <m/>
    <m/>
    <m/>
    <n v="1"/>
  </r>
  <r>
    <x v="4"/>
    <x v="1"/>
    <m/>
    <m/>
    <n v="5"/>
    <m/>
    <m/>
    <m/>
    <n v="5"/>
  </r>
  <r>
    <x v="5"/>
    <x v="0"/>
    <m/>
    <m/>
    <m/>
    <n v="8"/>
    <n v="20"/>
    <n v="40"/>
    <n v="68"/>
  </r>
  <r>
    <x v="5"/>
    <x v="1"/>
    <m/>
    <m/>
    <n v="10"/>
    <m/>
    <m/>
    <m/>
    <n v="10"/>
  </r>
  <r>
    <x v="6"/>
    <x v="0"/>
    <m/>
    <m/>
    <m/>
    <m/>
    <m/>
    <m/>
    <n v="0"/>
  </r>
  <r>
    <x v="6"/>
    <x v="1"/>
    <n v="5"/>
    <n v="18"/>
    <n v="56"/>
    <n v="10"/>
    <n v="13"/>
    <n v="4"/>
    <n v="106"/>
  </r>
  <r>
    <x v="7"/>
    <x v="0"/>
    <m/>
    <n v="1"/>
    <n v="1"/>
    <n v="1"/>
    <m/>
    <n v="1"/>
    <n v="4"/>
  </r>
  <r>
    <x v="7"/>
    <x v="1"/>
    <n v="1"/>
    <n v="2"/>
    <n v="3"/>
    <n v="1"/>
    <n v="1"/>
    <n v="3"/>
    <n v="11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  <r>
    <x v="8"/>
    <x v="2"/>
    <m/>
    <m/>
    <m/>
    <m/>
    <m/>
    <m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65">
  <r>
    <m/>
    <x v="0"/>
    <s v="A-493-0550"/>
    <s v="09K5"/>
    <x v="0"/>
    <d v="2025-09-29T00:00:00"/>
    <d v="2025-10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38"/>
    <n v="0"/>
    <n v="34"/>
    <n v="0"/>
    <n v="0"/>
    <n v="0"/>
    <n v="0"/>
    <s v="Weaver, Nicole"/>
    <n v="-240"/>
    <n v="0"/>
    <n v="0"/>
    <n v="1"/>
    <n v="0"/>
    <n v="32"/>
    <n v="7"/>
    <n v="1"/>
    <s v="N5"/>
    <n v="11"/>
  </r>
  <r>
    <m/>
    <x v="1"/>
    <s v="A-493-0099"/>
    <s v="12JW"/>
    <x v="0"/>
    <d v="2025-09-30T00:00:00"/>
    <d v="2025-10-02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35"/>
    <n v="0"/>
    <n v="27"/>
    <n v="2"/>
    <n v="0"/>
    <n v="0"/>
    <n v="0"/>
    <s v="Keay, Aaron"/>
    <n v="-240"/>
    <n v="0"/>
    <n v="0"/>
    <n v="1"/>
    <n v="0"/>
    <n v="24"/>
    <n v="10"/>
    <n v="1"/>
    <s v="N5"/>
    <n v="16"/>
  </r>
  <r>
    <s v="USMC Special Convening"/>
    <x v="2"/>
    <s v="A-493-2501"/>
    <s v="05ZE"/>
    <x v="1"/>
    <d v="2025-10-02T00:00:00"/>
    <d v="2025-10-02T00:00:00"/>
    <s v="Funded"/>
    <d v="1899-12-30T08:00:00"/>
    <m/>
    <m/>
    <m/>
    <m/>
    <m/>
    <m/>
    <s v="ENV Contractor"/>
    <m/>
    <m/>
    <n v="30"/>
    <n v="8"/>
    <n v="1"/>
    <m/>
    <n v="14"/>
    <n v="0"/>
    <n v="0"/>
    <n v="0"/>
    <n v="0"/>
    <n v="0"/>
    <n v="0"/>
    <s v="Weaver, Nicole"/>
    <n v="-240"/>
    <n v="0"/>
    <n v="0"/>
    <n v="1"/>
    <n v="0"/>
    <n v="8"/>
    <n v="16"/>
    <n v="1"/>
    <s v="N4"/>
    <n v="30"/>
  </r>
  <r>
    <m/>
    <x v="3"/>
    <s v="A-493-0072"/>
    <s v="713U"/>
    <x v="2"/>
    <d v="2025-10-06T00:00:00"/>
    <d v="2025-10-10T00:00:00"/>
    <s v="Funded"/>
    <d v="1899-12-30T08:00:00"/>
    <m/>
    <m/>
    <m/>
    <m/>
    <m/>
    <m/>
    <s v="K. Seo"/>
    <m/>
    <m/>
    <n v="30"/>
    <n v="40"/>
    <n v="5"/>
    <n v="178"/>
    <n v="22"/>
    <n v="0"/>
    <n v="22"/>
    <n v="0"/>
    <n v="0"/>
    <n v="2"/>
    <n v="0"/>
    <s v="Keay, Aaron"/>
    <n v="-232"/>
    <n v="0"/>
    <n v="0"/>
    <n v="1"/>
    <n v="0"/>
    <n v="40"/>
    <n v="8"/>
    <n v="1"/>
    <s v="N3"/>
    <n v="8"/>
  </r>
  <r>
    <m/>
    <x v="4"/>
    <s v="A-493-0103"/>
    <s v="12JY"/>
    <x v="3"/>
    <d v="2025-10-06T00:00:00"/>
    <d v="2025-10-10T00:00:00"/>
    <s v="Funded"/>
    <d v="1899-12-30T08:00:00"/>
    <m/>
    <m/>
    <m/>
    <m/>
    <m/>
    <m/>
    <s v="SOH Contractor"/>
    <m/>
    <m/>
    <n v="25"/>
    <n v="40"/>
    <n v="5"/>
    <n v="10"/>
    <n v="25"/>
    <n v="0"/>
    <n v="26"/>
    <n v="0"/>
    <n v="0"/>
    <n v="0"/>
    <n v="2"/>
    <s v="Benzick, Sue"/>
    <n v="-232"/>
    <n v="0"/>
    <n v="0"/>
    <n v="1"/>
    <n v="0"/>
    <n v="40"/>
    <n v="0"/>
    <n v="1"/>
    <s v="N5"/>
    <n v="-1"/>
  </r>
  <r>
    <m/>
    <x v="5"/>
    <s v="A-493-0061"/>
    <s v="288E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23"/>
    <n v="0"/>
    <n v="20"/>
    <n v="0"/>
    <n v="0"/>
    <n v="0"/>
    <n v="0"/>
    <s v="Benzick, Sue"/>
    <n v="-233"/>
    <n v="0"/>
    <n v="0"/>
    <n v="1"/>
    <n v="0"/>
    <n v="30"/>
    <n v="22"/>
    <n v="1"/>
    <s v="N5"/>
    <n v="25"/>
  </r>
  <r>
    <m/>
    <x v="6"/>
    <s v="A-322-2604"/>
    <s v="10ZZ"/>
    <x v="0"/>
    <d v="2025-10-06T00:00:00"/>
    <d v="2025-10-08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45"/>
    <n v="2"/>
    <n v="36"/>
    <n v="0"/>
    <n v="0"/>
    <n v="2"/>
    <n v="0"/>
    <s v="Benzick, Sue"/>
    <n v="-234"/>
    <n v="0"/>
    <n v="0"/>
    <n v="1"/>
    <n v="0"/>
    <n v="24"/>
    <n v="0"/>
    <n v="1"/>
    <s v="N8"/>
    <n v="9"/>
  </r>
  <r>
    <m/>
    <x v="7"/>
    <s v="A-493-0078"/>
    <n v="1228"/>
    <x v="0"/>
    <d v="2025-10-06T00:00:00"/>
    <d v="2025-10-09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0"/>
    <n v="0"/>
    <n v="27"/>
    <n v="3"/>
    <n v="0"/>
    <n v="0"/>
    <n v="0"/>
    <s v="Benzick, Sue"/>
    <n v="-233"/>
    <n v="0"/>
    <n v="0"/>
    <n v="1"/>
    <n v="0"/>
    <n v="32"/>
    <n v="5"/>
    <n v="1"/>
    <s v="N5"/>
    <n v="15"/>
  </r>
  <r>
    <m/>
    <x v="8"/>
    <s v="A-493-2098"/>
    <s v="09WW"/>
    <x v="0"/>
    <d v="2025-10-06T00:00:00"/>
    <d v="2025-10-08T00:00:00"/>
    <s v="Funded"/>
    <m/>
    <d v="1899-12-30T12:00:00"/>
    <d v="1899-12-30T09:00:00"/>
    <d v="1899-12-30T19:00:00"/>
    <d v="1899-12-30T18:00:00"/>
    <d v="1899-12-30T06:00:00"/>
    <d v="1899-12-30T01:00:00"/>
    <s v="LT Bozenski"/>
    <m/>
    <m/>
    <n v="100"/>
    <n v="16"/>
    <n v="3"/>
    <m/>
    <n v="100"/>
    <n v="0"/>
    <n v="57"/>
    <n v="7"/>
    <n v="0"/>
    <n v="0"/>
    <n v="0"/>
    <s v="Weaver, Nicole"/>
    <n v="-234"/>
    <n v="0"/>
    <n v="0"/>
    <n v="1"/>
    <n v="0"/>
    <n v="16"/>
    <n v="0"/>
    <n v="1"/>
    <s v="N8"/>
    <n v="36"/>
  </r>
  <r>
    <m/>
    <x v="9"/>
    <s v="A-493-2099"/>
    <s v="438G"/>
    <x v="4"/>
    <d v="2025-10-06T00:00:00"/>
    <d v="2025-10-07T00:00:00"/>
    <s v="Funded"/>
    <d v="1899-12-30T08:00:00"/>
    <m/>
    <m/>
    <m/>
    <m/>
    <m/>
    <m/>
    <s v="EMC Stroughn"/>
    <m/>
    <m/>
    <n v="30"/>
    <n v="16"/>
    <n v="2"/>
    <n v="0"/>
    <n v="18"/>
    <n v="0"/>
    <n v="13"/>
    <n v="0"/>
    <n v="0"/>
    <n v="1"/>
    <n v="0"/>
    <s v="Weaver, Nicole"/>
    <n v="-235"/>
    <n v="0"/>
    <n v="0"/>
    <n v="1"/>
    <n v="0"/>
    <n v="16"/>
    <n v="12"/>
    <n v="1"/>
    <s v="N8"/>
    <n v="17"/>
  </r>
  <r>
    <m/>
    <x v="0"/>
    <s v="A-493-0550"/>
    <s v="09K5"/>
    <x v="0"/>
    <d v="2025-10-07T00:00:00"/>
    <d v="2025-10-10T00:00:00"/>
    <s v="Funded"/>
    <m/>
    <d v="1905-03-14T19:00:00"/>
    <d v="1899-12-30T16:00:00"/>
    <d v="1899-12-30T02:00:00"/>
    <d v="1899-12-30T00:00:00"/>
    <d v="1899-12-30T13:00:00"/>
    <d v="1899-12-30T08:00:00"/>
    <s v="N. DeCastro"/>
    <m/>
    <m/>
    <n v="45"/>
    <n v="32"/>
    <n v="4"/>
    <n v="180"/>
    <n v="24"/>
    <n v="0"/>
    <n v="18"/>
    <n v="0"/>
    <n v="0"/>
    <n v="0"/>
    <n v="0"/>
    <s v="Weaver, Nicole"/>
    <n v="-232"/>
    <n v="0"/>
    <n v="0"/>
    <n v="1"/>
    <n v="0"/>
    <n v="32"/>
    <n v="21"/>
    <n v="1"/>
    <s v="N5"/>
    <n v="27"/>
  </r>
  <r>
    <m/>
    <x v="9"/>
    <s v="A-493-2099"/>
    <s v="438G"/>
    <x v="4"/>
    <d v="2025-10-08T00:00:00"/>
    <d v="2025-10-09T00:00:00"/>
    <s v="Funded"/>
    <d v="1899-12-30T08:00:00"/>
    <m/>
    <m/>
    <m/>
    <m/>
    <m/>
    <m/>
    <s v="EMC Stroughn"/>
    <m/>
    <m/>
    <n v="30"/>
    <n v="16"/>
    <n v="2"/>
    <n v="0"/>
    <n v="11"/>
    <n v="0"/>
    <n v="9"/>
    <n v="0"/>
    <n v="0"/>
    <n v="1"/>
    <n v="0"/>
    <s v="Weaver, Nicole"/>
    <n v="-233"/>
    <n v="0"/>
    <n v="0"/>
    <n v="1"/>
    <n v="0"/>
    <n v="16"/>
    <n v="19"/>
    <n v="1"/>
    <s v="N8"/>
    <n v="21"/>
  </r>
  <r>
    <m/>
    <x v="10"/>
    <s v="A-493-0083"/>
    <s v="339E"/>
    <x v="0"/>
    <d v="2025-10-09T00:00:00"/>
    <d v="2025-10-09T00:00:00"/>
    <s v="Funded"/>
    <m/>
    <d v="1903-01-04T02:00:00"/>
    <d v="1899-12-30T23:00:00"/>
    <d v="1899-12-30T09:00:00"/>
    <d v="1899-12-30T08:00:00"/>
    <d v="1899-12-30T20:00:00"/>
    <d v="1899-12-30T15:00:00"/>
    <s v="ENV Contractor"/>
    <m/>
    <m/>
    <n v="30"/>
    <n v="8"/>
    <n v="1"/>
    <m/>
    <n v="20"/>
    <n v="0"/>
    <n v="20"/>
    <n v="0"/>
    <n v="0"/>
    <n v="0"/>
    <n v="0"/>
    <s v="Weaver, Nicole"/>
    <n v="-233"/>
    <n v="0"/>
    <n v="0"/>
    <n v="1"/>
    <n v="0"/>
    <n v="8"/>
    <n v="10"/>
    <n v="1"/>
    <s v="N4"/>
    <n v="10"/>
  </r>
  <r>
    <s v="Columbus Day"/>
    <x v="11"/>
    <s v="Holiday"/>
    <s v="Holiday"/>
    <x v="5"/>
    <d v="2025-10-13T00:00:00"/>
    <d v="2025-10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229"/>
    <n v="0"/>
    <n v="0"/>
    <n v="1"/>
    <n v="0"/>
    <n v="0"/>
    <n v="0"/>
    <n v="1"/>
    <s v="TSD"/>
    <n v="0"/>
  </r>
  <r>
    <m/>
    <x v="12"/>
    <s v="A-493-0331"/>
    <s v="10UG"/>
    <x v="0"/>
    <d v="2025-10-14T00:00:00"/>
    <d v="2025-10-1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5"/>
    <n v="5"/>
    <n v="32"/>
    <n v="0"/>
    <n v="0"/>
    <n v="0"/>
    <n v="0"/>
    <s v="Keay, Aaron"/>
    <n v="-226"/>
    <n v="0"/>
    <n v="0"/>
    <n v="1"/>
    <n v="0"/>
    <n v="24"/>
    <n v="0"/>
    <n v="1"/>
    <s v="N3"/>
    <n v="13"/>
  </r>
  <r>
    <m/>
    <x v="13"/>
    <s v="A-493-0012"/>
    <n v="3682"/>
    <x v="6"/>
    <d v="2025-10-20T00:00:00"/>
    <d v="2025-10-24T00:00:00"/>
    <s v="Funded"/>
    <d v="1899-12-30T08:00:00"/>
    <m/>
    <m/>
    <m/>
    <m/>
    <m/>
    <m/>
    <s v="R. Hartel"/>
    <m/>
    <m/>
    <n v="40"/>
    <n v="40"/>
    <n v="5"/>
    <n v="30"/>
    <n v="38"/>
    <n v="0"/>
    <n v="29"/>
    <n v="1"/>
    <n v="0"/>
    <n v="2"/>
    <n v="0"/>
    <s v="ABEAN Johnson"/>
    <n v="-218"/>
    <n v="0"/>
    <n v="0"/>
    <n v="1"/>
    <n v="0"/>
    <n v="40"/>
    <n v="2"/>
    <n v="1"/>
    <s v="N4"/>
    <n v="10"/>
  </r>
  <r>
    <m/>
    <x v="14"/>
    <s v="A-493-0069"/>
    <s v="450U"/>
    <x v="4"/>
    <d v="2025-10-20T00:00:00"/>
    <d v="2025-10-24T00:00:00"/>
    <s v="Funded"/>
    <d v="1899-12-30T08:00:00"/>
    <m/>
    <m/>
    <m/>
    <m/>
    <m/>
    <m/>
    <s v="B. Jung"/>
    <s v="W. Mitchell"/>
    <m/>
    <n v="25"/>
    <n v="40"/>
    <n v="5"/>
    <n v="15"/>
    <n v="8"/>
    <n v="0"/>
    <n v="4"/>
    <n v="0"/>
    <n v="0"/>
    <n v="0"/>
    <n v="0"/>
    <s v="Keay, Aaron"/>
    <n v="-218"/>
    <n v="0"/>
    <n v="0"/>
    <n v="1"/>
    <n v="1"/>
    <n v="20"/>
    <n v="17"/>
    <n v="1"/>
    <s v="N3"/>
    <n v="21"/>
  </r>
  <r>
    <m/>
    <x v="4"/>
    <s v="A-493-0103"/>
    <s v="12JY"/>
    <x v="7"/>
    <d v="2025-10-20T00:00:00"/>
    <d v="2025-10-24T00:00:00"/>
    <s v="Funded"/>
    <d v="1899-12-30T08:00:00"/>
    <m/>
    <m/>
    <m/>
    <m/>
    <m/>
    <m/>
    <s v="SOH Contractor"/>
    <m/>
    <m/>
    <n v="25"/>
    <n v="40"/>
    <n v="5"/>
    <n v="512"/>
    <n v="25"/>
    <n v="2"/>
    <n v="20"/>
    <n v="0"/>
    <n v="0"/>
    <n v="6"/>
    <n v="0"/>
    <s v="Benzick, Sue"/>
    <n v="-218"/>
    <n v="0"/>
    <n v="0"/>
    <n v="1"/>
    <n v="0"/>
    <n v="40"/>
    <n v="0"/>
    <n v="1"/>
    <s v="N5"/>
    <n v="5"/>
  </r>
  <r>
    <m/>
    <x v="15"/>
    <s v="A-493-0030"/>
    <s v="286X"/>
    <x v="2"/>
    <d v="2025-10-20T00:00:00"/>
    <d v="2025-10-24T00:00:00"/>
    <s v="Funded"/>
    <d v="1899-12-30T08:00:00"/>
    <m/>
    <m/>
    <m/>
    <m/>
    <m/>
    <m/>
    <s v="OH Contractor"/>
    <m/>
    <m/>
    <n v="25"/>
    <n v="40"/>
    <n v="5"/>
    <n v="195"/>
    <n v="11"/>
    <n v="0"/>
    <n v="4"/>
    <n v="0"/>
    <n v="0"/>
    <n v="0"/>
    <n v="0"/>
    <s v="Keay, Aaron"/>
    <n v="-218"/>
    <n v="0"/>
    <n v="0"/>
    <n v="1"/>
    <n v="0"/>
    <n v="40"/>
    <n v="14"/>
    <n v="1"/>
    <s v="N3"/>
    <n v="21"/>
  </r>
  <r>
    <m/>
    <x v="16"/>
    <s v="A-4J-0019"/>
    <s v="28SL/285M"/>
    <x v="8"/>
    <d v="2025-10-20T00:00:00"/>
    <d v="2025-10-24T00:00:00"/>
    <s v="Funded"/>
    <d v="1899-12-30T07:30:00"/>
    <m/>
    <m/>
    <m/>
    <m/>
    <m/>
    <m/>
    <s v="J. Wilson"/>
    <s v="M. Bailey"/>
    <m/>
    <n v="20"/>
    <n v="40"/>
    <n v="5"/>
    <n v="148"/>
    <n v="20"/>
    <n v="0"/>
    <n v="16"/>
    <n v="0"/>
    <n v="0"/>
    <n v="1"/>
    <n v="0"/>
    <s v="Benzick, Sue"/>
    <n v="-218"/>
    <n v="0"/>
    <n v="0"/>
    <n v="1"/>
    <n v="1"/>
    <n v="20"/>
    <n v="0"/>
    <n v="1"/>
    <s v="N8"/>
    <n v="4"/>
  </r>
  <r>
    <m/>
    <x v="17"/>
    <s v="A-493-0075 "/>
    <s v="714U"/>
    <x v="9"/>
    <d v="2025-10-20T00:00:00"/>
    <d v="2025-10-23T00:00:00"/>
    <s v="Funded"/>
    <m/>
    <m/>
    <m/>
    <m/>
    <m/>
    <m/>
    <m/>
    <s v="SOH Contractor"/>
    <m/>
    <m/>
    <n v="30"/>
    <n v="32"/>
    <n v="4"/>
    <m/>
    <n v="10"/>
    <n v="0"/>
    <n v="3"/>
    <n v="0"/>
    <n v="0"/>
    <n v="1"/>
    <n v="0"/>
    <s v="Benzick, Sue"/>
    <n v="-219"/>
    <n v="0"/>
    <n v="0"/>
    <n v="1"/>
    <n v="0"/>
    <n v="32"/>
    <n v="20"/>
    <n v="1"/>
    <s v="N5"/>
    <n v="27"/>
  </r>
  <r>
    <m/>
    <x v="6"/>
    <s v="A-322-2604"/>
    <s v="10ZZ"/>
    <x v="0"/>
    <d v="2025-10-20T00:00:00"/>
    <d v="2025-10-22T00:00:00"/>
    <s v="Funded"/>
    <m/>
    <d v="1905-03-14T19:00:00"/>
    <d v="1899-12-30T16:00:00"/>
    <d v="1899-12-30T02:00:00"/>
    <d v="1899-12-30T00:00:00"/>
    <d v="1899-12-30T13:00:00"/>
    <d v="1899-12-30T08:00:00"/>
    <s v="LS1 Scoggins"/>
    <m/>
    <m/>
    <n v="45"/>
    <n v="24"/>
    <n v="3"/>
    <n v="174"/>
    <n v="45"/>
    <n v="4"/>
    <n v="39"/>
    <n v="0"/>
    <n v="0"/>
    <n v="4"/>
    <n v="0"/>
    <s v="Benzick, Sue"/>
    <n v="-220"/>
    <n v="0"/>
    <n v="0"/>
    <n v="1"/>
    <n v="0"/>
    <n v="24"/>
    <n v="0"/>
    <n v="1"/>
    <s v="N8"/>
    <n v="6"/>
  </r>
  <r>
    <m/>
    <x v="18"/>
    <s v="A-493-3002"/>
    <s v="31V4"/>
    <x v="0"/>
    <d v="2025-10-20T00:00:00"/>
    <d v="2025-10-20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4"/>
    <n v="0.5"/>
    <n v="0"/>
    <n v="38"/>
    <n v="0"/>
    <n v="60"/>
    <n v="0"/>
    <n v="0"/>
    <n v="0"/>
    <n v="0"/>
    <s v="AC1 Engleking"/>
    <n v="-222"/>
    <n v="0"/>
    <n v="0"/>
    <n v="1"/>
    <n v="0"/>
    <n v="0"/>
    <n v="962"/>
    <n v="1"/>
    <s v="N8"/>
    <n v="940"/>
  </r>
  <r>
    <m/>
    <x v="19"/>
    <s v="A-493-3003"/>
    <s v="31V5"/>
    <x v="0"/>
    <d v="2025-10-20T00:00:00"/>
    <d v="2025-10-22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0.75"/>
    <n v="0.1"/>
    <m/>
    <n v="17"/>
    <n v="0"/>
    <n v="34"/>
    <n v="0"/>
    <n v="0"/>
    <n v="0"/>
    <n v="0"/>
    <s v="AC1 Engleking"/>
    <n v="-220"/>
    <n v="0"/>
    <n v="0"/>
    <n v="1"/>
    <n v="0"/>
    <n v="0"/>
    <n v="983"/>
    <n v="1"/>
    <s v="N8"/>
    <n v="966"/>
  </r>
  <r>
    <m/>
    <x v="20"/>
    <s v="A-493-3006"/>
    <s v="31V8"/>
    <x v="0"/>
    <d v="2025-10-20T00:00:00"/>
    <d v="2025-10-20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0.75"/>
    <n v="0.1"/>
    <m/>
    <n v="1"/>
    <n v="0"/>
    <n v="39"/>
    <n v="0"/>
    <n v="0"/>
    <n v="0"/>
    <n v="0"/>
    <s v="AC1 Engleking"/>
    <n v="-222"/>
    <n v="0"/>
    <n v="0"/>
    <n v="1"/>
    <n v="0"/>
    <n v="0"/>
    <n v="999"/>
    <n v="1"/>
    <s v="N8"/>
    <n v="961"/>
  </r>
  <r>
    <m/>
    <x v="21"/>
    <s v="A-493-3007"/>
    <s v="31V9"/>
    <x v="0"/>
    <d v="2025-10-20T00:00:00"/>
    <d v="2025-10-20T00:00:00"/>
    <s v="Funded"/>
    <m/>
    <d v="1899-12-30T14:00:00"/>
    <d v="1899-12-30T11:00:00"/>
    <d v="1899-12-30T20:00:00"/>
    <d v="1899-12-30T19:00:00"/>
    <d v="1899-12-30T08:00:00"/>
    <d v="1899-12-30T02:00:00"/>
    <s v="C. Gum"/>
    <m/>
    <m/>
    <n v="1000"/>
    <n v="0.75"/>
    <n v="0.1"/>
    <m/>
    <n v="1"/>
    <n v="0"/>
    <n v="43"/>
    <n v="0"/>
    <n v="0"/>
    <n v="0"/>
    <n v="0"/>
    <s v="AC1 Engleking"/>
    <n v="-222"/>
    <n v="0"/>
    <n v="0"/>
    <n v="1"/>
    <n v="0"/>
    <n v="0"/>
    <n v="999"/>
    <n v="1"/>
    <s v="N8"/>
    <n v="957"/>
  </r>
  <r>
    <m/>
    <x v="8"/>
    <s v="A-493-2098"/>
    <s v="09WW"/>
    <x v="0"/>
    <d v="2025-10-20T00:00:00"/>
    <d v="2025-10-2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0"/>
    <n v="5"/>
    <n v="84"/>
    <n v="2"/>
    <n v="0"/>
    <n v="1"/>
    <n v="0"/>
    <s v="Weaver, Nicole"/>
    <n v="-220"/>
    <n v="0"/>
    <n v="0"/>
    <n v="1"/>
    <n v="0"/>
    <n v="16"/>
    <n v="0"/>
    <n v="1"/>
    <s v="N8"/>
    <n v="14"/>
  </r>
  <r>
    <m/>
    <x v="22"/>
    <s v="A-493-3011"/>
    <s v="31VD"/>
    <x v="0"/>
    <d v="2025-10-21T00:00:00"/>
    <d v="2025-10-21T00:00:00"/>
    <s v="Funded"/>
    <m/>
    <d v="1899-12-30T13:00:00"/>
    <d v="1899-12-30T10:00:00"/>
    <d v="1899-12-30T20:00:00"/>
    <d v="1899-12-30T19:00:00"/>
    <d v="1899-12-30T07:00:00"/>
    <d v="1899-12-30T02:00:00"/>
    <s v="C. Gum"/>
    <m/>
    <m/>
    <n v="1000"/>
    <n v="2.5"/>
    <n v="0.3"/>
    <n v="0"/>
    <n v="25"/>
    <n v="0"/>
    <n v="69"/>
    <n v="0"/>
    <n v="0"/>
    <n v="0"/>
    <n v="0"/>
    <s v="AC1 Engleking"/>
    <n v="-221"/>
    <n v="0"/>
    <n v="0"/>
    <n v="1"/>
    <n v="0"/>
    <n v="0"/>
    <n v="975"/>
    <n v="1"/>
    <s v="N8"/>
    <n v="931"/>
  </r>
  <r>
    <m/>
    <x v="23"/>
    <s v="A-493-3010"/>
    <s v="31VC"/>
    <x v="0"/>
    <d v="2025-10-21T00:00:00"/>
    <d v="2025-10-21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3.5"/>
    <n v="0.4"/>
    <n v="0"/>
    <n v="52"/>
    <n v="0"/>
    <n v="67"/>
    <n v="0"/>
    <n v="0"/>
    <n v="0"/>
    <n v="0"/>
    <s v="AC1 Engleking"/>
    <n v="-221"/>
    <n v="0"/>
    <n v="0"/>
    <n v="1"/>
    <n v="0"/>
    <n v="0"/>
    <n v="948"/>
    <n v="1"/>
    <s v="N8"/>
    <n v="933"/>
  </r>
  <r>
    <m/>
    <x v="10"/>
    <s v="A-493-0083"/>
    <s v="339E"/>
    <x v="0"/>
    <d v="2025-10-21T00:00:00"/>
    <d v="2025-10-21T00:00:00"/>
    <s v="Funded"/>
    <m/>
    <d v="1903-01-04T08:00:00"/>
    <d v="1899-12-30T05:00:00"/>
    <n v="1600"/>
    <n v="1400"/>
    <d v="1899-12-30T03:00:00"/>
    <n v="2200"/>
    <s v="ENV Contractor"/>
    <m/>
    <m/>
    <n v="30"/>
    <n v="8"/>
    <n v="1"/>
    <m/>
    <n v="6"/>
    <n v="0"/>
    <n v="9"/>
    <n v="0"/>
    <n v="0"/>
    <n v="1"/>
    <n v="0"/>
    <s v="Weaver, Nicole"/>
    <n v="-221"/>
    <n v="0"/>
    <n v="0"/>
    <n v="1"/>
    <n v="0"/>
    <n v="8"/>
    <n v="24"/>
    <n v="1"/>
    <s v="N4"/>
    <n v="21"/>
  </r>
  <r>
    <m/>
    <x v="24"/>
    <s v="A-493-3018"/>
    <s v="31YM"/>
    <x v="0"/>
    <d v="2025-10-22T00:00:00"/>
    <d v="2025-10-22T00:00:00"/>
    <s v="Funded"/>
    <m/>
    <d v="1899-12-30T14:30:00"/>
    <d v="1899-12-30T11:30:00"/>
    <d v="1899-12-30T21:30:00"/>
    <d v="1899-12-30T20:30:00"/>
    <d v="1899-12-30T09:30:00"/>
    <d v="1899-12-30T03:30:00"/>
    <s v="C. Gum"/>
    <m/>
    <m/>
    <n v="1000"/>
    <n v="2.5"/>
    <n v="0.3"/>
    <m/>
    <n v="1"/>
    <n v="0"/>
    <n v="35"/>
    <n v="0"/>
    <n v="0"/>
    <n v="0"/>
    <n v="0"/>
    <s v="AC1 Engleking"/>
    <n v="-220"/>
    <n v="0"/>
    <n v="0"/>
    <n v="1"/>
    <n v="0"/>
    <n v="0"/>
    <n v="999"/>
    <n v="1"/>
    <s v="N8"/>
    <n v="965"/>
  </r>
  <r>
    <m/>
    <x v="25"/>
    <s v="A-493-3004"/>
    <s v="31V6"/>
    <x v="0"/>
    <d v="2025-10-22T00:00:00"/>
    <d v="2025-10-22T00:00:00"/>
    <s v="Funded"/>
    <m/>
    <d v="1899-12-30T12:30:00"/>
    <d v="1899-12-30T10:00:00"/>
    <d v="1899-12-30T20:00:00"/>
    <d v="1899-12-30T19:00:00"/>
    <d v="1899-12-30T07:00:00"/>
    <d v="1899-12-30T02:00:00"/>
    <s v="C. Gum"/>
    <m/>
    <m/>
    <n v="1000"/>
    <n v="1.5"/>
    <n v="0.2"/>
    <n v="0"/>
    <n v="25"/>
    <n v="0"/>
    <n v="56"/>
    <n v="0"/>
    <n v="0"/>
    <n v="0"/>
    <n v="0"/>
    <s v="AC1 Engleking"/>
    <n v="-220"/>
    <n v="0"/>
    <n v="0"/>
    <n v="1"/>
    <n v="0"/>
    <n v="0"/>
    <n v="975"/>
    <n v="1"/>
    <s v="N8"/>
    <n v="944"/>
  </r>
  <r>
    <m/>
    <x v="26"/>
    <s v="A-493-3001"/>
    <s v="31V3"/>
    <x v="0"/>
    <d v="2025-10-22T00:00:00"/>
    <d v="2025-10-22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2"/>
    <n v="0.25"/>
    <m/>
    <n v="12"/>
    <n v="0"/>
    <n v="45"/>
    <n v="0"/>
    <n v="0"/>
    <n v="0"/>
    <n v="0"/>
    <s v="AC1 Engleking"/>
    <n v="-220"/>
    <n v="0"/>
    <n v="0"/>
    <n v="1"/>
    <n v="0"/>
    <n v="0"/>
    <n v="988"/>
    <n v="1"/>
    <s v="N8"/>
    <n v="955"/>
  </r>
  <r>
    <m/>
    <x v="27"/>
    <s v="A-493-3013"/>
    <s v="31YG"/>
    <x v="0"/>
    <d v="2025-10-23T00:00:00"/>
    <d v="2025-10-23T00:00:00"/>
    <s v="Funded"/>
    <m/>
    <d v="1899-12-30T10:30:00"/>
    <d v="1899-12-30T07:30:00"/>
    <d v="1899-12-30T17:30:00"/>
    <d v="1899-12-30T16:30:00"/>
    <d v="1899-12-30T04:30:00"/>
    <d v="1899-12-30T23:30:00"/>
    <s v="C. Gum"/>
    <m/>
    <m/>
    <n v="1000"/>
    <n v="1"/>
    <n v="0.1"/>
    <m/>
    <n v="1"/>
    <n v="0"/>
    <n v="37"/>
    <n v="0"/>
    <n v="0"/>
    <n v="0"/>
    <n v="0"/>
    <s v="AC1 Engleking"/>
    <n v="-219"/>
    <n v="0"/>
    <n v="0"/>
    <n v="1"/>
    <n v="0"/>
    <n v="0"/>
    <n v="999"/>
    <n v="1"/>
    <s v="N8"/>
    <n v="963"/>
  </r>
  <r>
    <m/>
    <x v="28"/>
    <s v="A-493-3014"/>
    <s v="31Yh"/>
    <x v="0"/>
    <d v="2025-10-23T00:00:00"/>
    <d v="2025-10-23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0.75"/>
    <n v="0.1"/>
    <m/>
    <n v="1"/>
    <n v="0"/>
    <n v="43"/>
    <n v="0"/>
    <n v="0"/>
    <n v="0"/>
    <n v="0"/>
    <s v="AC1 Engleking"/>
    <n v="-219"/>
    <n v="0"/>
    <n v="0"/>
    <n v="1"/>
    <n v="0"/>
    <n v="0"/>
    <n v="999"/>
    <n v="1"/>
    <s v="N8"/>
    <n v="957"/>
  </r>
  <r>
    <m/>
    <x v="29"/>
    <s v="A-493-3015"/>
    <s v="31YJ"/>
    <x v="0"/>
    <d v="2025-10-23T00:00:00"/>
    <d v="2025-10-23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"/>
    <n v="0"/>
    <n v="48"/>
    <n v="0"/>
    <n v="0"/>
    <n v="0"/>
    <n v="0"/>
    <s v="AC1 Engleking"/>
    <n v="-219"/>
    <n v="0"/>
    <n v="0"/>
    <n v="1"/>
    <n v="0"/>
    <n v="0"/>
    <n v="999"/>
    <n v="1"/>
    <s v="N8"/>
    <n v="952"/>
  </r>
  <r>
    <m/>
    <x v="30"/>
    <s v="A-493-3016"/>
    <s v="31Yk"/>
    <x v="0"/>
    <d v="2025-10-23T00:00:00"/>
    <d v="2025-10-23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1"/>
    <n v="0"/>
    <n v="39"/>
    <n v="0"/>
    <n v="0"/>
    <n v="0"/>
    <n v="0"/>
    <s v="AC1 Engleking"/>
    <n v="-219"/>
    <n v="0"/>
    <n v="0"/>
    <n v="1"/>
    <n v="0"/>
    <n v="0"/>
    <n v="999"/>
    <n v="1"/>
    <s v="N8"/>
    <n v="961"/>
  </r>
  <r>
    <m/>
    <x v="31"/>
    <s v="A-493-3012"/>
    <s v="31YF"/>
    <x v="0"/>
    <d v="2025-10-23T00:00:00"/>
    <d v="2025-10-23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1"/>
    <n v="0.1"/>
    <m/>
    <n v="1"/>
    <n v="0"/>
    <n v="33"/>
    <n v="0"/>
    <n v="0"/>
    <n v="0"/>
    <n v="0"/>
    <s v="AC1 Engleking"/>
    <n v="-219"/>
    <n v="0"/>
    <n v="0"/>
    <n v="1"/>
    <n v="0"/>
    <n v="0"/>
    <n v="999"/>
    <n v="1"/>
    <s v="N8"/>
    <n v="967"/>
  </r>
  <r>
    <m/>
    <x v="32"/>
    <s v="A-493-3005"/>
    <s v="31V7"/>
    <x v="0"/>
    <d v="2025-10-24T00:00:00"/>
    <d v="2025-10-24T00:00:00"/>
    <s v="Funded"/>
    <m/>
    <d v="1899-12-30T10:45:00"/>
    <d v="1899-12-30T07:45:00"/>
    <d v="1899-12-30T17:45:00"/>
    <d v="1899-12-30T16:45:00"/>
    <d v="1899-12-30T05:45:00"/>
    <d v="1899-12-30T23:45:00"/>
    <s v="C. Gum"/>
    <m/>
    <m/>
    <n v="1000"/>
    <n v="2"/>
    <n v="0.25"/>
    <m/>
    <n v="22"/>
    <n v="0"/>
    <n v="48"/>
    <n v="0"/>
    <n v="0"/>
    <n v="0"/>
    <n v="0"/>
    <s v="AC1 Engleking"/>
    <n v="-218"/>
    <n v="0"/>
    <n v="0"/>
    <n v="1"/>
    <n v="0"/>
    <n v="0"/>
    <n v="978"/>
    <n v="1"/>
    <s v="N8"/>
    <n v="952"/>
  </r>
  <r>
    <m/>
    <x v="33"/>
    <s v="A-493-3017"/>
    <s v="31YL"/>
    <x v="0"/>
    <d v="2025-10-24T00:00:00"/>
    <d v="2025-10-24T00:00:00"/>
    <s v="Funded"/>
    <m/>
    <d v="1899-12-30T12:30:00"/>
    <d v="1899-12-30T09:30:00"/>
    <d v="1899-12-30T19:30:00"/>
    <d v="1899-12-30T18:30:00"/>
    <d v="1899-12-30T07:30:00"/>
    <d v="1899-12-30T01:30:00"/>
    <s v="C. Gum"/>
    <m/>
    <m/>
    <n v="1000"/>
    <n v="2.5"/>
    <n v="0.3"/>
    <m/>
    <n v="1"/>
    <n v="0"/>
    <n v="43"/>
    <n v="0"/>
    <n v="0"/>
    <n v="0"/>
    <n v="0"/>
    <s v="AC1 Engleking"/>
    <n v="-218"/>
    <n v="0"/>
    <n v="0"/>
    <n v="1"/>
    <n v="0"/>
    <n v="0"/>
    <n v="999"/>
    <n v="1"/>
    <s v="N8"/>
    <n v="957"/>
  </r>
  <r>
    <m/>
    <x v="34"/>
    <s v="A-493-3008"/>
    <s v="31VA"/>
    <x v="0"/>
    <d v="2025-10-24T00:00:00"/>
    <d v="2025-10-24T00:00:00"/>
    <s v="Funded"/>
    <m/>
    <d v="1899-12-30T08:00:00"/>
    <d v="1899-12-30T05:00:00"/>
    <d v="1899-12-30T15:00:00"/>
    <d v="1899-12-30T14:00:00"/>
    <d v="1899-12-30T03:00:00"/>
    <d v="1899-12-30T21:00:00"/>
    <s v="C. Gum"/>
    <m/>
    <m/>
    <n v="1000"/>
    <n v="1"/>
    <n v="0.1"/>
    <m/>
    <n v="14"/>
    <n v="0"/>
    <n v="41"/>
    <n v="0"/>
    <n v="0"/>
    <n v="0"/>
    <n v="0"/>
    <s v="AC1 Engleking"/>
    <n v="-218"/>
    <n v="0"/>
    <n v="0"/>
    <n v="1"/>
    <n v="0"/>
    <n v="0"/>
    <n v="986"/>
    <n v="1"/>
    <s v="N8"/>
    <n v="959"/>
  </r>
  <r>
    <m/>
    <x v="35"/>
    <s v="A-493-3009"/>
    <s v="31VB"/>
    <x v="0"/>
    <d v="2025-10-24T00:00:00"/>
    <d v="2025-10-24T00:00:00"/>
    <s v="Funded"/>
    <m/>
    <d v="1899-12-30T09:30:00"/>
    <d v="1899-12-30T06:30:00"/>
    <d v="1899-12-30T16:30:00"/>
    <d v="1899-12-30T15:30:00"/>
    <d v="1899-12-30T04:30:00"/>
    <d v="1899-12-30T22:30:00"/>
    <s v="C. Gum"/>
    <m/>
    <m/>
    <n v="1000"/>
    <n v="1"/>
    <n v="0.1"/>
    <m/>
    <n v="44"/>
    <n v="0"/>
    <n v="65"/>
    <n v="0"/>
    <n v="0"/>
    <n v="0"/>
    <n v="0"/>
    <s v="AC1 Engleking"/>
    <n v="-218"/>
    <n v="0"/>
    <n v="0"/>
    <n v="1"/>
    <n v="0"/>
    <n v="0"/>
    <n v="956"/>
    <n v="1"/>
    <s v="N8"/>
    <n v="935"/>
  </r>
  <r>
    <m/>
    <x v="36"/>
    <s v="A-493-0665"/>
    <s v="10KW"/>
    <x v="0"/>
    <d v="2025-10-27T00:00:00"/>
    <d v="2025-10-29T00:00:00"/>
    <s v="Funded"/>
    <m/>
    <d v="1899-12-30T08:00:00"/>
    <d v="1899-12-30T05:00:00"/>
    <d v="1899-12-30T15:00:00"/>
    <d v="1899-12-30T13:00:00"/>
    <d v="1899-12-30T02:00:00"/>
    <d v="1899-12-30T21:00:00"/>
    <s v="LSC Kitivi"/>
    <s v="LS1 Scoggins"/>
    <m/>
    <n v="45"/>
    <n v="24"/>
    <n v="3"/>
    <n v="140"/>
    <n v="36"/>
    <n v="0"/>
    <n v="33"/>
    <n v="0"/>
    <n v="0"/>
    <n v="0"/>
    <n v="0"/>
    <s v="AC1 Engleking"/>
    <n v="-213"/>
    <n v="0"/>
    <n v="0"/>
    <n v="1"/>
    <n v="1"/>
    <n v="12"/>
    <n v="9"/>
    <n v="1"/>
    <s v="N8"/>
    <n v="12"/>
  </r>
  <r>
    <m/>
    <x v="37"/>
    <s v="A-493-0014"/>
    <n v="3878"/>
    <x v="4"/>
    <d v="2025-10-27T00:00:00"/>
    <d v="2025-10-29T00:00:00"/>
    <s v="Funded"/>
    <d v="1899-12-30T08:00:00"/>
    <m/>
    <m/>
    <m/>
    <m/>
    <m/>
    <m/>
    <s v="B. Jung"/>
    <s v="W. Mitchell"/>
    <m/>
    <n v="25"/>
    <n v="24"/>
    <n v="3"/>
    <n v="149"/>
    <n v="15"/>
    <n v="0"/>
    <n v="11"/>
    <n v="0"/>
    <n v="0"/>
    <n v="1"/>
    <n v="0"/>
    <s v="Keay, Aaron"/>
    <n v="-213"/>
    <n v="0"/>
    <n v="0"/>
    <n v="1"/>
    <n v="1"/>
    <n v="12"/>
    <n v="10"/>
    <n v="1"/>
    <s v="N3"/>
    <n v="14"/>
  </r>
  <r>
    <m/>
    <x v="4"/>
    <s v="A-493-0103"/>
    <s v="12JY"/>
    <x v="2"/>
    <d v="2025-10-27T00:00:00"/>
    <d v="2025-10-31T00:00:00"/>
    <s v="Funded"/>
    <d v="1899-12-30T08:00:00"/>
    <m/>
    <m/>
    <m/>
    <m/>
    <m/>
    <m/>
    <s v="SOH Contractor"/>
    <m/>
    <m/>
    <n v="25"/>
    <n v="40"/>
    <n v="5"/>
    <n v="512"/>
    <n v="25"/>
    <n v="4"/>
    <n v="22"/>
    <n v="0"/>
    <n v="0"/>
    <n v="4"/>
    <n v="0"/>
    <s v="Benzick, Sue"/>
    <n v="-211"/>
    <n v="0"/>
    <n v="0"/>
    <n v="1"/>
    <n v="0"/>
    <n v="40"/>
    <n v="0"/>
    <n v="1"/>
    <s v="N5"/>
    <n v="3"/>
  </r>
  <r>
    <m/>
    <x v="3"/>
    <s v="A-493-0072"/>
    <s v="713U"/>
    <x v="7"/>
    <d v="2025-10-27T00:00:00"/>
    <d v="2025-10-31T00:00:00"/>
    <s v="Funded"/>
    <d v="1899-12-30T08:00:00"/>
    <m/>
    <m/>
    <m/>
    <m/>
    <m/>
    <m/>
    <s v="A. Harris"/>
    <s v="K. Seo"/>
    <m/>
    <n v="30"/>
    <n v="40"/>
    <n v="5"/>
    <n v="178"/>
    <n v="19"/>
    <n v="0"/>
    <n v="19"/>
    <n v="0"/>
    <n v="0"/>
    <n v="5"/>
    <n v="0"/>
    <s v="Keay, Aaron"/>
    <n v="-211"/>
    <n v="0"/>
    <n v="0"/>
    <n v="1"/>
    <n v="1"/>
    <n v="20"/>
    <n v="11"/>
    <n v="1"/>
    <s v="N3"/>
    <n v="11"/>
  </r>
  <r>
    <m/>
    <x v="5"/>
    <s v="A-493-0061"/>
    <s v="288E"/>
    <x v="0"/>
    <d v="2025-10-27T00:00:00"/>
    <d v="2025-10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32"/>
    <n v="0"/>
    <n v="26"/>
    <n v="0"/>
    <n v="0"/>
    <n v="1"/>
    <n v="0"/>
    <s v="Benzick, Sue"/>
    <n v="-212"/>
    <n v="0"/>
    <n v="0"/>
    <n v="1"/>
    <n v="0"/>
    <n v="30"/>
    <n v="13"/>
    <n v="1"/>
    <s v="N5"/>
    <n v="19"/>
  </r>
  <r>
    <m/>
    <x v="38"/>
    <s v="A-570-0100"/>
    <s v="18B7"/>
    <x v="0"/>
    <d v="2025-10-27T00:00:00"/>
    <d v="2025-10-28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326"/>
    <n v="39"/>
    <n v="0"/>
    <n v="34"/>
    <n v="0"/>
    <n v="0"/>
    <n v="0"/>
    <n v="0"/>
    <s v="Keay, Aaron"/>
    <n v="-214"/>
    <n v="0"/>
    <n v="0"/>
    <n v="1"/>
    <n v="0"/>
    <n v="16"/>
    <n v="6"/>
    <n v="1"/>
    <s v="N8"/>
    <n v="11"/>
  </r>
  <r>
    <m/>
    <x v="12"/>
    <s v="A-493-0331"/>
    <s v="10UG"/>
    <x v="0"/>
    <d v="2025-10-28T00:00:00"/>
    <d v="2025-10-30T00:00:00"/>
    <s v="Funded"/>
    <m/>
    <d v="1905-03-14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45"/>
    <n v="1"/>
    <n v="37"/>
    <n v="1"/>
    <n v="0"/>
    <n v="0"/>
    <n v="0"/>
    <s v="Keay, Aaron"/>
    <n v="-212"/>
    <n v="0"/>
    <n v="0"/>
    <n v="1"/>
    <n v="0"/>
    <n v="24"/>
    <n v="0"/>
    <n v="1"/>
    <s v="N3"/>
    <n v="7"/>
  </r>
  <r>
    <m/>
    <x v="39"/>
    <s v="A-493-0019"/>
    <n v="3882"/>
    <x v="4"/>
    <d v="2025-10-30T00:00:00"/>
    <d v="2025-10-31T00:00:00"/>
    <s v="Funded"/>
    <d v="1899-12-30T08:00:00"/>
    <m/>
    <m/>
    <m/>
    <m/>
    <m/>
    <m/>
    <s v="B. Jung"/>
    <s v="W. Mitchell"/>
    <m/>
    <n v="25"/>
    <n v="16"/>
    <n v="2"/>
    <n v="14"/>
    <n v="6"/>
    <n v="0"/>
    <n v="4"/>
    <n v="0"/>
    <n v="0"/>
    <n v="0"/>
    <n v="0"/>
    <s v="Keay, Aaron"/>
    <n v="-211"/>
    <n v="0"/>
    <n v="0"/>
    <n v="1"/>
    <n v="1"/>
    <n v="8"/>
    <n v="19"/>
    <n v="1"/>
    <s v="N3"/>
    <n v="21"/>
  </r>
  <r>
    <m/>
    <x v="4"/>
    <s v="A-493-0103"/>
    <s v="12JY"/>
    <x v="10"/>
    <d v="2025-11-03T00:00:00"/>
    <d v="2025-11-07T00:00:00"/>
    <s v="Funded"/>
    <d v="1899-12-30T08:00:00"/>
    <m/>
    <m/>
    <m/>
    <m/>
    <m/>
    <m/>
    <s v="SOH Contractor"/>
    <m/>
    <m/>
    <n v="25"/>
    <n v="40"/>
    <n v="5"/>
    <n v="225"/>
    <n v="21"/>
    <n v="0"/>
    <n v="7"/>
    <n v="0"/>
    <n v="0"/>
    <n v="1"/>
    <n v="0"/>
    <s v="Benzick, Sue"/>
    <n v="-204"/>
    <n v="0"/>
    <n v="0"/>
    <n v="1"/>
    <n v="0"/>
    <n v="40"/>
    <n v="4"/>
    <n v="1"/>
    <s v="N5"/>
    <n v="18"/>
  </r>
  <r>
    <m/>
    <x v="6"/>
    <s v="A-322-2604"/>
    <s v="10ZZ"/>
    <x v="0"/>
    <d v="2025-11-03T00:00:00"/>
    <d v="2025-11-05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3"/>
    <n v="0"/>
    <n v="33"/>
    <n v="0"/>
    <n v="0"/>
    <n v="1"/>
    <n v="0"/>
    <s v="Benzick, Sue"/>
    <n v="-206"/>
    <n v="0"/>
    <n v="0"/>
    <n v="1"/>
    <n v="0"/>
    <n v="24"/>
    <n v="2"/>
    <n v="1"/>
    <s v="N8"/>
    <n v="12"/>
  </r>
  <r>
    <m/>
    <x v="40"/>
    <s v="A-493-0335"/>
    <s v="09ND"/>
    <x v="0"/>
    <d v="2025-11-03T00:00:00"/>
    <d v="2025-11-06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537"/>
    <n v="28"/>
    <n v="0"/>
    <n v="19"/>
    <n v="0"/>
    <n v="0"/>
    <n v="0"/>
    <n v="0"/>
    <s v="Keay, Aaron"/>
    <n v="-205"/>
    <n v="0"/>
    <n v="0"/>
    <n v="1"/>
    <n v="0"/>
    <n v="32"/>
    <n v="17"/>
    <n v="1"/>
    <s v="N3"/>
    <n v="26"/>
  </r>
  <r>
    <m/>
    <x v="0"/>
    <s v="A-493-0550"/>
    <s v="09K5"/>
    <x v="0"/>
    <d v="2025-11-03T00:00:00"/>
    <d v="2025-11-06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0"/>
    <n v="2"/>
    <n v="32"/>
    <n v="1"/>
    <n v="0"/>
    <n v="1"/>
    <n v="0"/>
    <s v="Benzick, Sue"/>
    <n v="-205"/>
    <n v="0"/>
    <n v="0"/>
    <n v="1"/>
    <n v="0"/>
    <n v="32"/>
    <n v="5"/>
    <n v="1"/>
    <s v="N5"/>
    <n v="12"/>
  </r>
  <r>
    <m/>
    <x v="7"/>
    <s v="A-493-0078"/>
    <n v="1228"/>
    <x v="0"/>
    <d v="2025-11-03T00:00:00"/>
    <d v="2025-11-07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39"/>
    <n v="0"/>
    <n v="34"/>
    <n v="2"/>
    <n v="0"/>
    <n v="0"/>
    <n v="0"/>
    <s v="Benzick, Sue"/>
    <n v="-204"/>
    <n v="0"/>
    <n v="0"/>
    <n v="1"/>
    <n v="0"/>
    <n v="32"/>
    <n v="6"/>
    <n v="1"/>
    <s v="N5"/>
    <n v="9"/>
  </r>
  <r>
    <m/>
    <x v="18"/>
    <s v="A-493-3002"/>
    <s v="31V4"/>
    <x v="0"/>
    <d v="2025-11-03T00:00:00"/>
    <d v="2025-11-0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n v="0"/>
    <n v="13"/>
    <n v="0"/>
    <n v="51"/>
    <n v="0"/>
    <n v="0"/>
    <n v="0"/>
    <n v="0"/>
    <s v="AC1 Engleking"/>
    <n v="-208"/>
    <n v="0"/>
    <n v="0"/>
    <n v="1"/>
    <n v="0"/>
    <n v="0"/>
    <n v="987"/>
    <n v="1"/>
    <s v="N8"/>
    <n v="949"/>
  </r>
  <r>
    <m/>
    <x v="19"/>
    <s v="A-493-3003"/>
    <s v="31V5"/>
    <x v="0"/>
    <d v="2025-11-03T00:00:00"/>
    <d v="2025-11-03T00:00:00"/>
    <s v="Funded"/>
    <m/>
    <d v="1899-12-30T15:00:00"/>
    <d v="1899-12-30T12:00:00"/>
    <d v="1899-12-30T23:00:00"/>
    <d v="1899-12-30T21:00:00"/>
    <d v="1899-12-30T01:00:00"/>
    <d v="1899-12-30T05:00:00"/>
    <s v="C. Gum"/>
    <m/>
    <m/>
    <n v="1000"/>
    <n v="0.75"/>
    <n v="0.1"/>
    <m/>
    <n v="5"/>
    <n v="0"/>
    <n v="28"/>
    <n v="0"/>
    <n v="0"/>
    <n v="0"/>
    <n v="0"/>
    <s v="AC1 Engleking"/>
    <n v="-208"/>
    <n v="0"/>
    <n v="0"/>
    <n v="1"/>
    <n v="0"/>
    <n v="0"/>
    <n v="995"/>
    <n v="1"/>
    <s v="N8"/>
    <n v="972"/>
  </r>
  <r>
    <m/>
    <x v="20"/>
    <s v="A-493-3006"/>
    <s v="31V8"/>
    <x v="0"/>
    <d v="2025-11-03T00:00:00"/>
    <d v="2025-11-03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0.75"/>
    <n v="0.1"/>
    <m/>
    <n v="1"/>
    <n v="0"/>
    <n v="28"/>
    <n v="0"/>
    <n v="0"/>
    <n v="0"/>
    <n v="0"/>
    <s v="AC1 Engleking"/>
    <n v="-208"/>
    <n v="0"/>
    <n v="0"/>
    <n v="1"/>
    <n v="0"/>
    <n v="0"/>
    <n v="999"/>
    <n v="1"/>
    <s v="N8"/>
    <n v="972"/>
  </r>
  <r>
    <m/>
    <x v="21"/>
    <s v="A-493-3007"/>
    <s v="31V9"/>
    <x v="0"/>
    <d v="2025-11-03T00:00:00"/>
    <d v="2025-11-03T00:00:00"/>
    <s v="Funded"/>
    <m/>
    <d v="1899-12-30T19:00:00"/>
    <d v="1899-12-30T16:00:00"/>
    <d v="1899-12-30T03:00:00"/>
    <d v="1899-12-30T01:00:00"/>
    <d v="1899-12-30T15:00:00"/>
    <d v="1899-12-30T09:00:00"/>
    <s v="C. Gum"/>
    <m/>
    <m/>
    <n v="1000"/>
    <n v="0.75"/>
    <n v="0.1"/>
    <m/>
    <n v="1"/>
    <n v="0"/>
    <n v="25"/>
    <n v="0"/>
    <n v="0"/>
    <n v="0"/>
    <n v="0"/>
    <s v="AC1 Engleking"/>
    <n v="-208"/>
    <n v="0"/>
    <n v="0"/>
    <n v="1"/>
    <n v="0"/>
    <n v="0"/>
    <n v="999"/>
    <n v="1"/>
    <s v="N8"/>
    <n v="975"/>
  </r>
  <r>
    <m/>
    <x v="41"/>
    <s v="F-4J-0023"/>
    <s v="11A2"/>
    <x v="0"/>
    <d v="2025-11-03T00:00:00"/>
    <d v="2025-11-04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21"/>
    <n v="0"/>
    <n v="19"/>
    <n v="1"/>
    <n v="0"/>
    <n v="0"/>
    <n v="0"/>
    <s v="Keay, Aaron"/>
    <n v="-207"/>
    <n v="0"/>
    <n v="0"/>
    <n v="1"/>
    <n v="0"/>
    <n v="16"/>
    <n v="24"/>
    <n v="1"/>
    <s v="N8"/>
    <n v="25"/>
  </r>
  <r>
    <m/>
    <x v="8"/>
    <s v="A-493-2098"/>
    <s v="09WW"/>
    <x v="0"/>
    <d v="2025-11-03T00:00:00"/>
    <d v="2025-11-05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100"/>
    <n v="16"/>
    <n v="3"/>
    <n v="1882"/>
    <n v="100"/>
    <n v="5"/>
    <n v="74"/>
    <n v="2"/>
    <n v="0"/>
    <n v="0"/>
    <n v="0"/>
    <s v="Weaver, Nicole"/>
    <n v="-206"/>
    <n v="0"/>
    <n v="0"/>
    <n v="1"/>
    <n v="0"/>
    <n v="16"/>
    <n v="0"/>
    <n v="1"/>
    <s v="N8"/>
    <n v="24"/>
  </r>
  <r>
    <m/>
    <x v="22"/>
    <s v="A-493-3011"/>
    <s v="31VD"/>
    <x v="0"/>
    <d v="2025-11-04T00:00:00"/>
    <d v="2025-11-0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.5"/>
    <n v="0.3"/>
    <n v="0"/>
    <n v="8"/>
    <n v="0"/>
    <n v="37"/>
    <n v="0"/>
    <n v="0"/>
    <n v="0"/>
    <n v="0"/>
    <s v="AC1 Engleking"/>
    <n v="-207"/>
    <n v="0"/>
    <n v="0"/>
    <n v="1"/>
    <n v="0"/>
    <n v="0"/>
    <n v="992"/>
    <n v="1"/>
    <s v="N8"/>
    <n v="963"/>
  </r>
  <r>
    <m/>
    <x v="23"/>
    <s v="A-493-3010"/>
    <s v="31VC"/>
    <x v="0"/>
    <d v="2025-11-04T00:00:00"/>
    <d v="2025-11-04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3.5"/>
    <n v="0.4"/>
    <n v="0"/>
    <n v="20"/>
    <n v="0"/>
    <n v="51"/>
    <n v="0"/>
    <n v="0"/>
    <n v="0"/>
    <n v="0"/>
    <s v="AC1 Engleking"/>
    <n v="-207"/>
    <n v="0"/>
    <n v="0"/>
    <n v="1"/>
    <n v="0"/>
    <n v="0"/>
    <n v="980"/>
    <n v="1"/>
    <s v="N8"/>
    <n v="949"/>
  </r>
  <r>
    <m/>
    <x v="24"/>
    <s v="A-493-3018"/>
    <s v="31YM"/>
    <x v="0"/>
    <d v="2025-11-05T00:00:00"/>
    <d v="2025-11-05T00:00:00"/>
    <s v="Funded"/>
    <m/>
    <d v="1899-12-30T17:30:00"/>
    <d v="1899-12-30T14:30:00"/>
    <d v="1899-12-30T01:30:00"/>
    <d v="1899-12-30T23:30:00"/>
    <d v="1899-12-30T13:30:00"/>
    <d v="1899-12-30T07:30:00"/>
    <s v="C. Gum"/>
    <m/>
    <m/>
    <n v="1000"/>
    <n v="2.5"/>
    <n v="0.3"/>
    <m/>
    <n v="1"/>
    <n v="0"/>
    <n v="29"/>
    <n v="0"/>
    <n v="0"/>
    <n v="0"/>
    <n v="0"/>
    <s v="AC1 Engleking"/>
    <n v="-206"/>
    <n v="0"/>
    <n v="0"/>
    <n v="1"/>
    <n v="0"/>
    <n v="0"/>
    <n v="999"/>
    <n v="1"/>
    <s v="N8"/>
    <n v="971"/>
  </r>
  <r>
    <m/>
    <x v="25"/>
    <s v="A-493-3004"/>
    <s v="31V6"/>
    <x v="0"/>
    <d v="2025-11-05T00:00:00"/>
    <d v="2025-11-0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n v="0"/>
    <n v="6"/>
    <n v="0"/>
    <n v="36"/>
    <n v="0"/>
    <n v="0"/>
    <n v="0"/>
    <n v="0"/>
    <s v="AC1 Engleking"/>
    <n v="-206"/>
    <n v="0"/>
    <n v="0"/>
    <n v="1"/>
    <n v="0"/>
    <n v="0"/>
    <n v="994"/>
    <n v="1"/>
    <s v="N8"/>
    <n v="964"/>
  </r>
  <r>
    <m/>
    <x v="26"/>
    <s v="A-493-3001"/>
    <s v="31V3"/>
    <x v="0"/>
    <d v="2025-11-05T00:00:00"/>
    <d v="2025-11-05T00:00:00"/>
    <s v="Funded"/>
    <m/>
    <d v="1899-12-30T11:00:00"/>
    <d v="1899-12-30T08:00:00"/>
    <d v="1899-12-30T19:00:00"/>
    <d v="1899-12-30T17:00:00"/>
    <d v="1899-12-30T07:00:00"/>
    <d v="1899-12-30T01:00:00"/>
    <s v="C. Gum"/>
    <m/>
    <m/>
    <n v="1000"/>
    <n v="2"/>
    <n v="0.25"/>
    <m/>
    <n v="12"/>
    <n v="0"/>
    <n v="35"/>
    <n v="0"/>
    <n v="0"/>
    <n v="0"/>
    <n v="0"/>
    <s v="AC1 Engleking"/>
    <n v="-206"/>
    <n v="0"/>
    <n v="0"/>
    <n v="1"/>
    <n v="0"/>
    <n v="0"/>
    <n v="988"/>
    <n v="1"/>
    <s v="N8"/>
    <n v="965"/>
  </r>
  <r>
    <m/>
    <x v="27"/>
    <s v="A-493-3013"/>
    <s v="31YG"/>
    <x v="0"/>
    <d v="2025-11-06T00:00:00"/>
    <d v="2025-11-0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"/>
    <n v="0"/>
    <n v="39"/>
    <n v="0"/>
    <n v="0"/>
    <n v="0"/>
    <n v="0"/>
    <s v="AC1 Engleking"/>
    <n v="-205"/>
    <n v="0"/>
    <n v="0"/>
    <n v="1"/>
    <n v="0"/>
    <n v="0"/>
    <n v="999"/>
    <n v="1"/>
    <s v="N8"/>
    <n v="961"/>
  </r>
  <r>
    <m/>
    <x v="28"/>
    <s v="A-493-3014"/>
    <s v="31Yh"/>
    <x v="0"/>
    <d v="2025-11-06T00:00:00"/>
    <d v="2025-11-0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0.75"/>
    <n v="0.1"/>
    <m/>
    <n v="1"/>
    <n v="0"/>
    <n v="33"/>
    <n v="0"/>
    <n v="0"/>
    <n v="0"/>
    <n v="0"/>
    <s v="AC1 Engleking"/>
    <n v="-205"/>
    <n v="0"/>
    <n v="0"/>
    <n v="1"/>
    <n v="0"/>
    <n v="0"/>
    <n v="999"/>
    <n v="1"/>
    <s v="N8"/>
    <n v="967"/>
  </r>
  <r>
    <m/>
    <x v="29"/>
    <s v="A-493-3015"/>
    <s v="31YJ"/>
    <x v="0"/>
    <d v="2025-11-06T00:00:00"/>
    <d v="2025-11-0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"/>
    <n v="0"/>
    <n v="38"/>
    <n v="0"/>
    <n v="0"/>
    <n v="0"/>
    <n v="0"/>
    <s v="AC1 Engleking"/>
    <n v="-205"/>
    <n v="0"/>
    <n v="0"/>
    <n v="1"/>
    <n v="0"/>
    <e v="#REF!"/>
    <n v="999"/>
    <n v="1"/>
    <s v="N8"/>
    <n v="962"/>
  </r>
  <r>
    <m/>
    <x v="30"/>
    <s v="A-493-3016"/>
    <s v="31Yk"/>
    <x v="0"/>
    <d v="2025-11-06T00:00:00"/>
    <d v="2025-11-06T00:00:00"/>
    <s v="Funded"/>
    <m/>
    <d v="1899-12-30T16:30:00"/>
    <d v="1899-12-30T13:30:00"/>
    <d v="1899-12-30T00:30:00"/>
    <d v="1899-12-30T22:30:00"/>
    <d v="1899-12-30T11:30:00"/>
    <d v="1899-12-30T06:30:00"/>
    <s v="C. Gum"/>
    <m/>
    <m/>
    <n v="1000"/>
    <n v="1"/>
    <n v="0.1"/>
    <m/>
    <n v="1"/>
    <n v="0"/>
    <n v="45"/>
    <n v="0"/>
    <n v="0"/>
    <n v="0"/>
    <n v="0"/>
    <s v="AC1 Engleking"/>
    <n v="-205"/>
    <n v="0"/>
    <n v="0"/>
    <n v="1"/>
    <n v="0"/>
    <n v="0"/>
    <n v="999"/>
    <n v="1"/>
    <s v="N8"/>
    <n v="955"/>
  </r>
  <r>
    <m/>
    <x v="31"/>
    <s v="A-493-3012"/>
    <s v="31YF"/>
    <x v="0"/>
    <d v="2025-11-06T00:00:00"/>
    <d v="2025-11-0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6"/>
    <n v="0"/>
    <n v="0"/>
    <n v="0"/>
    <n v="0"/>
    <s v="AC1 Engleking"/>
    <n v="-205"/>
    <n v="0"/>
    <n v="0"/>
    <n v="1"/>
    <n v="0"/>
    <n v="0"/>
    <n v="999"/>
    <n v="1"/>
    <s v="N8"/>
    <n v="974"/>
  </r>
  <r>
    <m/>
    <x v="32"/>
    <s v="A-493-3005"/>
    <s v="31V7"/>
    <x v="0"/>
    <d v="2025-11-07T00:00:00"/>
    <d v="2025-11-0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2"/>
    <n v="0.25"/>
    <n v="0"/>
    <n v="6"/>
    <n v="0"/>
    <n v="26"/>
    <n v="0"/>
    <n v="0"/>
    <n v="0"/>
    <n v="0"/>
    <s v="AC1 Engleking"/>
    <n v="-204"/>
    <n v="0"/>
    <n v="0"/>
    <n v="1"/>
    <n v="0"/>
    <n v="0"/>
    <n v="994"/>
    <n v="1"/>
    <s v="N8"/>
    <n v="974"/>
  </r>
  <r>
    <m/>
    <x v="33"/>
    <s v="A-493-3017"/>
    <s v="31YL"/>
    <x v="0"/>
    <d v="2025-11-07T00:00:00"/>
    <d v="2025-11-07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2.5"/>
    <n v="0.3"/>
    <m/>
    <n v="1"/>
    <n v="0"/>
    <n v="25"/>
    <n v="0"/>
    <n v="0"/>
    <n v="0"/>
    <n v="0"/>
    <s v="AC1 Engleking"/>
    <n v="-204"/>
    <n v="0"/>
    <n v="0"/>
    <n v="1"/>
    <n v="0"/>
    <n v="0"/>
    <n v="999"/>
    <n v="1"/>
    <s v="N8"/>
    <n v="975"/>
  </r>
  <r>
    <m/>
    <x v="34"/>
    <s v="A-493-3008"/>
    <s v="31VA"/>
    <x v="0"/>
    <d v="2025-11-07T00:00:00"/>
    <d v="2025-11-0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6"/>
    <n v="0"/>
    <n v="35"/>
    <n v="0"/>
    <n v="0"/>
    <n v="0"/>
    <n v="0"/>
    <s v="AC1 Engleking"/>
    <n v="-204"/>
    <n v="0"/>
    <n v="0"/>
    <n v="1"/>
    <n v="0"/>
    <e v="#REF!"/>
    <n v="994"/>
    <n v="1"/>
    <s v="N8"/>
    <n v="965"/>
  </r>
  <r>
    <m/>
    <x v="35"/>
    <s v="A-493-3009"/>
    <s v="31VB"/>
    <x v="0"/>
    <d v="2025-11-07T00:00:00"/>
    <d v="2025-11-0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n v="0"/>
    <n v="43"/>
    <n v="0"/>
    <n v="35"/>
    <n v="0"/>
    <n v="0"/>
    <n v="0"/>
    <n v="0"/>
    <s v="AC1 Engleking"/>
    <n v="-204"/>
    <n v="0"/>
    <n v="0"/>
    <n v="1"/>
    <n v="0"/>
    <e v="#REF!"/>
    <n v="957"/>
    <n v="1"/>
    <s v="N8"/>
    <n v="965"/>
  </r>
  <r>
    <s v="Veterans Day"/>
    <x v="11"/>
    <s v="Holiday"/>
    <s v="Holiday"/>
    <x v="5"/>
    <d v="2025-11-11T00:00:00"/>
    <d v="2025-11-1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200"/>
    <n v="0"/>
    <n v="0"/>
    <n v="1"/>
    <n v="0"/>
    <n v="0"/>
    <n v="0"/>
    <n v="1"/>
    <s v="TSD"/>
    <n v="0"/>
  </r>
  <r>
    <m/>
    <x v="12"/>
    <s v="A-493-0331"/>
    <s v="10UG"/>
    <x v="0"/>
    <d v="2025-11-12T00:00:00"/>
    <d v="2025-11-14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5"/>
    <n v="39"/>
    <n v="3"/>
    <n v="0"/>
    <n v="0"/>
    <n v="0"/>
    <s v="Keay, Aaron"/>
    <n v="-197"/>
    <n v="0"/>
    <n v="0"/>
    <n v="1"/>
    <n v="0"/>
    <n v="24"/>
    <n v="1"/>
    <n v="1"/>
    <s v="N3"/>
    <n v="3"/>
  </r>
  <r>
    <m/>
    <x v="13"/>
    <s v="A-493-0012"/>
    <n v="3682"/>
    <x v="11"/>
    <d v="2025-11-17T00:00:00"/>
    <d v="2025-11-21T00:00:00"/>
    <s v="Funded"/>
    <d v="1899-12-30T08:00:00"/>
    <m/>
    <m/>
    <m/>
    <m/>
    <m/>
    <m/>
    <s v="W. Bailey"/>
    <m/>
    <m/>
    <n v="40"/>
    <n v="40"/>
    <n v="5"/>
    <n v="30"/>
    <n v="30"/>
    <n v="0"/>
    <n v="33"/>
    <n v="0"/>
    <n v="1"/>
    <n v="2"/>
    <n v="0"/>
    <s v="ABEAN Johnson"/>
    <n v="-190"/>
    <n v="0"/>
    <n v="0"/>
    <n v="1"/>
    <n v="0"/>
    <n v="40"/>
    <n v="10"/>
    <n v="1"/>
    <s v="N4"/>
    <n v="7"/>
  </r>
  <r>
    <s v="Naval Base San Diego"/>
    <x v="13"/>
    <s v="A-493-0012"/>
    <n v="3682"/>
    <x v="9"/>
    <d v="2025-11-17T00:00:00"/>
    <d v="2025-11-21T00:00:00"/>
    <s v="Funded"/>
    <d v="1899-12-30T08:00:00"/>
    <m/>
    <m/>
    <m/>
    <m/>
    <m/>
    <m/>
    <s v="R. Hartel"/>
    <m/>
    <m/>
    <n v="40"/>
    <n v="40"/>
    <n v="5"/>
    <n v="63"/>
    <n v="37"/>
    <n v="0"/>
    <n v="36"/>
    <n v="0"/>
    <n v="7"/>
    <n v="6"/>
    <n v="0"/>
    <s v="ABEAN Johnson"/>
    <n v="-190"/>
    <n v="0"/>
    <n v="0"/>
    <n v="1"/>
    <n v="0"/>
    <n v="40"/>
    <n v="3"/>
    <n v="1"/>
    <s v="N4"/>
    <n v="4"/>
  </r>
  <r>
    <m/>
    <x v="36"/>
    <s v="A-493-0665"/>
    <s v="10KW"/>
    <x v="0"/>
    <d v="2025-11-17T00:00:00"/>
    <d v="2025-11-19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20"/>
    <n v="0"/>
    <n v="20"/>
    <n v="0"/>
    <n v="1"/>
    <n v="0"/>
    <n v="0"/>
    <s v="AC1 Engleking"/>
    <n v="-192"/>
    <n v="0"/>
    <n v="0"/>
    <n v="1"/>
    <n v="0"/>
    <n v="24"/>
    <n v="25"/>
    <n v="1"/>
    <s v="N8"/>
    <n v="25"/>
  </r>
  <r>
    <m/>
    <x v="5"/>
    <s v="A-493-0061"/>
    <s v="288E"/>
    <x v="0"/>
    <d v="2025-11-17T00:00:00"/>
    <d v="2025-11-20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12"/>
    <n v="0"/>
    <n v="12"/>
    <n v="0"/>
    <n v="1"/>
    <n v="0"/>
    <n v="0"/>
    <s v="Benzick, Sue"/>
    <n v="-191"/>
    <n v="0"/>
    <n v="0"/>
    <n v="1"/>
    <n v="0"/>
    <n v="30"/>
    <n v="33"/>
    <n v="1"/>
    <s v="N5"/>
    <n v="33"/>
  </r>
  <r>
    <m/>
    <x v="6"/>
    <s v="A-322-2604"/>
    <s v="10ZZ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42"/>
    <n v="0"/>
    <n v="35"/>
    <n v="0"/>
    <n v="8"/>
    <n v="0"/>
    <n v="0"/>
    <s v="Benzick, Sue"/>
    <n v="-192"/>
    <n v="0"/>
    <n v="0"/>
    <n v="1"/>
    <n v="0"/>
    <n v="24"/>
    <n v="3"/>
    <n v="1"/>
    <s v="N8"/>
    <n v="10"/>
  </r>
  <r>
    <m/>
    <x v="40"/>
    <s v="A-493-0335"/>
    <s v="09ND"/>
    <x v="0"/>
    <d v="2025-11-17T00:00:00"/>
    <d v="2025-11-2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45"/>
    <n v="32"/>
    <n v="4"/>
    <n v="119"/>
    <n v="9"/>
    <n v="0"/>
    <n v="10"/>
    <n v="0"/>
    <n v="1"/>
    <n v="1"/>
    <n v="0"/>
    <s v="Keay, Aaron"/>
    <n v="-191"/>
    <n v="0"/>
    <n v="0"/>
    <n v="1"/>
    <n v="0"/>
    <n v="32"/>
    <n v="36"/>
    <n v="1"/>
    <s v="N3"/>
    <n v="35"/>
  </r>
  <r>
    <m/>
    <x v="0"/>
    <s v="A-493-0550"/>
    <s v="09K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0"/>
    <n v="31"/>
    <n v="0"/>
    <n v="14"/>
    <n v="0"/>
    <n v="0"/>
    <s v="Benzick, Sue"/>
    <n v="-191"/>
    <n v="0"/>
    <n v="0"/>
    <n v="1"/>
    <n v="0"/>
    <n v="32"/>
    <n v="0"/>
    <n v="1"/>
    <s v="N5"/>
    <n v="14"/>
  </r>
  <r>
    <m/>
    <x v="7"/>
    <s v="A-493-0078"/>
    <n v="1228"/>
    <x v="0"/>
    <d v="2025-11-17T00:00:00"/>
    <d v="2025-11-20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0"/>
    <n v="39"/>
    <n v="0"/>
    <n v="7"/>
    <n v="1"/>
    <n v="0"/>
    <s v="Benzick, Sue"/>
    <n v="-191"/>
    <n v="0"/>
    <n v="0"/>
    <n v="1"/>
    <n v="0"/>
    <n v="32"/>
    <n v="2"/>
    <n v="1"/>
    <s v="N5"/>
    <n v="6"/>
  </r>
  <r>
    <m/>
    <x v="42"/>
    <s v="A-493-0085"/>
    <n v="3555"/>
    <x v="0"/>
    <d v="2025-11-17T00:00:00"/>
    <d v="2025-11-20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25"/>
    <n v="0"/>
    <n v="17"/>
    <n v="1"/>
    <n v="9"/>
    <n v="0"/>
    <n v="0"/>
    <s v="Keay, Aaron"/>
    <n v="-191"/>
    <n v="0"/>
    <n v="0"/>
    <n v="1"/>
    <n v="0"/>
    <n v="32"/>
    <n v="20"/>
    <n v="1"/>
    <s v="N3"/>
    <n v="27"/>
  </r>
  <r>
    <m/>
    <x v="38"/>
    <s v="A-570-0100"/>
    <s v="18B7"/>
    <x v="0"/>
    <d v="2025-11-17T00:00:00"/>
    <d v="2025-11-18T00:00:00"/>
    <s v="Funded"/>
    <m/>
    <d v="1899-12-30T19:00:00"/>
    <d v="1899-12-30T16:00:00"/>
    <d v="1899-12-30T03:00:00"/>
    <d v="1899-12-30T01:00:00"/>
    <d v="1899-12-30T14:00:00"/>
    <d v="1899-12-30T09:00:00"/>
    <s v="LT Bozenski"/>
    <m/>
    <m/>
    <n v="45"/>
    <n v="16"/>
    <n v="2"/>
    <n v="126"/>
    <n v="22"/>
    <n v="0"/>
    <n v="16"/>
    <n v="0"/>
    <n v="5"/>
    <n v="0"/>
    <n v="0"/>
    <s v="Keay, Aaron"/>
    <n v="-193"/>
    <n v="0"/>
    <n v="0"/>
    <n v="1"/>
    <n v="0"/>
    <n v="16"/>
    <n v="23"/>
    <n v="1"/>
    <s v="N8"/>
    <n v="29"/>
  </r>
  <r>
    <m/>
    <x v="8"/>
    <s v="A-493-2098"/>
    <s v="09WW"/>
    <x v="0"/>
    <d v="2025-11-17T00:00:00"/>
    <d v="2025-11-1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100"/>
    <n v="16"/>
    <n v="3"/>
    <m/>
    <n v="100"/>
    <n v="1"/>
    <n v="81"/>
    <n v="1"/>
    <n v="16"/>
    <n v="0"/>
    <n v="0"/>
    <s v="Weaver, Nicole"/>
    <n v="-192"/>
    <n v="0"/>
    <n v="0"/>
    <n v="1"/>
    <n v="0"/>
    <n v="16"/>
    <n v="0"/>
    <n v="1"/>
    <s v="N8"/>
    <n v="18"/>
  </r>
  <r>
    <m/>
    <x v="43"/>
    <s v="A-4J-0022"/>
    <s v="09ER"/>
    <x v="0"/>
    <d v="2025-11-18T00:00:00"/>
    <d v="2025-11-19T00:00:00"/>
    <s v="Funded"/>
    <m/>
    <d v="1899-12-30T08:00:00"/>
    <d v="1899-12-30T05:00:00"/>
    <n v="1600"/>
    <n v="1400"/>
    <d v="1899-12-30T03:00:00"/>
    <n v="2200"/>
    <s v="A. Hardy"/>
    <m/>
    <m/>
    <n v="45"/>
    <n v="40"/>
    <n v="2"/>
    <n v="141"/>
    <n v="45"/>
    <n v="0"/>
    <n v="36"/>
    <n v="0"/>
    <n v="12"/>
    <n v="2"/>
    <n v="0"/>
    <s v="Weaver, Nicole"/>
    <n v="-192"/>
    <n v="0"/>
    <n v="0"/>
    <n v="1"/>
    <n v="0"/>
    <n v="40"/>
    <n v="0"/>
    <n v="1"/>
    <s v="N4"/>
    <n v="9"/>
  </r>
  <r>
    <m/>
    <x v="1"/>
    <s v="A-493-0099"/>
    <s v="12JW"/>
    <x v="0"/>
    <d v="2025-11-19T00:00:00"/>
    <d v="2025-11-21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5"/>
    <n v="1"/>
    <n v="42"/>
    <n v="0"/>
    <n v="5"/>
    <n v="1"/>
    <n v="0"/>
    <s v="Benzick, Sue"/>
    <n v="-190"/>
    <n v="0"/>
    <n v="0"/>
    <n v="1"/>
    <n v="0"/>
    <n v="24"/>
    <n v="0"/>
    <n v="1"/>
    <s v="N5"/>
    <n v="3"/>
  </r>
  <r>
    <s v="Thanksgiving Potluck"/>
    <x v="44"/>
    <s v="Function"/>
    <s v="Function"/>
    <x v="2"/>
    <d v="2025-11-25T00:00:00"/>
    <d v="2025-11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86"/>
    <n v="0"/>
    <n v="0"/>
    <n v="1"/>
    <n v="0"/>
    <n v="0"/>
    <n v="0"/>
    <n v="1"/>
    <s v="TSD"/>
    <n v="0"/>
  </r>
  <r>
    <s v="Thanksgiving"/>
    <x v="11"/>
    <s v="Holiday"/>
    <s v="Holiday"/>
    <x v="5"/>
    <d v="2025-11-27T00:00:00"/>
    <d v="2025-11-2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84"/>
    <n v="0"/>
    <n v="0"/>
    <n v="1"/>
    <n v="0"/>
    <n v="0"/>
    <n v="0"/>
    <n v="1"/>
    <s v="TSD"/>
    <n v="0"/>
  </r>
  <r>
    <m/>
    <x v="4"/>
    <s v="A-493-0103"/>
    <s v="12JY"/>
    <x v="12"/>
    <d v="2025-12-01T00:00:00"/>
    <d v="2025-12-05T00:00:00"/>
    <s v="Funded"/>
    <d v="1899-12-30T08:00:00"/>
    <m/>
    <m/>
    <m/>
    <m/>
    <m/>
    <m/>
    <s v="SOH Contractor"/>
    <m/>
    <m/>
    <n v="25"/>
    <n v="40"/>
    <n v="5"/>
    <n v="75"/>
    <n v="24"/>
    <n v="5"/>
    <n v="25"/>
    <n v="0"/>
    <n v="2"/>
    <n v="2"/>
    <n v="0"/>
    <s v="Benzick, Sue"/>
    <n v="-176"/>
    <n v="0"/>
    <n v="0"/>
    <n v="1"/>
    <n v="0"/>
    <n v="40"/>
    <n v="1"/>
    <n v="1"/>
    <s v="N5"/>
    <n v="0"/>
  </r>
  <r>
    <m/>
    <x v="5"/>
    <s v="A-493-0061"/>
    <s v="288E"/>
    <x v="0"/>
    <d v="2025-12-01T00:00:00"/>
    <d v="2025-12-04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25"/>
    <n v="0"/>
    <n v="20"/>
    <n v="0"/>
    <n v="6"/>
    <n v="1"/>
    <n v="0"/>
    <s v="Benzick, Sue"/>
    <n v="-177"/>
    <n v="0"/>
    <n v="0"/>
    <n v="1"/>
    <n v="0"/>
    <n v="30"/>
    <n v="20"/>
    <n v="1"/>
    <s v="N5"/>
    <n v="25"/>
  </r>
  <r>
    <m/>
    <x v="6"/>
    <s v="A-322-2604"/>
    <s v="10ZZ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24"/>
    <n v="3"/>
    <n v="621"/>
    <n v="39"/>
    <n v="0"/>
    <n v="35"/>
    <n v="0"/>
    <n v="5"/>
    <n v="0"/>
    <n v="0"/>
    <s v="Benzick, Sue"/>
    <n v="-178"/>
    <n v="0"/>
    <n v="0"/>
    <n v="1"/>
    <n v="0"/>
    <n v="24"/>
    <n v="6"/>
    <n v="1"/>
    <s v="N8"/>
    <n v="10"/>
  </r>
  <r>
    <m/>
    <x v="0"/>
    <s v="A-493-0550"/>
    <s v="09K5"/>
    <x v="0"/>
    <d v="2025-12-01T00:00:00"/>
    <d v="2025-12-04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0"/>
    <n v="40"/>
    <n v="0"/>
    <n v="6"/>
    <n v="1"/>
    <n v="0"/>
    <s v="Benzick, Sue"/>
    <n v="-177"/>
    <n v="0"/>
    <n v="0"/>
    <n v="1"/>
    <n v="0"/>
    <n v="32"/>
    <n v="3"/>
    <n v="1"/>
    <s v="N5"/>
    <n v="5"/>
  </r>
  <r>
    <m/>
    <x v="8"/>
    <s v="A-493-2098"/>
    <s v="09WW"/>
    <x v="0"/>
    <d v="2025-12-01T00:00:00"/>
    <d v="2025-12-03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356"/>
    <n v="99"/>
    <n v="3"/>
    <n v="60"/>
    <n v="5"/>
    <n v="34"/>
    <n v="2"/>
    <n v="0"/>
    <s v="Weaver, Nicole"/>
    <n v="-178"/>
    <n v="0"/>
    <n v="0"/>
    <n v="1"/>
    <n v="0"/>
    <n v="16"/>
    <n v="1"/>
    <n v="1"/>
    <s v="N8"/>
    <n v="35"/>
  </r>
  <r>
    <m/>
    <x v="1"/>
    <s v="A-493-0099"/>
    <s v="12JW"/>
    <x v="0"/>
    <d v="2025-12-03T00:00:00"/>
    <d v="2025-12-05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44"/>
    <n v="0"/>
    <n v="34"/>
    <n v="0"/>
    <n v="11"/>
    <n v="0"/>
    <n v="0"/>
    <s v="Benzick, Sue"/>
    <n v="-176"/>
    <n v="0"/>
    <n v="0"/>
    <n v="1"/>
    <n v="0"/>
    <n v="24"/>
    <n v="1"/>
    <n v="1"/>
    <s v="N5"/>
    <n v="11"/>
  </r>
  <r>
    <m/>
    <x v="36"/>
    <s v="A-493-0665"/>
    <s v="10KW"/>
    <x v="0"/>
    <d v="2025-12-08T00:00:00"/>
    <d v="2025-12-10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337"/>
    <n v="35"/>
    <n v="0"/>
    <n v="29"/>
    <n v="0"/>
    <n v="7"/>
    <n v="0"/>
    <n v="0"/>
    <s v="AC1 Engleking"/>
    <n v="-171"/>
    <n v="0"/>
    <n v="0"/>
    <n v="1"/>
    <n v="0"/>
    <n v="24"/>
    <n v="10"/>
    <n v="1"/>
    <s v="N8"/>
    <n v="16"/>
  </r>
  <r>
    <m/>
    <x v="4"/>
    <s v="A-493-0103"/>
    <s v="12JY"/>
    <x v="9"/>
    <d v="2025-12-08T00:00:00"/>
    <d v="2025-12-12T00:00:00"/>
    <s v="Funded"/>
    <d v="1899-12-30T08:00:00"/>
    <m/>
    <m/>
    <m/>
    <m/>
    <m/>
    <m/>
    <s v="SOH Contractor"/>
    <m/>
    <m/>
    <n v="25"/>
    <n v="40"/>
    <n v="5"/>
    <n v="516"/>
    <n v="25"/>
    <n v="2"/>
    <n v="24"/>
    <n v="0"/>
    <n v="5"/>
    <n v="3"/>
    <n v="0"/>
    <s v="Benzick, Sue"/>
    <n v="-169"/>
    <n v="0"/>
    <n v="0"/>
    <n v="1"/>
    <n v="0"/>
    <n v="40"/>
    <n v="0"/>
    <n v="1"/>
    <s v="N5"/>
    <n v="1"/>
  </r>
  <r>
    <m/>
    <x v="45"/>
    <s v="A-493-0070"/>
    <s v="450V"/>
    <x v="4"/>
    <d v="2025-12-08T00:00:00"/>
    <d v="2025-12-08T00:00:00"/>
    <s v="Funded"/>
    <d v="1899-12-30T08:00:00"/>
    <m/>
    <m/>
    <m/>
    <m/>
    <m/>
    <m/>
    <s v="B. Jung"/>
    <m/>
    <m/>
    <n v="30"/>
    <n v="8"/>
    <n v="1"/>
    <m/>
    <n v="18"/>
    <n v="0"/>
    <n v="16"/>
    <n v="0"/>
    <n v="0"/>
    <n v="0"/>
    <n v="0"/>
    <s v="Keay, Aaron"/>
    <n v="-173"/>
    <n v="0"/>
    <n v="0"/>
    <n v="1"/>
    <n v="0"/>
    <n v="8"/>
    <n v="12"/>
    <n v="1"/>
    <s v="N3"/>
    <n v="14"/>
  </r>
  <r>
    <m/>
    <x v="7"/>
    <s v="A-493-0078"/>
    <n v="1228"/>
    <x v="0"/>
    <d v="2025-12-08T00:00:00"/>
    <d v="2025-12-11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40"/>
    <n v="0"/>
    <n v="4"/>
    <n v="0"/>
    <n v="0"/>
    <s v="Benzick, Sue"/>
    <n v="-170"/>
    <n v="0"/>
    <n v="0"/>
    <n v="1"/>
    <n v="0"/>
    <n v="32"/>
    <n v="2"/>
    <n v="1"/>
    <s v="N5"/>
    <n v="5"/>
  </r>
  <r>
    <m/>
    <x v="38"/>
    <s v="A-570-0100"/>
    <s v="18B7"/>
    <x v="0"/>
    <d v="2025-12-08T00:00:00"/>
    <d v="2025-12-09T00:00:00"/>
    <s v="Funded"/>
    <m/>
    <d v="1899-12-30T12:00:00"/>
    <d v="1899-12-30T09:00:00"/>
    <d v="1899-12-30T20:00:00"/>
    <d v="1899-12-30T18:00:00"/>
    <d v="1899-12-30T07:00:00"/>
    <d v="1899-12-30T02:00:00"/>
    <s v="LT Bozenski"/>
    <m/>
    <m/>
    <n v="45"/>
    <n v="16"/>
    <n v="2"/>
    <n v="663"/>
    <n v="25"/>
    <n v="0"/>
    <n v="20"/>
    <n v="0"/>
    <n v="7"/>
    <n v="0"/>
    <n v="0"/>
    <s v="Keay, Aaron"/>
    <n v="-172"/>
    <n v="0"/>
    <n v="0"/>
    <n v="1"/>
    <n v="0"/>
    <n v="16"/>
    <n v="20"/>
    <n v="1"/>
    <s v="N8"/>
    <n v="25"/>
  </r>
  <r>
    <m/>
    <x v="8"/>
    <s v="A-493-2098"/>
    <s v="09WW"/>
    <x v="0"/>
    <d v="2025-12-08T00:00:00"/>
    <d v="2025-12-10T00:00:00"/>
    <s v="Funded"/>
    <m/>
    <d v="1899-12-30T08:00:00"/>
    <d v="1899-12-30T05:00:00"/>
    <n v="1600"/>
    <n v="1400"/>
    <d v="1899-12-30T03:00:00"/>
    <n v="2200"/>
    <s v="LT Bozenski"/>
    <m/>
    <m/>
    <n v="100"/>
    <n v="16"/>
    <n v="3"/>
    <m/>
    <n v="70"/>
    <n v="0"/>
    <n v="81"/>
    <n v="4"/>
    <n v="15"/>
    <n v="0"/>
    <n v="0"/>
    <s v="Weaver, Nicole"/>
    <n v="-171"/>
    <n v="0"/>
    <n v="0"/>
    <n v="1"/>
    <n v="0"/>
    <n v="16"/>
    <n v="30"/>
    <n v="1"/>
    <s v="N8"/>
    <n v="15"/>
  </r>
  <r>
    <m/>
    <x v="46"/>
    <s v="A-493-0015"/>
    <n v="3879"/>
    <x v="4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23"/>
    <n v="0"/>
    <n v="21"/>
    <n v="0"/>
    <n v="0"/>
    <n v="0"/>
    <n v="0"/>
    <s v="Keay, Aaron"/>
    <n v="-172"/>
    <n v="0"/>
    <n v="0"/>
    <n v="1"/>
    <n v="0"/>
    <n v="4"/>
    <n v="7"/>
    <n v="1"/>
    <s v="N3"/>
    <n v="9"/>
  </r>
  <r>
    <m/>
    <x v="47"/>
    <s v="A-493-0020"/>
    <n v="3888"/>
    <x v="4"/>
    <d v="2025-12-09T00:00:00"/>
    <d v="2025-12-09T00:00:00"/>
    <s v="Funded"/>
    <d v="1899-12-30T08:00:00"/>
    <m/>
    <m/>
    <m/>
    <m/>
    <m/>
    <m/>
    <s v="B. Jung"/>
    <m/>
    <m/>
    <n v="30"/>
    <n v="4"/>
    <n v="0.5"/>
    <m/>
    <n v="11"/>
    <n v="0"/>
    <n v="10"/>
    <n v="0"/>
    <n v="0"/>
    <n v="0"/>
    <n v="0"/>
    <s v="Keay, Aaron"/>
    <n v="-172"/>
    <n v="0"/>
    <n v="0"/>
    <n v="1"/>
    <n v="0"/>
    <n v="4"/>
    <n v="19"/>
    <n v="1"/>
    <s v="N3"/>
    <n v="20"/>
  </r>
  <r>
    <m/>
    <x v="12"/>
    <s v="A-493-0331"/>
    <s v="10UG"/>
    <x v="0"/>
    <d v="2025-12-09T00:00:00"/>
    <d v="2025-12-11T00:00:00"/>
    <s v="Funded"/>
    <m/>
    <d v="1899-12-30T12:00:00"/>
    <d v="1899-12-30T09:00:00"/>
    <d v="1899-12-30T20:00:00"/>
    <d v="1899-12-30T18:00:00"/>
    <d v="1899-12-30T07:00:00"/>
    <d v="1899-12-30T02:00:00"/>
    <s v="A. Harris"/>
    <m/>
    <m/>
    <n v="45"/>
    <n v="24"/>
    <n v="3"/>
    <n v="844"/>
    <n v="43"/>
    <n v="0"/>
    <n v="28"/>
    <n v="4"/>
    <n v="13"/>
    <n v="0"/>
    <n v="0"/>
    <s v="Keay, Aaron"/>
    <n v="-170"/>
    <n v="0"/>
    <n v="0"/>
    <n v="1"/>
    <n v="0"/>
    <n v="24"/>
    <n v="2"/>
    <n v="1"/>
    <s v="N3"/>
    <n v="13"/>
  </r>
  <r>
    <m/>
    <x v="0"/>
    <s v="A-493-0550"/>
    <s v="09K5"/>
    <x v="0"/>
    <d v="2025-12-09T00:00:00"/>
    <d v="2025-12-12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4"/>
    <n v="0"/>
    <n v="42"/>
    <n v="0"/>
    <n v="4"/>
    <n v="0"/>
    <n v="0"/>
    <s v="Benzick, Sue"/>
    <n v="-169"/>
    <n v="0"/>
    <n v="0"/>
    <n v="1"/>
    <n v="0"/>
    <n v="32"/>
    <n v="1"/>
    <n v="1"/>
    <s v="N5"/>
    <n v="3"/>
  </r>
  <r>
    <s v="Holiday Breakfast @ 0800"/>
    <x v="44"/>
    <s v="Function"/>
    <s v="Function"/>
    <x v="2"/>
    <d v="2025-12-10T00:00:00"/>
    <d v="2025-12-1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71"/>
    <n v="0"/>
    <n v="0"/>
    <n v="1"/>
    <n v="0"/>
    <n v="0"/>
    <n v="0"/>
    <n v="1"/>
    <s v="TSD"/>
    <n v="0"/>
  </r>
  <r>
    <m/>
    <x v="18"/>
    <s v="A-493-3002"/>
    <s v="31V4"/>
    <x v="0"/>
    <d v="2025-12-14T00:00:00"/>
    <d v="2025-12-14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4"/>
    <n v="0.5"/>
    <n v="0"/>
    <n v="1"/>
    <n v="0"/>
    <n v="37"/>
    <n v="0"/>
    <n v="0"/>
    <n v="0"/>
    <n v="6"/>
    <s v="AC1 Engleking"/>
    <n v="-167"/>
    <n v="0"/>
    <n v="0"/>
    <n v="1"/>
    <n v="0"/>
    <n v="0"/>
    <n v="999"/>
    <n v="1"/>
    <s v="N8"/>
    <n v="963"/>
  </r>
  <r>
    <m/>
    <x v="20"/>
    <s v="A-493-3006"/>
    <s v="31V8"/>
    <x v="0"/>
    <d v="2025-12-14T00:00:00"/>
    <d v="2025-12-14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0.75"/>
    <n v="0.1"/>
    <m/>
    <n v="1"/>
    <n v="0"/>
    <n v="37"/>
    <n v="0"/>
    <n v="0"/>
    <n v="0"/>
    <n v="6"/>
    <s v="AC1 Engleking"/>
    <n v="-167"/>
    <n v="0"/>
    <n v="0"/>
    <n v="1"/>
    <n v="0"/>
    <n v="0"/>
    <n v="999"/>
    <n v="1"/>
    <s v="N8"/>
    <n v="963"/>
  </r>
  <r>
    <m/>
    <x v="4"/>
    <s v="A-493-0103"/>
    <s v="12JY"/>
    <x v="10"/>
    <d v="2025-12-15T00:00:00"/>
    <d v="2025-12-19T00:00:00"/>
    <s v="Funded"/>
    <d v="1899-12-30T08:00:00"/>
    <m/>
    <m/>
    <m/>
    <m/>
    <m/>
    <m/>
    <s v="SOH Contractor"/>
    <m/>
    <m/>
    <n v="25"/>
    <n v="40"/>
    <n v="5"/>
    <n v="225"/>
    <n v="24"/>
    <n v="0"/>
    <n v="24"/>
    <n v="0"/>
    <n v="3"/>
    <n v="2"/>
    <m/>
    <s v="Benzick, Sue"/>
    <n v="-162"/>
    <n v="0"/>
    <n v="0"/>
    <n v="1"/>
    <n v="0"/>
    <n v="40"/>
    <n v="1"/>
    <n v="1"/>
    <s v="N5"/>
    <n v="1"/>
  </r>
  <r>
    <m/>
    <x v="5"/>
    <s v="A-493-0061"/>
    <s v="288E"/>
    <x v="0"/>
    <d v="2025-12-15T00:00:00"/>
    <d v="2025-12-18T00:00:00"/>
    <s v="Funded"/>
    <m/>
    <d v="1899-12-30T19:00:00"/>
    <d v="1899-12-30T16:00:00"/>
    <d v="1899-12-30T03:00:00"/>
    <d v="1899-12-30T01:00:00"/>
    <d v="1899-12-30T14:00:00"/>
    <d v="1899-12-30T09:00:00"/>
    <s v="S. Griffin"/>
    <m/>
    <m/>
    <n v="45"/>
    <n v="30"/>
    <n v="4"/>
    <n v="187"/>
    <n v="33"/>
    <n v="0"/>
    <n v="31"/>
    <n v="0"/>
    <n v="3"/>
    <n v="0"/>
    <n v="0"/>
    <s v="Benzick, Sue"/>
    <n v="-163"/>
    <n v="0"/>
    <n v="0"/>
    <n v="1"/>
    <n v="0"/>
    <n v="30"/>
    <n v="12"/>
    <n v="1"/>
    <s v="N5"/>
    <n v="14"/>
  </r>
  <r>
    <m/>
    <x v="22"/>
    <s v="A-493-3011"/>
    <s v="31VD"/>
    <x v="0"/>
    <d v="2025-12-15T00:00:00"/>
    <d v="2025-12-15T00:00:00"/>
    <s v="Funded"/>
    <m/>
    <d v="1899-12-30T23:00:00"/>
    <d v="1899-12-30T20:00:00"/>
    <d v="1899-12-30T07:00:00"/>
    <d v="1899-12-30T05:00:00"/>
    <d v="1899-12-30T18:00:00"/>
    <d v="1899-12-30T13:00:00"/>
    <s v="C. Gum"/>
    <m/>
    <m/>
    <n v="1000"/>
    <n v="2.5"/>
    <n v="0.3"/>
    <n v="0"/>
    <n v="1"/>
    <n v="0"/>
    <n v="33"/>
    <n v="0"/>
    <n v="0"/>
    <n v="0"/>
    <n v="8"/>
    <s v="AC1 Engleking"/>
    <n v="-166"/>
    <n v="0"/>
    <n v="0"/>
    <n v="1"/>
    <n v="0"/>
    <n v="1"/>
    <n v="999"/>
    <n v="1"/>
    <s v="N8"/>
    <n v="967"/>
  </r>
  <r>
    <m/>
    <x v="23"/>
    <s v="A-493-3010"/>
    <s v="31VC"/>
    <x v="0"/>
    <d v="2025-12-15T00:00:00"/>
    <d v="2025-12-15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3.5"/>
    <n v="0.4"/>
    <n v="0"/>
    <n v="9"/>
    <n v="0"/>
    <n v="37"/>
    <n v="0"/>
    <n v="0"/>
    <n v="0"/>
    <n v="8"/>
    <s v="AC1 Engleking"/>
    <n v="-166"/>
    <n v="0"/>
    <n v="0"/>
    <n v="1"/>
    <n v="0"/>
    <e v="#REF!"/>
    <n v="991"/>
    <n v="1"/>
    <s v="N8"/>
    <n v="963"/>
  </r>
  <r>
    <m/>
    <x v="19"/>
    <s v="A-493-3003"/>
    <s v="31V5"/>
    <x v="0"/>
    <d v="2025-12-15T00:00:00"/>
    <d v="2025-12-15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0.75"/>
    <n v="0.1"/>
    <m/>
    <n v="1"/>
    <n v="0"/>
    <n v="25"/>
    <n v="0"/>
    <n v="0"/>
    <n v="0"/>
    <n v="3"/>
    <s v="AC1 Engleking"/>
    <n v="-166"/>
    <n v="0"/>
    <n v="0"/>
    <n v="1"/>
    <n v="0"/>
    <n v="0"/>
    <n v="999"/>
    <n v="1"/>
    <s v="N8"/>
    <n v="975"/>
  </r>
  <r>
    <m/>
    <x v="21"/>
    <s v="A-493-3007"/>
    <s v="31V9"/>
    <x v="0"/>
    <d v="2025-12-15T00:00:00"/>
    <d v="2025-12-15T00:00:00"/>
    <s v="Funded"/>
    <m/>
    <d v="1899-12-30T00:01:00"/>
    <d v="1899-12-30T21:01:00"/>
    <d v="1899-12-30T20:01:00"/>
    <d v="1899-12-30T06:01:00"/>
    <d v="1899-12-30T19:01:00"/>
    <d v="1899-12-30T14:01:00"/>
    <s v="C. Gum"/>
    <m/>
    <m/>
    <n v="1000"/>
    <n v="0.75"/>
    <n v="0.1"/>
    <m/>
    <n v="1"/>
    <n v="0"/>
    <n v="32"/>
    <n v="0"/>
    <n v="0"/>
    <n v="0"/>
    <n v="4"/>
    <s v="AC1 Engleking"/>
    <n v="-166"/>
    <n v="0"/>
    <n v="0"/>
    <n v="1"/>
    <n v="0"/>
    <e v="#REF!"/>
    <n v="999"/>
    <n v="1"/>
    <s v="N8"/>
    <n v="968"/>
  </r>
  <r>
    <s v="Pilot Course "/>
    <x v="43"/>
    <s v="A-4J-0022"/>
    <s v="09ER"/>
    <x v="0"/>
    <d v="2025-12-15T00:00:00"/>
    <d v="2025-12-19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40"/>
    <n v="2"/>
    <n v="130"/>
    <n v="24"/>
    <n v="0"/>
    <n v="19"/>
    <n v="1"/>
    <n v="3"/>
    <n v="0"/>
    <n v="0"/>
    <s v="Benzick, Sue"/>
    <n v="-162"/>
    <n v="0"/>
    <n v="0"/>
    <n v="1"/>
    <n v="0"/>
    <n v="40"/>
    <n v="21"/>
    <n v="1"/>
    <s v="N4"/>
    <n v="25"/>
  </r>
  <r>
    <s v="Training at 0900"/>
    <x v="44"/>
    <s v="Function"/>
    <s v="Function"/>
    <x v="0"/>
    <d v="2025-12-16T00:00:00"/>
    <d v="2025-12-1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165"/>
    <n v="0"/>
    <n v="0"/>
    <n v="0"/>
    <n v="0"/>
    <e v="#DIV/0!"/>
    <m/>
    <n v="0"/>
    <s v="TSD"/>
    <n v="0"/>
  </r>
  <r>
    <m/>
    <x v="25"/>
    <s v="A-493-3004"/>
    <s v="31V6"/>
    <x v="0"/>
    <d v="2025-12-16T00:00:00"/>
    <d v="2025-12-16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1.5"/>
    <n v="0.2"/>
    <n v="0"/>
    <n v="1"/>
    <n v="0"/>
    <n v="32"/>
    <n v="0"/>
    <n v="0"/>
    <n v="0"/>
    <n v="7"/>
    <s v="AC1 Engleking"/>
    <n v="-165"/>
    <n v="0"/>
    <n v="0"/>
    <n v="1"/>
    <n v="0"/>
    <n v="0"/>
    <n v="999"/>
    <n v="1"/>
    <s v="N8"/>
    <n v="968"/>
  </r>
  <r>
    <m/>
    <x v="26"/>
    <s v="A-493-3001"/>
    <s v="31V3"/>
    <x v="0"/>
    <d v="2025-12-16T00:00:00"/>
    <d v="2025-12-16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2"/>
    <n v="0.25"/>
    <m/>
    <n v="3"/>
    <n v="0"/>
    <n v="29"/>
    <n v="0"/>
    <n v="0"/>
    <n v="0"/>
    <n v="5"/>
    <s v="AC1 Engleking"/>
    <n v="-165"/>
    <n v="0"/>
    <n v="0"/>
    <n v="1"/>
    <n v="0"/>
    <n v="0"/>
    <n v="997"/>
    <n v="1"/>
    <s v="N8"/>
    <n v="971"/>
  </r>
  <r>
    <m/>
    <x v="24"/>
    <s v="A-493-3018"/>
    <s v="31YM"/>
    <x v="0"/>
    <d v="2025-12-17T00:00:00"/>
    <d v="2025-12-17T00:00:00"/>
    <s v="Funded"/>
    <m/>
    <d v="1899-12-30T00:30:00"/>
    <d v="1899-12-30T21:30:00"/>
    <d v="1899-12-30T08:30:00"/>
    <d v="1899-12-30T06:30:00"/>
    <d v="1899-12-30T19:30:00"/>
    <d v="1899-12-30T14:30:00"/>
    <s v="C. Gum"/>
    <m/>
    <m/>
    <n v="1000"/>
    <n v="2.5"/>
    <n v="0.3"/>
    <m/>
    <n v="1"/>
    <n v="0"/>
    <n v="24"/>
    <n v="0"/>
    <n v="0"/>
    <n v="0"/>
    <n v="5"/>
    <s v="AC1 Engleking"/>
    <n v="-164"/>
    <n v="0"/>
    <n v="0"/>
    <n v="1"/>
    <n v="0"/>
    <n v="0"/>
    <n v="999"/>
    <n v="1"/>
    <s v="N8"/>
    <n v="976"/>
  </r>
  <r>
    <m/>
    <x v="27"/>
    <s v="A-493-3013"/>
    <s v="31YG"/>
    <x v="0"/>
    <d v="2025-12-17T00:00:00"/>
    <d v="2025-12-17T00:00:00"/>
    <s v="Funded"/>
    <m/>
    <d v="1899-12-30T20:30:00"/>
    <d v="1899-12-30T17:30:00"/>
    <d v="1899-12-30T04:30:00"/>
    <d v="1899-12-30T02:30:00"/>
    <d v="1899-12-30T15:30:00"/>
    <d v="1899-12-30T10:30:00"/>
    <s v="C. Gum"/>
    <m/>
    <m/>
    <n v="1000"/>
    <n v="1"/>
    <n v="0.1"/>
    <m/>
    <n v="1"/>
    <n v="0"/>
    <n v="23"/>
    <n v="0"/>
    <n v="0"/>
    <n v="0"/>
    <n v="2"/>
    <s v="AC1 Engleking"/>
    <n v="-164"/>
    <n v="0"/>
    <n v="0"/>
    <n v="1"/>
    <n v="0"/>
    <n v="0"/>
    <n v="999"/>
    <n v="1"/>
    <s v="N8"/>
    <n v="977"/>
  </r>
  <r>
    <m/>
    <x v="28"/>
    <s v="A-493-3014"/>
    <s v="31Yh"/>
    <x v="0"/>
    <d v="2025-12-17T00:00:00"/>
    <d v="2025-12-17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0.75"/>
    <n v="0.1"/>
    <m/>
    <n v="1"/>
    <n v="0"/>
    <n v="19"/>
    <n v="0"/>
    <n v="0"/>
    <n v="0"/>
    <n v="1"/>
    <s v="AC1 Engleking"/>
    <n v="-164"/>
    <n v="0"/>
    <n v="0"/>
    <n v="1"/>
    <n v="0"/>
    <n v="1"/>
    <n v="999"/>
    <n v="1"/>
    <s v="N8"/>
    <n v="981"/>
  </r>
  <r>
    <m/>
    <x v="29"/>
    <s v="A-493-3015"/>
    <s v="31YJ"/>
    <x v="0"/>
    <d v="2025-12-17T00:00:00"/>
    <d v="2025-12-17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m/>
    <n v="1"/>
    <n v="0"/>
    <n v="24"/>
    <n v="0"/>
    <n v="0"/>
    <n v="0"/>
    <n v="1"/>
    <s v="AC1 Engleking"/>
    <n v="-164"/>
    <n v="0"/>
    <n v="0"/>
    <n v="1"/>
    <n v="0"/>
    <e v="#REF!"/>
    <n v="999"/>
    <n v="1"/>
    <s v="N8"/>
    <n v="976"/>
  </r>
  <r>
    <m/>
    <x v="30"/>
    <s v="A-493-3016"/>
    <s v="31Yk"/>
    <x v="0"/>
    <d v="2025-12-17T00:00:00"/>
    <d v="2025-12-17T00:00:00"/>
    <s v="Funded"/>
    <m/>
    <d v="1899-12-30T23:30:00"/>
    <d v="1899-12-30T20:30:00"/>
    <d v="1899-12-30T07:30:00"/>
    <d v="1899-12-30T05:30:00"/>
    <d v="1899-12-30T18:30:00"/>
    <d v="1899-12-30T13:30:00"/>
    <s v="C. Gum"/>
    <m/>
    <m/>
    <n v="1000"/>
    <n v="1"/>
    <n v="0.1"/>
    <m/>
    <n v="1"/>
    <n v="0"/>
    <n v="24"/>
    <n v="0"/>
    <n v="0"/>
    <n v="0"/>
    <n v="2"/>
    <s v="AC1 Engleking"/>
    <n v="-164"/>
    <n v="0"/>
    <n v="0"/>
    <n v="1"/>
    <n v="0"/>
    <e v="#REF!"/>
    <n v="999"/>
    <n v="1"/>
    <s v="N8"/>
    <n v="976"/>
  </r>
  <r>
    <m/>
    <x v="32"/>
    <s v="A-493-3005"/>
    <s v="31V7"/>
    <x v="0"/>
    <d v="2025-12-18T00:00:00"/>
    <d v="2025-12-18T00:00:00"/>
    <s v="Funded"/>
    <m/>
    <d v="1899-12-30T20:45:00"/>
    <d v="1899-12-30T17:45:00"/>
    <d v="1899-12-30T04:45:00"/>
    <d v="1899-12-30T02:45:00"/>
    <d v="1899-12-30T15:45:00"/>
    <d v="1899-12-30T10:45:00"/>
    <s v="C. Gum"/>
    <m/>
    <m/>
    <n v="1000"/>
    <n v="2"/>
    <n v="0.25"/>
    <m/>
    <n v="1"/>
    <n v="0"/>
    <n v="30"/>
    <n v="0"/>
    <n v="0"/>
    <n v="0"/>
    <n v="4"/>
    <s v="AC1 Engleking"/>
    <n v="-163"/>
    <n v="0"/>
    <n v="0"/>
    <n v="1"/>
    <n v="0"/>
    <e v="#REF!"/>
    <n v="999"/>
    <n v="1"/>
    <s v="N8"/>
    <n v="970"/>
  </r>
  <r>
    <m/>
    <x v="33"/>
    <s v="A-493-3017"/>
    <s v="31YL"/>
    <x v="0"/>
    <d v="2025-12-18T00:00:00"/>
    <d v="2025-12-18T00:00:00"/>
    <s v="Funded"/>
    <m/>
    <d v="1899-12-30T22:30:00"/>
    <d v="1899-12-30T19:30:00"/>
    <d v="1899-12-30T06:30:00"/>
    <d v="1899-12-30T04:30:00"/>
    <d v="1899-12-30T17:30:00"/>
    <d v="1899-12-30T12:30:00"/>
    <s v="C. Gum"/>
    <m/>
    <m/>
    <n v="1000"/>
    <n v="2.5"/>
    <n v="0.3"/>
    <m/>
    <n v="1"/>
    <n v="0"/>
    <n v="24"/>
    <n v="0"/>
    <n v="0"/>
    <n v="0"/>
    <n v="1"/>
    <s v="AC1 Engleking"/>
    <n v="-163"/>
    <n v="0"/>
    <n v="0"/>
    <n v="1"/>
    <n v="0"/>
    <n v="0"/>
    <n v="999"/>
    <n v="1"/>
    <s v="N8"/>
    <n v="976"/>
  </r>
  <r>
    <m/>
    <x v="34"/>
    <s v="A-493-3008"/>
    <s v="31VA"/>
    <x v="0"/>
    <d v="2025-12-18T00:00:00"/>
    <d v="2025-12-18T00:00:00"/>
    <s v="Funded"/>
    <m/>
    <d v="1899-12-30T18:00:00"/>
    <d v="1899-12-30T15:00:00"/>
    <d v="1899-12-30T02:00:00"/>
    <d v="1899-12-30T00:00:00"/>
    <d v="1899-12-30T13:00:00"/>
    <d v="1899-12-30T08:00:00"/>
    <s v="C. Gum"/>
    <m/>
    <m/>
    <n v="1000"/>
    <n v="1"/>
    <n v="0.1"/>
    <n v="0"/>
    <n v="2"/>
    <n v="0"/>
    <n v="33"/>
    <n v="0"/>
    <n v="0"/>
    <n v="0"/>
    <n v="2"/>
    <s v="AC1 Engleking"/>
    <n v="-163"/>
    <n v="0"/>
    <n v="0"/>
    <n v="1"/>
    <n v="0"/>
    <n v="0"/>
    <n v="998"/>
    <n v="1"/>
    <s v="N8"/>
    <n v="967"/>
  </r>
  <r>
    <m/>
    <x v="31"/>
    <s v="A-493-3012"/>
    <s v="31YF"/>
    <x v="0"/>
    <d v="2025-12-18T00:00:00"/>
    <d v="2025-12-18T00:00:00"/>
    <s v="Funded"/>
    <m/>
    <d v="1899-12-30T01:00:00"/>
    <d v="1899-12-30T22:00:00"/>
    <d v="1899-12-30T09:00:00"/>
    <d v="1899-12-30T07:00:00"/>
    <d v="1899-12-30T20:00:00"/>
    <d v="1899-12-30T15:00:00"/>
    <s v="C. Gum"/>
    <m/>
    <m/>
    <n v="1000"/>
    <n v="1"/>
    <n v="0.1"/>
    <m/>
    <n v="1"/>
    <n v="0"/>
    <n v="21"/>
    <n v="0"/>
    <n v="0"/>
    <n v="0"/>
    <n v="1"/>
    <s v="AC1 Engleking"/>
    <n v="-163"/>
    <n v="0"/>
    <n v="0"/>
    <n v="1"/>
    <n v="0"/>
    <e v="#REF!"/>
    <n v="999"/>
    <n v="1"/>
    <s v="N8"/>
    <n v="979"/>
  </r>
  <r>
    <m/>
    <x v="35"/>
    <s v="A-493-3009"/>
    <s v="31VB"/>
    <x v="0"/>
    <d v="2025-12-18T00:00:00"/>
    <d v="2025-12-18T00:00:00"/>
    <s v="Funded"/>
    <m/>
    <d v="1899-12-30T19:30:00"/>
    <d v="1899-12-30T16:30:00"/>
    <d v="1899-12-30T03:30:00"/>
    <d v="1899-12-30T01:30:00"/>
    <d v="1899-12-30T16:30:00"/>
    <d v="1899-12-30T09:30:00"/>
    <s v="C. Gum"/>
    <m/>
    <m/>
    <n v="1000"/>
    <n v="1"/>
    <n v="0.1"/>
    <n v="0"/>
    <n v="2"/>
    <n v="0"/>
    <n v="29"/>
    <n v="0"/>
    <n v="0"/>
    <n v="0"/>
    <n v="5"/>
    <s v="AC1 Engleking"/>
    <n v="-163"/>
    <n v="0"/>
    <n v="0"/>
    <n v="1"/>
    <n v="0"/>
    <n v="0"/>
    <n v="998"/>
    <n v="1"/>
    <s v="N8"/>
    <n v="971"/>
  </r>
  <r>
    <m/>
    <x v="11"/>
    <s v="Holiday"/>
    <s v="Holiday"/>
    <x v="5"/>
    <d v="2025-12-25T00:00:00"/>
    <d v="2025-12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56"/>
    <n v="0"/>
    <n v="0"/>
    <n v="1"/>
    <n v="0"/>
    <n v="0"/>
    <n v="0"/>
    <n v="1"/>
    <s v="TSD"/>
    <n v="0"/>
  </r>
  <r>
    <m/>
    <x v="11"/>
    <s v="Holiday"/>
    <s v="Holiday"/>
    <x v="5"/>
    <d v="2026-01-01T00:00:00"/>
    <d v="2026-01-01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49"/>
    <n v="0"/>
    <n v="0"/>
    <n v="1"/>
    <n v="0"/>
    <n v="0"/>
    <n v="0"/>
    <n v="2"/>
    <s v="TSD"/>
    <n v="0"/>
  </r>
  <r>
    <m/>
    <x v="13"/>
    <s v="A-493-0012"/>
    <n v="3682"/>
    <x v="13"/>
    <d v="2026-01-05T00:00:00"/>
    <d v="2026-01-09T00:00:00"/>
    <s v="Funded"/>
    <d v="1899-12-30T08:00:00"/>
    <m/>
    <m/>
    <m/>
    <m/>
    <m/>
    <m/>
    <s v="G. Jester"/>
    <m/>
    <m/>
    <n v="40"/>
    <n v="40"/>
    <n v="5"/>
    <n v="45"/>
    <n v="31"/>
    <n v="0"/>
    <n v="36"/>
    <n v="0"/>
    <n v="0"/>
    <n v="5"/>
    <n v="0"/>
    <s v="Weaver, Nicole"/>
    <n v="-141"/>
    <n v="0"/>
    <n v="0"/>
    <n v="1"/>
    <n v="0"/>
    <n v="40"/>
    <n v="9"/>
    <n v="2"/>
    <s v="N4"/>
    <n v="4"/>
  </r>
  <r>
    <m/>
    <x v="4"/>
    <s v="A-493-0103"/>
    <s v="12JY"/>
    <x v="14"/>
    <d v="2026-01-05T00:00:00"/>
    <d v="2026-01-09T00:00:00"/>
    <s v="Funded"/>
    <d v="1899-12-30T08:00:00"/>
    <m/>
    <m/>
    <m/>
    <m/>
    <m/>
    <m/>
    <s v="SOH Contractor"/>
    <m/>
    <m/>
    <n v="25"/>
    <n v="40"/>
    <n v="5"/>
    <n v="90"/>
    <n v="10"/>
    <n v="0"/>
    <n v="9"/>
    <n v="0"/>
    <n v="1"/>
    <n v="3"/>
    <n v="0"/>
    <s v="Benzick, Sue"/>
    <n v="-141"/>
    <n v="0"/>
    <n v="0"/>
    <n v="1"/>
    <n v="0"/>
    <n v="40"/>
    <n v="15"/>
    <n v="2"/>
    <s v="N5"/>
    <n v="16"/>
  </r>
  <r>
    <m/>
    <x v="6"/>
    <s v="A-322-2604"/>
    <s v="10ZZ"/>
    <x v="0"/>
    <d v="2026-01-05T00:00:00"/>
    <d v="2026-01-07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316"/>
    <n v="43"/>
    <n v="0"/>
    <n v="30"/>
    <n v="3"/>
    <n v="13"/>
    <n v="1"/>
    <n v="0"/>
    <s v="Benzick, Sue"/>
    <n v="-143"/>
    <n v="0"/>
    <n v="0"/>
    <n v="1"/>
    <n v="0"/>
    <n v="24"/>
    <n v="2"/>
    <n v="2"/>
    <s v="N8"/>
    <n v="12"/>
  </r>
  <r>
    <m/>
    <x v="3"/>
    <s v="A-493-0072"/>
    <s v="713U"/>
    <x v="6"/>
    <d v="2026-01-05T00:00:00"/>
    <d v="2026-01-09T00:00:00"/>
    <s v="Funded"/>
    <d v="1899-12-30T08:00:00"/>
    <m/>
    <m/>
    <m/>
    <m/>
    <m/>
    <m/>
    <s v="W. Mitchell"/>
    <m/>
    <s v="Nicole"/>
    <n v="30"/>
    <n v="40"/>
    <n v="5"/>
    <n v="33"/>
    <n v="27"/>
    <n v="0"/>
    <n v="21"/>
    <n v="0"/>
    <n v="8"/>
    <n v="1"/>
    <n v="0"/>
    <s v="Keay, Aaron"/>
    <n v="-141"/>
    <n v="0"/>
    <n v="0"/>
    <n v="1"/>
    <n v="0"/>
    <n v="40"/>
    <n v="3"/>
    <n v="1"/>
    <s v="N3"/>
    <n v="9"/>
  </r>
  <r>
    <m/>
    <x v="8"/>
    <s v="A-493-2098"/>
    <s v="09WW"/>
    <x v="0"/>
    <d v="2026-01-05T00:00:00"/>
    <d v="2026-01-07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2"/>
    <n v="0"/>
    <n v="78"/>
    <n v="1"/>
    <n v="15"/>
    <n v="2"/>
    <n v="0"/>
    <s v="Weaver, Nicole"/>
    <n v="-143"/>
    <n v="0"/>
    <n v="0"/>
    <n v="1"/>
    <n v="0"/>
    <n v="16"/>
    <n v="8"/>
    <n v="2"/>
    <s v="N8"/>
    <n v="21"/>
  </r>
  <r>
    <m/>
    <x v="7"/>
    <s v="A-493-0078"/>
    <n v="1228"/>
    <x v="0"/>
    <d v="2026-01-06T00:00:00"/>
    <d v="2026-01-09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n v="39"/>
    <n v="2"/>
    <n v="6"/>
    <n v="2"/>
    <n v="0"/>
    <s v="Benzick, Sue"/>
    <n v="-141"/>
    <n v="0"/>
    <n v="0"/>
    <n v="1"/>
    <n v="0"/>
    <n v="32"/>
    <n v="0"/>
    <n v="2"/>
    <s v="N5"/>
    <n v="4"/>
  </r>
  <r>
    <m/>
    <x v="13"/>
    <s v="A-493-0012"/>
    <n v="3682"/>
    <x v="15"/>
    <d v="2026-01-12T00:00:00"/>
    <d v="2026-01-16T00:00:00"/>
    <s v="Funded"/>
    <d v="1899-12-30T08:00:00"/>
    <m/>
    <m/>
    <m/>
    <m/>
    <m/>
    <m/>
    <s v="R. Hartel"/>
    <m/>
    <m/>
    <n v="40"/>
    <n v="40"/>
    <n v="5"/>
    <n v="42"/>
    <n v="25"/>
    <n v="0"/>
    <n v="24"/>
    <n v="1"/>
    <n v="1"/>
    <n v="1"/>
    <n v="0"/>
    <s v="Weaver, Nicole"/>
    <n v="-134"/>
    <n v="0"/>
    <n v="0"/>
    <n v="1"/>
    <n v="0"/>
    <n v="40"/>
    <n v="15"/>
    <n v="2"/>
    <s v="N4"/>
    <n v="15"/>
  </r>
  <r>
    <m/>
    <x v="36"/>
    <s v="A-493-0665"/>
    <s v="10KW"/>
    <x v="0"/>
    <d v="2026-01-12T00:00:00"/>
    <d v="2026-01-14T00:00:00"/>
    <s v="Funded"/>
    <m/>
    <d v="1899-12-30T08:00:00"/>
    <d v="1899-12-30T05:00:00"/>
    <n v="1600"/>
    <n v="1400"/>
    <d v="1899-12-30T03:00:00"/>
    <n v="2200"/>
    <s v="LSC Kitivi"/>
    <m/>
    <m/>
    <n v="45"/>
    <n v="24"/>
    <n v="3"/>
    <n v="140"/>
    <n v="26"/>
    <n v="0"/>
    <n v="22"/>
    <n v="1"/>
    <n v="2"/>
    <n v="0"/>
    <n v="0"/>
    <s v="AC1 Engleking"/>
    <n v="-136"/>
    <n v="0"/>
    <n v="0"/>
    <n v="1"/>
    <n v="0"/>
    <n v="24"/>
    <n v="19"/>
    <n v="2"/>
    <s v="N8"/>
    <n v="22"/>
  </r>
  <r>
    <m/>
    <x v="4"/>
    <s v="A-493-0103"/>
    <s v="12JY"/>
    <x v="14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90"/>
    <n v="8"/>
    <n v="0"/>
    <n v="7"/>
    <n v="0"/>
    <n v="1"/>
    <n v="0"/>
    <n v="0"/>
    <s v="Benzick, Sue"/>
    <n v="-134"/>
    <n v="0"/>
    <n v="0"/>
    <n v="1"/>
    <n v="0"/>
    <n v="40"/>
    <n v="17"/>
    <n v="2"/>
    <s v="N5"/>
    <n v="18"/>
  </r>
  <r>
    <m/>
    <x v="4"/>
    <s v="A-493-0103"/>
    <s v="12JY"/>
    <x v="16"/>
    <d v="2026-01-12T00:00:00"/>
    <d v="2026-01-16T00:00:00"/>
    <s v="Funded"/>
    <d v="1899-12-30T08:00:00"/>
    <m/>
    <m/>
    <m/>
    <m/>
    <m/>
    <m/>
    <s v="SOH Contractor"/>
    <m/>
    <m/>
    <n v="25"/>
    <n v="40"/>
    <n v="5"/>
    <n v="35"/>
    <n v="20"/>
    <n v="0"/>
    <n v="20"/>
    <n v="0"/>
    <n v="4"/>
    <n v="1"/>
    <n v="0"/>
    <s v="Benzick, Sue"/>
    <n v="-134"/>
    <n v="0"/>
    <n v="0"/>
    <n v="1"/>
    <n v="0"/>
    <n v="40"/>
    <n v="5"/>
    <n v="2"/>
    <s v="N5"/>
    <n v="5"/>
  </r>
  <r>
    <m/>
    <x v="15"/>
    <s v="A-493-0030"/>
    <s v="286X"/>
    <x v="17"/>
    <d v="2026-01-12T00:00:00"/>
    <d v="2026-01-16T00:00:00"/>
    <s v="Funded"/>
    <d v="1899-12-30T08:00:00"/>
    <m/>
    <m/>
    <m/>
    <m/>
    <m/>
    <m/>
    <s v="OH Contractor"/>
    <m/>
    <m/>
    <n v="25"/>
    <n v="40"/>
    <n v="5"/>
    <n v="43"/>
    <n v="14"/>
    <n v="0"/>
    <n v="11"/>
    <n v="1"/>
    <n v="4"/>
    <n v="0"/>
    <n v="0"/>
    <s v="Keay, Aaron"/>
    <n v="-134"/>
    <n v="0"/>
    <n v="0"/>
    <n v="1"/>
    <n v="0"/>
    <n v="40"/>
    <n v="11"/>
    <n v="2"/>
    <s v="N3"/>
    <n v="13"/>
  </r>
  <r>
    <m/>
    <x v="0"/>
    <s v="A-493-0550"/>
    <s v="09K5"/>
    <x v="0"/>
    <d v="2026-01-12T00:00:00"/>
    <d v="2026-01-15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2"/>
    <n v="2"/>
    <n v="36"/>
    <n v="0"/>
    <n v="7"/>
    <n v="0"/>
    <n v="0"/>
    <s v="Benzick, Sue"/>
    <n v="-135"/>
    <n v="0"/>
    <n v="0"/>
    <n v="1"/>
    <n v="0"/>
    <n v="32"/>
    <n v="3"/>
    <n v="2"/>
    <s v="N5"/>
    <n v="9"/>
  </r>
  <r>
    <s v="Pilot Course "/>
    <x v="42"/>
    <s v="A-493-0085"/>
    <n v="3555"/>
    <x v="0"/>
    <d v="2026-01-12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B. Jung"/>
    <m/>
    <m/>
    <n v="45"/>
    <n v="32"/>
    <n v="4"/>
    <n v="688"/>
    <n v="18"/>
    <n v="0"/>
    <n v="17"/>
    <n v="0"/>
    <n v="2"/>
    <n v="1"/>
    <n v="0"/>
    <s v="Keay, Aaron"/>
    <n v="-135"/>
    <n v="0"/>
    <n v="0"/>
    <n v="1"/>
    <n v="0"/>
    <n v="32"/>
    <n v="27"/>
    <n v="2"/>
    <s v="N3"/>
    <n v="28"/>
  </r>
  <r>
    <m/>
    <x v="2"/>
    <s v="A-493-2501"/>
    <s v="05ZE"/>
    <x v="13"/>
    <d v="2026-01-12T00:00:00"/>
    <d v="2026-01-12T00:00:00"/>
    <s v="Funded"/>
    <d v="1899-12-30T08:00:00"/>
    <m/>
    <m/>
    <m/>
    <m/>
    <m/>
    <m/>
    <s v="ENV Contractor"/>
    <m/>
    <m/>
    <n v="30"/>
    <n v="8"/>
    <n v="1"/>
    <n v="47"/>
    <n v="12"/>
    <n v="0"/>
    <n v="9"/>
    <n v="0"/>
    <n v="1"/>
    <n v="0"/>
    <n v="0"/>
    <s v="AC1 Engleking"/>
    <n v="-138"/>
    <n v="0"/>
    <n v="0"/>
    <n v="1"/>
    <n v="0"/>
    <n v="8"/>
    <n v="18"/>
    <n v="2"/>
    <s v="N4"/>
    <n v="21"/>
  </r>
  <r>
    <m/>
    <x v="38"/>
    <s v="A-570-0100"/>
    <s v="18B7"/>
    <x v="0"/>
    <d v="2026-01-12T00:00:00"/>
    <d v="2026-01-13T00:00:00"/>
    <s v="Funded"/>
    <m/>
    <d v="1899-12-30T08:00:00"/>
    <d v="1899-12-30T05:00:00"/>
    <n v="1600"/>
    <n v="1400"/>
    <d v="1899-12-30T03:00:00"/>
    <n v="2200"/>
    <s v="LS1 Scoggins"/>
    <m/>
    <m/>
    <n v="45"/>
    <n v="16"/>
    <n v="2"/>
    <n v="326"/>
    <n v="19"/>
    <n v="0"/>
    <n v="17"/>
    <n v="0"/>
    <n v="2"/>
    <n v="0"/>
    <n v="0"/>
    <s v="Keay, Aaron"/>
    <n v="-137"/>
    <n v="0"/>
    <n v="0"/>
    <n v="1"/>
    <n v="0"/>
    <n v="16"/>
    <n v="26"/>
    <n v="2"/>
    <s v="N8"/>
    <n v="28"/>
  </r>
  <r>
    <m/>
    <x v="3"/>
    <s v="A-493-0072"/>
    <s v="713U"/>
    <x v="17"/>
    <d v="2026-01-12T00:00:00"/>
    <d v="2026-01-16T00:00:00"/>
    <s v="Funded"/>
    <d v="1899-12-30T08:00:00"/>
    <m/>
    <m/>
    <m/>
    <m/>
    <m/>
    <m/>
    <s v="W. Mitchell"/>
    <m/>
    <s v="T. White"/>
    <n v="30"/>
    <n v="40"/>
    <n v="5"/>
    <n v="56"/>
    <n v="27"/>
    <n v="1"/>
    <n v="27"/>
    <n v="0"/>
    <n v="2"/>
    <n v="1"/>
    <n v="0"/>
    <s v="Keay, Aaron"/>
    <n v="-134"/>
    <n v="0"/>
    <n v="0"/>
    <n v="1"/>
    <n v="0"/>
    <n v="40"/>
    <n v="3"/>
    <n v="2"/>
    <s v="N3"/>
    <n v="3"/>
  </r>
  <r>
    <m/>
    <x v="18"/>
    <s v="A-493-3002"/>
    <s v="31V4"/>
    <x v="0"/>
    <d v="2026-01-12T00:00:00"/>
    <d v="2026-01-12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4"/>
    <n v="0.5"/>
    <m/>
    <n v="51"/>
    <n v="0"/>
    <n v="16"/>
    <n v="0"/>
    <n v="0"/>
    <n v="0"/>
    <n v="0"/>
    <s v="ABEAN Johnson"/>
    <n v="-138"/>
    <n v="0"/>
    <n v="0"/>
    <n v="1"/>
    <n v="0"/>
    <n v="0"/>
    <n v="949"/>
    <n v="2"/>
    <s v="N8"/>
    <n v="984"/>
  </r>
  <r>
    <m/>
    <x v="19"/>
    <s v="A-493-3003"/>
    <s v="31V5"/>
    <x v="0"/>
    <d v="2026-01-12T00:00:00"/>
    <d v="2026-01-12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51"/>
    <n v="0"/>
    <n v="14"/>
    <n v="0"/>
    <n v="0"/>
    <n v="0"/>
    <n v="0"/>
    <s v="ABEAN Johnson"/>
    <n v="-138"/>
    <n v="0"/>
    <n v="0"/>
    <n v="1"/>
    <n v="0"/>
    <e v="#REF!"/>
    <n v="949"/>
    <n v="2"/>
    <s v="N8"/>
    <n v="986"/>
  </r>
  <r>
    <m/>
    <x v="20"/>
    <s v="A-493-3006"/>
    <s v="31V8"/>
    <x v="0"/>
    <d v="2026-01-12T00:00:00"/>
    <d v="2026-01-12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0.75"/>
    <n v="0.1"/>
    <m/>
    <n v="51"/>
    <n v="0"/>
    <n v="16"/>
    <n v="0"/>
    <n v="0"/>
    <n v="0"/>
    <n v="0"/>
    <s v="ABEAN Johnson"/>
    <n v="-138"/>
    <n v="0"/>
    <n v="0"/>
    <n v="1"/>
    <n v="0"/>
    <e v="#REF!"/>
    <n v="949"/>
    <n v="2"/>
    <s v="N8"/>
    <n v="984"/>
  </r>
  <r>
    <m/>
    <x v="21"/>
    <s v="A-493-3007"/>
    <s v="31V9"/>
    <x v="0"/>
    <d v="2026-01-12T00:00:00"/>
    <d v="2026-01-12T00:00:00"/>
    <s v="Funded"/>
    <m/>
    <d v="1899-12-30T14:00:00"/>
    <d v="1899-12-30T11:00:00"/>
    <d v="1899-12-30T22:00:00"/>
    <d v="1899-12-30T20:00:00"/>
    <d v="1899-12-30T09:00:00"/>
    <d v="1899-12-30T04:00:00"/>
    <s v="C. Gum"/>
    <m/>
    <m/>
    <n v="1000"/>
    <n v="0.75"/>
    <n v="0.1"/>
    <m/>
    <n v="51"/>
    <n v="0"/>
    <n v="15"/>
    <n v="0"/>
    <n v="0"/>
    <n v="0"/>
    <n v="0"/>
    <s v="ABEAN Johnson"/>
    <n v="-138"/>
    <n v="0"/>
    <n v="0"/>
    <n v="1"/>
    <n v="0"/>
    <n v="0"/>
    <n v="949"/>
    <n v="2"/>
    <s v="N8"/>
    <n v="985"/>
  </r>
  <r>
    <m/>
    <x v="41"/>
    <s v="F-4J-0023"/>
    <s v="11A2"/>
    <x v="0"/>
    <d v="2026-01-12T00:00:00"/>
    <d v="2026-01-13T00:00:00"/>
    <s v="Funded"/>
    <m/>
    <d v="1899-12-30T08:00:00"/>
    <d v="1899-12-30T05:00:00"/>
    <n v="1600"/>
    <n v="1400"/>
    <d v="1899-12-30T03:00:00"/>
    <n v="2200"/>
    <s v="LT Bozenski"/>
    <m/>
    <m/>
    <n v="45"/>
    <n v="16"/>
    <n v="2"/>
    <n v="28"/>
    <n v="7"/>
    <n v="0"/>
    <n v="5"/>
    <n v="0"/>
    <n v="2"/>
    <n v="0"/>
    <n v="0"/>
    <s v="Keay, Aaron"/>
    <n v="-137"/>
    <n v="0"/>
    <n v="0"/>
    <n v="1"/>
    <n v="0"/>
    <n v="16"/>
    <n v="38"/>
    <n v="2"/>
    <s v="N8"/>
    <n v="40"/>
  </r>
  <r>
    <m/>
    <x v="48"/>
    <s v="A-493-0077"/>
    <s v="0381"/>
    <x v="18"/>
    <d v="2026-01-12T00:00:00"/>
    <d v="2026-01-14T00:00:00"/>
    <s v="Funded"/>
    <d v="1899-12-30T08:00:00"/>
    <m/>
    <m/>
    <m/>
    <m/>
    <m/>
    <m/>
    <s v="ENV Contractor"/>
    <m/>
    <m/>
    <n v="25"/>
    <n v="24"/>
    <n v="3"/>
    <n v="59"/>
    <n v="25"/>
    <n v="0"/>
    <n v="25"/>
    <n v="0"/>
    <n v="6"/>
    <n v="6"/>
    <n v="0"/>
    <s v="Weaver, Nicole"/>
    <n v="-136"/>
    <n v="0"/>
    <n v="0"/>
    <n v="1"/>
    <n v="0"/>
    <n v="24"/>
    <n v="0"/>
    <n v="2"/>
    <s v="N4"/>
    <n v="0"/>
  </r>
  <r>
    <m/>
    <x v="43"/>
    <s v="A-4J-0022"/>
    <s v="09ER"/>
    <x v="0"/>
    <d v="2026-01-12T00:00:00"/>
    <d v="2026-01-16T00:00:00"/>
    <s v="Funded"/>
    <m/>
    <d v="1899-12-30T12:00:00"/>
    <d v="1899-12-30T09:00:00"/>
    <d v="1899-12-30T20:00:00"/>
    <d v="1899-12-30T18:00:00"/>
    <d v="1899-12-30T07:00:00"/>
    <d v="1899-12-30T02:00:00"/>
    <s v="K. Seo"/>
    <m/>
    <m/>
    <n v="45"/>
    <n v="40"/>
    <n v="2"/>
    <n v="130"/>
    <n v="13"/>
    <n v="0"/>
    <n v="12"/>
    <n v="0"/>
    <n v="1"/>
    <n v="0"/>
    <n v="0"/>
    <s v="Weaver, Nicole"/>
    <n v="-134"/>
    <n v="0"/>
    <n v="0"/>
    <n v="1"/>
    <n v="0"/>
    <n v="40"/>
    <n v="32"/>
    <n v="2"/>
    <s v="N4"/>
    <n v="33"/>
  </r>
  <r>
    <s v="Pilot Course "/>
    <x v="8"/>
    <s v="A-493-2098"/>
    <s v="09WW"/>
    <x v="0"/>
    <d v="2026-01-12T00:00:00"/>
    <d v="2026-01-14T00:00:00"/>
    <s v="Funded"/>
    <m/>
    <d v="1899-12-30T08:00:00"/>
    <d v="1899-12-30T05:00:00"/>
    <n v="1600"/>
    <n v="1400"/>
    <d v="1899-12-30T03:00:00"/>
    <n v="2200"/>
    <s v="EMC Stroughn"/>
    <m/>
    <m/>
    <n v="100"/>
    <n v="16"/>
    <n v="3"/>
    <m/>
    <n v="100"/>
    <n v="0"/>
    <n v="82"/>
    <n v="4"/>
    <n v="18"/>
    <n v="3"/>
    <n v="0"/>
    <s v="Weaver, Nicole"/>
    <n v="-136"/>
    <n v="0"/>
    <n v="0"/>
    <n v="1"/>
    <n v="0"/>
    <n v="16"/>
    <n v="0"/>
    <n v="2"/>
    <s v="N8"/>
    <n v="14"/>
  </r>
  <r>
    <m/>
    <x v="1"/>
    <s v="A-493-0099"/>
    <s v="12JW"/>
    <x v="0"/>
    <d v="2026-01-13T00:00:00"/>
    <d v="2026-01-1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1041"/>
    <n v="43"/>
    <n v="0"/>
    <n v="33"/>
    <n v="1"/>
    <n v="8"/>
    <n v="0"/>
    <n v="0"/>
    <s v="Benzick, Sue"/>
    <n v="-135"/>
    <n v="0"/>
    <n v="0"/>
    <n v="1"/>
    <n v="0"/>
    <n v="24"/>
    <n v="2"/>
    <n v="2"/>
    <s v="N5"/>
    <n v="11"/>
  </r>
  <r>
    <m/>
    <x v="22"/>
    <s v="A-493-3011"/>
    <s v="31VD"/>
    <x v="0"/>
    <d v="2026-01-13T00:00:00"/>
    <d v="2026-01-13T00:00:00"/>
    <s v="Funded"/>
    <m/>
    <d v="1899-12-30T13:00:00"/>
    <d v="1899-12-30T10:00:00"/>
    <d v="1899-12-30T21:00:00"/>
    <d v="1899-12-30T19:00:00"/>
    <d v="1899-12-30T08:00:00"/>
    <d v="1899-12-30T03:00:00"/>
    <s v="C. Gum"/>
    <m/>
    <m/>
    <n v="1000"/>
    <n v="2.5"/>
    <n v="0.3"/>
    <m/>
    <n v="51"/>
    <n v="0"/>
    <n v="19"/>
    <n v="0"/>
    <n v="0"/>
    <n v="0"/>
    <n v="0"/>
    <s v="ABEAN Johnson"/>
    <n v="-137"/>
    <n v="0"/>
    <n v="0"/>
    <n v="1"/>
    <n v="0"/>
    <n v="0"/>
    <n v="949"/>
    <n v="2"/>
    <s v="N8"/>
    <n v="981"/>
  </r>
  <r>
    <m/>
    <x v="23"/>
    <s v="A-493-3010"/>
    <s v="31VC"/>
    <x v="0"/>
    <d v="2026-01-13T00:00:00"/>
    <d v="2026-01-13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3.5"/>
    <n v="0.4"/>
    <m/>
    <n v="51"/>
    <n v="0"/>
    <n v="15"/>
    <n v="0"/>
    <n v="0"/>
    <n v="0"/>
    <n v="0"/>
    <s v="ABEAN Johnson"/>
    <n v="-137"/>
    <n v="0"/>
    <n v="0"/>
    <n v="1"/>
    <n v="0"/>
    <n v="0"/>
    <n v="949"/>
    <n v="2"/>
    <s v="N8"/>
    <n v="985"/>
  </r>
  <r>
    <m/>
    <x v="48"/>
    <s v="A-493-0077"/>
    <s v="0381"/>
    <x v="19"/>
    <d v="2026-01-13T00:00:00"/>
    <d v="2026-01-15T00:00:00"/>
    <s v="Funded"/>
    <d v="1899-12-30T08:00:00"/>
    <m/>
    <m/>
    <m/>
    <m/>
    <m/>
    <m/>
    <s v="ENV Contractor"/>
    <m/>
    <m/>
    <n v="25"/>
    <n v="24"/>
    <n v="3"/>
    <n v="28"/>
    <n v="7"/>
    <n v="0"/>
    <n v="8"/>
    <n v="0"/>
    <n v="0"/>
    <n v="1"/>
    <n v="0"/>
    <s v="ABEAN Johnson"/>
    <n v="-135"/>
    <n v="0"/>
    <n v="0"/>
    <n v="1"/>
    <n v="0"/>
    <n v="24"/>
    <n v="18"/>
    <n v="2"/>
    <s v="N4"/>
    <n v="17"/>
  </r>
  <r>
    <m/>
    <x v="2"/>
    <s v="A-493-2501"/>
    <s v="05ZE"/>
    <x v="20"/>
    <d v="2026-01-14T00:00:00"/>
    <d v="2026-01-14T00:00:00"/>
    <s v="Funded"/>
    <d v="1899-12-30T08:00:00"/>
    <m/>
    <m/>
    <m/>
    <m/>
    <m/>
    <m/>
    <s v="ENV Contractor"/>
    <m/>
    <m/>
    <n v="30"/>
    <n v="8"/>
    <n v="1"/>
    <n v="29"/>
    <n v="10"/>
    <n v="0"/>
    <n v="12"/>
    <n v="1"/>
    <n v="1"/>
    <n v="0"/>
    <n v="0"/>
    <s v="Weaver, Nicole"/>
    <n v="-136"/>
    <n v="0"/>
    <n v="0"/>
    <n v="1"/>
    <n v="0"/>
    <n v="8"/>
    <n v="20"/>
    <n v="2"/>
    <s v="N4"/>
    <n v="17"/>
  </r>
  <r>
    <m/>
    <x v="24"/>
    <s v="A-493-3018"/>
    <s v="31YM"/>
    <x v="0"/>
    <d v="2026-01-14T00:00:00"/>
    <d v="2026-01-14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2.5"/>
    <n v="0.3"/>
    <m/>
    <n v="51"/>
    <n v="0"/>
    <n v="15"/>
    <n v="0"/>
    <n v="0"/>
    <n v="0"/>
    <n v="0"/>
    <s v="ABEAN Johnson"/>
    <n v="-136"/>
    <n v="0"/>
    <n v="0"/>
    <n v="1"/>
    <n v="0"/>
    <n v="0"/>
    <n v="949"/>
    <n v="2"/>
    <s v="N8"/>
    <n v="985"/>
  </r>
  <r>
    <m/>
    <x v="25"/>
    <s v="A-493-3004"/>
    <s v="31V6"/>
    <x v="0"/>
    <d v="2026-01-14T00:00:00"/>
    <d v="2026-01-14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.5"/>
    <n v="0.2"/>
    <m/>
    <n v="51"/>
    <n v="0"/>
    <n v="25"/>
    <n v="0"/>
    <n v="0"/>
    <n v="0"/>
    <n v="0"/>
    <s v="ABEAN Johnson"/>
    <n v="-136"/>
    <n v="0"/>
    <n v="0"/>
    <n v="1"/>
    <n v="0"/>
    <n v="0"/>
    <n v="949"/>
    <n v="2"/>
    <s v="N8"/>
    <n v="975"/>
  </r>
  <r>
    <m/>
    <x v="26"/>
    <s v="A-493-3001"/>
    <s v="31V3"/>
    <x v="0"/>
    <d v="2026-01-14T00:00:00"/>
    <d v="2026-01-14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2"/>
    <n v="0.25"/>
    <m/>
    <n v="51"/>
    <n v="0"/>
    <n v="16"/>
    <n v="0"/>
    <n v="0"/>
    <n v="0"/>
    <n v="0"/>
    <s v="ABEAN Johnson"/>
    <n v="-136"/>
    <n v="0"/>
    <n v="0"/>
    <n v="1"/>
    <n v="0"/>
    <n v="0"/>
    <n v="949"/>
    <n v="2"/>
    <s v="N8"/>
    <n v="984"/>
  </r>
  <r>
    <m/>
    <x v="2"/>
    <s v="A-493-2501"/>
    <s v="05ZE"/>
    <x v="15"/>
    <d v="2026-01-15T00:00:00"/>
    <d v="2026-01-15T00:00:00"/>
    <s v="Funded"/>
    <d v="1899-12-30T08:00:00"/>
    <m/>
    <m/>
    <m/>
    <m/>
    <m/>
    <m/>
    <s v="ENV Contractor"/>
    <m/>
    <m/>
    <n v="30"/>
    <n v="8"/>
    <n v="1"/>
    <n v="40"/>
    <n v="25"/>
    <n v="0"/>
    <n v="24"/>
    <n v="0"/>
    <n v="6"/>
    <n v="0"/>
    <n v="0"/>
    <s v="AC1 Engleking"/>
    <n v="-135"/>
    <n v="0"/>
    <n v="0"/>
    <n v="1"/>
    <n v="0"/>
    <n v="8"/>
    <n v="5"/>
    <n v="2"/>
    <s v="N4"/>
    <n v="6"/>
  </r>
  <r>
    <m/>
    <x v="27"/>
    <s v="A-493-3013"/>
    <s v="31YG"/>
    <x v="0"/>
    <d v="2026-01-15T00:00:00"/>
    <d v="2026-01-15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23"/>
    <n v="0"/>
    <n v="0"/>
    <n v="0"/>
    <n v="0"/>
    <s v="ABEAN Johnson"/>
    <n v="-135"/>
    <n v="0"/>
    <n v="0"/>
    <n v="1"/>
    <n v="0"/>
    <n v="0"/>
    <n v="949"/>
    <n v="2"/>
    <s v="N8"/>
    <n v="977"/>
  </r>
  <r>
    <m/>
    <x v="28"/>
    <s v="A-493-3014"/>
    <s v="31Yh"/>
    <x v="0"/>
    <d v="2026-01-15T00:00:00"/>
    <d v="2026-01-15T00:00:00"/>
    <s v="Funded"/>
    <m/>
    <d v="1899-12-30T14:30:00"/>
    <d v="1899-12-30T11:30:00"/>
    <d v="1899-12-30T22:30:00"/>
    <d v="1899-12-30T20:30:00"/>
    <d v="1899-12-30T09:30:00"/>
    <d v="1899-12-30T04:30:00"/>
    <s v="C. Gum"/>
    <m/>
    <m/>
    <n v="1000"/>
    <n v="0.75"/>
    <n v="0.1"/>
    <m/>
    <n v="51"/>
    <n v="0"/>
    <n v="20"/>
    <n v="0"/>
    <n v="0"/>
    <n v="0"/>
    <n v="0"/>
    <s v="ABEAN Johnson"/>
    <n v="-135"/>
    <n v="0"/>
    <n v="0"/>
    <n v="1"/>
    <n v="0"/>
    <n v="0"/>
    <n v="949"/>
    <n v="2"/>
    <s v="N8"/>
    <n v="980"/>
  </r>
  <r>
    <m/>
    <x v="29"/>
    <s v="A-493-3015"/>
    <s v="31YJ"/>
    <x v="0"/>
    <d v="2026-01-15T00:00:00"/>
    <d v="2026-01-15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23"/>
    <n v="0"/>
    <n v="0"/>
    <n v="0"/>
    <n v="0"/>
    <s v="ABEAN Johnson"/>
    <n v="-135"/>
    <n v="0"/>
    <n v="0"/>
    <n v="1"/>
    <n v="0"/>
    <n v="0"/>
    <n v="949"/>
    <n v="2"/>
    <s v="N8"/>
    <n v="977"/>
  </r>
  <r>
    <m/>
    <x v="30"/>
    <s v="A-493-3016"/>
    <s v="31Yk"/>
    <x v="0"/>
    <d v="2026-01-15T00:00:00"/>
    <d v="2026-01-15T00:00:00"/>
    <s v="Funded"/>
    <m/>
    <d v="1899-12-30T12:30:00"/>
    <d v="1899-12-30T09:30:00"/>
    <d v="1899-12-30T20:30:00"/>
    <d v="1899-12-30T18:30:00"/>
    <d v="1899-12-30T19:30:00"/>
    <d v="1899-12-30T02:30:00"/>
    <s v="C. Gum"/>
    <m/>
    <m/>
    <n v="1000"/>
    <n v="1"/>
    <n v="0.1"/>
    <m/>
    <n v="51"/>
    <n v="0"/>
    <n v="23"/>
    <n v="0"/>
    <n v="0"/>
    <n v="0"/>
    <n v="0"/>
    <s v="ABEAN Johnson"/>
    <n v="-135"/>
    <n v="0"/>
    <n v="0"/>
    <n v="1"/>
    <n v="0"/>
    <n v="0"/>
    <n v="949"/>
    <n v="2"/>
    <s v="N8"/>
    <n v="977"/>
  </r>
  <r>
    <m/>
    <x v="32"/>
    <s v="A-493-3005"/>
    <s v="31V7"/>
    <x v="0"/>
    <d v="2026-01-16T00:00:00"/>
    <d v="2026-01-16T00:00:00"/>
    <s v="Funded"/>
    <m/>
    <d v="1899-12-30T11:45:00"/>
    <d v="1899-12-30T08:45:00"/>
    <d v="1899-12-30T19:45:00"/>
    <d v="1899-12-30T17:45:00"/>
    <d v="1899-12-30T06:45:00"/>
    <d v="1899-12-30T01:45:00"/>
    <s v="C. Gum"/>
    <m/>
    <m/>
    <n v="1000"/>
    <n v="2"/>
    <n v="0.25"/>
    <m/>
    <n v="51"/>
    <n v="0"/>
    <n v="16"/>
    <n v="0"/>
    <n v="0"/>
    <n v="0"/>
    <n v="0"/>
    <s v="AC1 Engleking"/>
    <n v="-134"/>
    <n v="0"/>
    <n v="0"/>
    <n v="1"/>
    <n v="0"/>
    <e v="#REF!"/>
    <n v="949"/>
    <n v="2"/>
    <s v="N8"/>
    <n v="984"/>
  </r>
  <r>
    <m/>
    <x v="33"/>
    <s v="A-493-3017"/>
    <s v="31YL"/>
    <x v="0"/>
    <d v="2026-01-16T00:00:00"/>
    <d v="2026-01-16T00:00:00"/>
    <s v="Funded"/>
    <m/>
    <d v="1899-12-30T12:45:00"/>
    <d v="1899-12-30T09:45:00"/>
    <d v="1899-12-30T20:45:00"/>
    <d v="1899-12-30T18:45:00"/>
    <d v="1899-12-30T07:45:00"/>
    <d v="1899-12-30T02:45:00"/>
    <s v="C. Gum"/>
    <m/>
    <m/>
    <n v="1000"/>
    <n v="2.5"/>
    <n v="0.3"/>
    <m/>
    <n v="51"/>
    <n v="0"/>
    <n v="12"/>
    <n v="0"/>
    <n v="0"/>
    <n v="0"/>
    <n v="0"/>
    <s v="AC1 Engleking"/>
    <n v="-134"/>
    <n v="0"/>
    <n v="0"/>
    <n v="1"/>
    <n v="0"/>
    <n v="0"/>
    <n v="949"/>
    <n v="2"/>
    <s v="N8"/>
    <n v="988"/>
  </r>
  <r>
    <m/>
    <x v="34"/>
    <s v="A-493-3008"/>
    <s v="31VA"/>
    <x v="0"/>
    <d v="2026-01-16T00:00:00"/>
    <d v="2026-01-16T00:00:00"/>
    <s v="Funded"/>
    <m/>
    <d v="1899-12-30T09:00:00"/>
    <d v="1899-12-30T06:00:00"/>
    <d v="1899-12-30T17:00:00"/>
    <d v="1899-12-30T15:00:00"/>
    <d v="1899-12-30T04:00:00"/>
    <d v="1899-12-30T23:00:00"/>
    <s v="C. Gum"/>
    <m/>
    <m/>
    <n v="1000"/>
    <n v="1"/>
    <n v="0.1"/>
    <m/>
    <n v="51"/>
    <n v="0"/>
    <n v="13"/>
    <n v="0"/>
    <n v="0"/>
    <n v="0"/>
    <n v="0"/>
    <s v="AC1 Engleking"/>
    <n v="-134"/>
    <n v="0"/>
    <n v="0"/>
    <n v="1"/>
    <n v="0"/>
    <n v="0"/>
    <n v="949"/>
    <n v="2"/>
    <s v="N8"/>
    <n v="987"/>
  </r>
  <r>
    <m/>
    <x v="31"/>
    <s v="A-493-3012"/>
    <s v="31YF"/>
    <x v="0"/>
    <d v="2026-01-16T00:00:00"/>
    <d v="2026-01-16T00:00:00"/>
    <s v="Funded"/>
    <m/>
    <d v="1899-12-30T08:00:00"/>
    <d v="1899-12-30T05:00:00"/>
    <d v="1899-12-30T16:00:00"/>
    <d v="1899-12-30T14:00:00"/>
    <d v="1899-12-30T03:00:00"/>
    <d v="1899-12-30T22:00:00"/>
    <s v="C. Gum"/>
    <m/>
    <m/>
    <n v="1000"/>
    <n v="1"/>
    <n v="0.1"/>
    <m/>
    <n v="51"/>
    <n v="0"/>
    <n v="16"/>
    <n v="0"/>
    <n v="0"/>
    <n v="0"/>
    <n v="0"/>
    <s v="AC1 Engleking"/>
    <n v="-134"/>
    <n v="0"/>
    <n v="0"/>
    <n v="1"/>
    <n v="0"/>
    <n v="0"/>
    <n v="949"/>
    <n v="2"/>
    <s v="N8"/>
    <n v="984"/>
  </r>
  <r>
    <m/>
    <x v="35"/>
    <s v="A-493-3009"/>
    <s v="31VB"/>
    <x v="0"/>
    <d v="2026-01-16T00:00:00"/>
    <d v="2026-01-16T00:00:00"/>
    <s v="Funded"/>
    <m/>
    <d v="1899-12-30T10:30:00"/>
    <d v="1899-12-30T07:30:00"/>
    <d v="1899-12-30T18:30:00"/>
    <d v="1899-12-30T16:30:00"/>
    <d v="1899-12-30T05:30:00"/>
    <d v="1899-12-30T00:30:00"/>
    <s v="C. Gum"/>
    <m/>
    <m/>
    <n v="1000"/>
    <n v="1"/>
    <n v="0.1"/>
    <m/>
    <n v="51"/>
    <n v="0"/>
    <n v="15"/>
    <n v="0"/>
    <n v="0"/>
    <n v="0"/>
    <n v="0"/>
    <s v="AC1 Engleking"/>
    <n v="-134"/>
    <n v="0"/>
    <n v="0"/>
    <n v="1"/>
    <n v="0"/>
    <n v="0"/>
    <n v="949"/>
    <n v="2"/>
    <s v="N8"/>
    <n v="985"/>
  </r>
  <r>
    <m/>
    <x v="10"/>
    <s v="A-493-0083"/>
    <s v="339E"/>
    <x v="19"/>
    <d v="2026-01-16T00:00:00"/>
    <d v="2026-01-16T00:00:00"/>
    <s v="Funded"/>
    <d v="1899-12-30T08:00:00"/>
    <m/>
    <m/>
    <m/>
    <m/>
    <m/>
    <m/>
    <s v="ENV Contractor"/>
    <m/>
    <m/>
    <n v="30"/>
    <n v="8"/>
    <n v="1"/>
    <n v="34"/>
    <n v="30"/>
    <n v="0"/>
    <n v="30"/>
    <n v="0"/>
    <n v="2"/>
    <n v="2"/>
    <n v="0"/>
    <s v="Weaver, Nicole"/>
    <n v="-134"/>
    <n v="0"/>
    <n v="0"/>
    <n v="1"/>
    <n v="0"/>
    <n v="8"/>
    <n v="0"/>
    <n v="2"/>
    <s v="N4"/>
    <n v="0"/>
  </r>
  <r>
    <s v="MLK Day"/>
    <x v="11"/>
    <s v="Holiday"/>
    <s v="Holiday"/>
    <x v="5"/>
    <d v="2026-01-19T00:00:00"/>
    <d v="2026-01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31"/>
    <n v="0"/>
    <n v="0"/>
    <n v="1"/>
    <n v="0"/>
    <n v="0"/>
    <n v="0"/>
    <n v="2"/>
    <s v="TSD"/>
    <n v="0"/>
  </r>
  <r>
    <s v="NUWC Autec"/>
    <x v="49"/>
    <s v="A-493-0013"/>
    <n v="3683"/>
    <x v="21"/>
    <d v="2026-01-20T00:00:00"/>
    <d v="2026-01-22T00:00:00"/>
    <s v="Funded"/>
    <d v="1899-12-30T08:00:00"/>
    <m/>
    <m/>
    <m/>
    <m/>
    <m/>
    <m/>
    <s v="G. Jester"/>
    <m/>
    <m/>
    <n v="40"/>
    <n v="24"/>
    <n v="3"/>
    <n v="20"/>
    <n v="18"/>
    <n v="0"/>
    <n v="16"/>
    <n v="0"/>
    <n v="3"/>
    <n v="1"/>
    <n v="0"/>
    <s v="Weaver, Nicole"/>
    <n v="-128"/>
    <n v="0"/>
    <n v="0"/>
    <n v="1"/>
    <n v="0"/>
    <n v="24"/>
    <n v="22"/>
    <n v="2"/>
    <s v="N4"/>
    <n v="24"/>
  </r>
  <r>
    <s v="POC: william.l.jesse3.mil@us.navy.mil"/>
    <x v="50"/>
    <s v="Reserved"/>
    <s v="Reserved "/>
    <x v="4"/>
    <d v="2026-01-20T00:00:00"/>
    <d v="2026-02-06T00:00:00"/>
    <s v="N/A"/>
    <m/>
    <m/>
    <m/>
    <m/>
    <m/>
    <m/>
    <m/>
    <m/>
    <m/>
    <m/>
    <n v="0"/>
    <n v="0"/>
    <n v="0"/>
    <n v="0"/>
    <n v="0"/>
    <n v="0"/>
    <n v="0"/>
    <n v="0"/>
    <n v="0"/>
    <n v="0"/>
    <n v="0"/>
    <s v="Carter, Amanda"/>
    <n v="-113"/>
    <n v="0"/>
    <n v="0"/>
    <n v="0"/>
    <n v="0"/>
    <e v="#DIV/0!"/>
    <m/>
    <n v="0"/>
    <s v="TSD"/>
    <n v="0"/>
  </r>
  <r>
    <m/>
    <x v="12"/>
    <s v="A-493-0331"/>
    <s v="10UG"/>
    <x v="0"/>
    <d v="2026-01-20T00:00:00"/>
    <d v="2026-01-22T00:00:00"/>
    <s v="Funded"/>
    <m/>
    <d v="1899-12-30T08:00:00"/>
    <d v="1899-12-30T05:00:00"/>
    <n v="1600"/>
    <n v="1400"/>
    <d v="1899-12-30T03:00:00"/>
    <n v="2200"/>
    <s v="A. Hardy"/>
    <m/>
    <m/>
    <n v="45"/>
    <n v="24"/>
    <n v="3"/>
    <n v="470"/>
    <n v="45"/>
    <n v="5"/>
    <n v="31"/>
    <n v="0"/>
    <n v="16"/>
    <n v="0"/>
    <n v="0"/>
    <s v="Keay, Aaron"/>
    <n v="-128"/>
    <n v="0"/>
    <n v="0"/>
    <n v="1"/>
    <n v="0"/>
    <n v="24"/>
    <n v="0"/>
    <n v="2"/>
    <s v="N3"/>
    <n v="14"/>
  </r>
  <r>
    <m/>
    <x v="40"/>
    <s v="A-493-0335"/>
    <s v="09ND"/>
    <x v="0"/>
    <d v="2026-01-20T00:00:00"/>
    <d v="2026-01-23T00:00:00"/>
    <s v="Funded"/>
    <m/>
    <d v="1899-12-30T08:00:00"/>
    <d v="1899-12-30T05:00:00"/>
    <n v="1600"/>
    <n v="1400"/>
    <d v="1899-12-30T03:00:00"/>
    <n v="2200"/>
    <s v="A. Harris"/>
    <m/>
    <m/>
    <n v="45"/>
    <n v="32"/>
    <n v="4"/>
    <n v="301"/>
    <n v="17"/>
    <n v="0"/>
    <n v="16"/>
    <n v="0"/>
    <n v="1"/>
    <n v="0"/>
    <n v="0"/>
    <s v="Keay, Aaron"/>
    <n v="-127"/>
    <n v="0"/>
    <n v="0"/>
    <n v="1"/>
    <n v="0"/>
    <n v="32"/>
    <n v="28"/>
    <n v="2"/>
    <s v="N3"/>
    <n v="29"/>
  </r>
  <r>
    <m/>
    <x v="7"/>
    <s v="A-493-0078"/>
    <n v="1228"/>
    <x v="0"/>
    <d v="2026-01-20T00:00:00"/>
    <d v="2026-01-23T00:00:00"/>
    <s v="Funded"/>
    <m/>
    <d v="1899-12-30T08:00:00"/>
    <d v="1899-12-30T05:00:00"/>
    <n v="1600"/>
    <n v="1400"/>
    <d v="1899-12-30T03:00:00"/>
    <n v="2200"/>
    <s v="T. White"/>
    <m/>
    <m/>
    <n v="45"/>
    <n v="32"/>
    <n v="4"/>
    <n v="454"/>
    <n v="43"/>
    <n v="1"/>
    <n v="38"/>
    <n v="1"/>
    <n v="6"/>
    <n v="1"/>
    <n v="0"/>
    <s v="Benzick, Sue"/>
    <n v="-127"/>
    <n v="0"/>
    <n v="0"/>
    <n v="1"/>
    <n v="0"/>
    <n v="32"/>
    <n v="2"/>
    <n v="2"/>
    <s v="N5"/>
    <n v="6"/>
  </r>
  <r>
    <m/>
    <x v="4"/>
    <s v="A-493-0103"/>
    <s v="12JY"/>
    <x v="10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225"/>
    <n v="25"/>
    <n v="0"/>
    <n v="25"/>
    <n v="0"/>
    <n v="0"/>
    <n v="0"/>
    <n v="0"/>
    <s v="Benzick, Sue"/>
    <n v="-120"/>
    <n v="0"/>
    <n v="0"/>
    <n v="1"/>
    <n v="0"/>
    <n v="40"/>
    <n v="0"/>
    <n v="2"/>
    <s v="N5"/>
    <n v="0"/>
  </r>
  <r>
    <m/>
    <x v="4"/>
    <s v="A-493-0103"/>
    <s v="12JY"/>
    <x v="9"/>
    <d v="2026-01-26T00:00:00"/>
    <d v="2026-01-30T00:00:00"/>
    <s v="Funded"/>
    <d v="1899-12-30T08:00:00"/>
    <m/>
    <m/>
    <m/>
    <m/>
    <m/>
    <m/>
    <s v="SOH Contractor"/>
    <m/>
    <m/>
    <n v="25"/>
    <n v="40"/>
    <n v="5"/>
    <n v="516"/>
    <n v="25"/>
    <n v="1"/>
    <n v="20"/>
    <n v="0"/>
    <n v="5"/>
    <n v="1"/>
    <n v="0"/>
    <s v="Benzick, Sue"/>
    <n v="-120"/>
    <n v="0"/>
    <n v="0"/>
    <n v="1"/>
    <n v="0"/>
    <n v="40"/>
    <n v="0"/>
    <n v="2"/>
    <s v="N5"/>
    <n v="5"/>
  </r>
  <r>
    <m/>
    <x v="5"/>
    <s v="A-493-0061"/>
    <s v="288E"/>
    <x v="0"/>
    <d v="2026-01-26T00:00:00"/>
    <d v="2026-01-29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32"/>
    <n v="0"/>
    <n v="24"/>
    <n v="0"/>
    <n v="8"/>
    <n v="0"/>
    <n v="0"/>
    <s v="Benzick, Sue"/>
    <n v="-121"/>
    <n v="0"/>
    <n v="0"/>
    <n v="1"/>
    <n v="0"/>
    <n v="30"/>
    <n v="13"/>
    <n v="2"/>
    <s v="N5"/>
    <n v="21"/>
  </r>
  <r>
    <m/>
    <x v="6"/>
    <s v="A-322-2604"/>
    <s v="10ZZ"/>
    <x v="0"/>
    <d v="2026-01-26T00:00:00"/>
    <d v="2026-01-28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174"/>
    <n v="44"/>
    <n v="1"/>
    <n v="38"/>
    <n v="2"/>
    <n v="7"/>
    <n v="1"/>
    <n v="0"/>
    <s v="Benzick, Sue"/>
    <n v="-122"/>
    <n v="0"/>
    <n v="0"/>
    <n v="1"/>
    <n v="0"/>
    <n v="24"/>
    <n v="1"/>
    <n v="2"/>
    <s v="N8"/>
    <n v="5"/>
  </r>
  <r>
    <m/>
    <x v="38"/>
    <s v="A-570-0100"/>
    <s v="18B7"/>
    <x v="0"/>
    <d v="2026-01-26T00:00:00"/>
    <d v="2026-01-27T00:00:00"/>
    <s v="Funded"/>
    <m/>
    <d v="1899-12-30T19:00:00"/>
    <d v="1899-12-30T16:00:00"/>
    <d v="1899-12-30T03:00:00"/>
    <d v="1899-12-30T01:00:00"/>
    <d v="1899-12-30T14:00:00"/>
    <d v="1899-12-30T09:00:00"/>
    <s v="LS1 Scoggins"/>
    <m/>
    <m/>
    <n v="45"/>
    <n v="16"/>
    <n v="2"/>
    <n v="126"/>
    <n v="17"/>
    <n v="0"/>
    <n v="15"/>
    <n v="0"/>
    <n v="2"/>
    <n v="0"/>
    <n v="0"/>
    <s v="Keay, Aaron"/>
    <n v="-123"/>
    <n v="0"/>
    <n v="0"/>
    <n v="1"/>
    <n v="0"/>
    <n v="16"/>
    <n v="28"/>
    <n v="2"/>
    <s v="N8"/>
    <n v="30"/>
  </r>
  <r>
    <m/>
    <x v="3"/>
    <s v="A-493-0072"/>
    <s v="713U"/>
    <x v="13"/>
    <d v="2026-01-26T00:00:00"/>
    <d v="2026-01-30T00:00:00"/>
    <s v="Funded"/>
    <d v="1899-12-30T08:00:00"/>
    <m/>
    <m/>
    <m/>
    <m/>
    <m/>
    <m/>
    <s v="B. Jung"/>
    <s v="A. Hardy"/>
    <m/>
    <n v="30"/>
    <n v="40"/>
    <n v="5"/>
    <n v="99"/>
    <n v="23"/>
    <n v="0"/>
    <n v="22"/>
    <n v="0"/>
    <n v="4"/>
    <n v="3"/>
    <n v="0"/>
    <s v="Keay, Aaron"/>
    <n v="-120"/>
    <n v="0"/>
    <n v="0"/>
    <n v="1"/>
    <n v="1"/>
    <n v="20"/>
    <n v="7"/>
    <n v="2"/>
    <s v="N3"/>
    <n v="8"/>
  </r>
  <r>
    <m/>
    <x v="3"/>
    <s v="A-493-0072"/>
    <s v="713U"/>
    <x v="9"/>
    <d v="2026-01-26T00:00:00"/>
    <d v="2026-01-30T00:00:00"/>
    <s v="Funded"/>
    <d v="1899-12-30T08:00:00"/>
    <m/>
    <m/>
    <m/>
    <m/>
    <m/>
    <m/>
    <s v="K. Seo"/>
    <m/>
    <s v="T. White"/>
    <n v="30"/>
    <n v="40"/>
    <n v="5"/>
    <n v="265"/>
    <n v="30"/>
    <n v="3"/>
    <n v="27"/>
    <n v="0"/>
    <n v="6"/>
    <n v="3"/>
    <n v="0"/>
    <s v="Keay, Aaron"/>
    <n v="-120"/>
    <n v="0"/>
    <n v="0"/>
    <n v="1"/>
    <n v="0"/>
    <n v="40"/>
    <n v="0"/>
    <n v="1"/>
    <s v="N3"/>
    <n v="3"/>
  </r>
  <r>
    <m/>
    <x v="8"/>
    <s v="A-493-2098"/>
    <s v="09WW"/>
    <x v="0"/>
    <d v="2026-01-26T00:00:00"/>
    <d v="2026-01-28T00:00:00"/>
    <s v="Funded"/>
    <m/>
    <d v="1899-12-30T12:00:00"/>
    <d v="1899-12-30T09:00:00"/>
    <d v="1899-12-30T20:00:00"/>
    <d v="1899-12-30T18:00:00"/>
    <d v="1899-12-30T07:00:00"/>
    <d v="1899-12-30T02:00:00"/>
    <s v="EMC Stroughn"/>
    <m/>
    <m/>
    <n v="100"/>
    <n v="16"/>
    <n v="3"/>
    <n v="1882"/>
    <n v="98"/>
    <n v="0"/>
    <n v="81"/>
    <n v="3"/>
    <n v="16"/>
    <n v="0"/>
    <n v="0"/>
    <s v="Weaver, Nicole"/>
    <n v="-122"/>
    <n v="0"/>
    <n v="0"/>
    <n v="1"/>
    <n v="0"/>
    <n v="16"/>
    <n v="2"/>
    <n v="2"/>
    <s v="N8"/>
    <n v="16"/>
  </r>
  <r>
    <m/>
    <x v="1"/>
    <s v="A-493-0099"/>
    <s v="12JW"/>
    <x v="0"/>
    <d v="2026-01-27T00:00:00"/>
    <d v="2026-01-29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25"/>
    <n v="0"/>
    <n v="25"/>
    <n v="0"/>
    <n v="0"/>
    <n v="0"/>
    <n v="0"/>
    <s v="Benzick, Sue"/>
    <n v="-121"/>
    <n v="0"/>
    <n v="0"/>
    <n v="1"/>
    <n v="0"/>
    <n v="24"/>
    <n v="20"/>
    <n v="2"/>
    <s v="N5"/>
    <n v="20"/>
  </r>
  <r>
    <m/>
    <x v="4"/>
    <s v="A-493-0103"/>
    <s v="12JY"/>
    <x v="6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116"/>
    <n v="23"/>
    <n v="0"/>
    <n v="18"/>
    <n v="0"/>
    <n v="9"/>
    <n v="2"/>
    <n v="0"/>
    <s v="Benzick, Sue"/>
    <n v="-113"/>
    <n v="0"/>
    <n v="0"/>
    <n v="1"/>
    <n v="0"/>
    <n v="40"/>
    <n v="2"/>
    <n v="2"/>
    <s v="N5"/>
    <n v="7"/>
  </r>
  <r>
    <m/>
    <x v="4"/>
    <s v="A-493-0103"/>
    <s v="12JY"/>
    <x v="9"/>
    <d v="2026-02-02T00:00:00"/>
    <d v="2026-02-06T00:00:00"/>
    <s v="Funded"/>
    <d v="1899-12-30T08:00:00"/>
    <m/>
    <m/>
    <m/>
    <m/>
    <m/>
    <m/>
    <s v="SOH Contractor"/>
    <m/>
    <m/>
    <n v="25"/>
    <n v="40"/>
    <n v="5"/>
    <n v="516"/>
    <n v="24"/>
    <n v="0"/>
    <n v="24"/>
    <n v="0"/>
    <n v="1"/>
    <n v="1"/>
    <n v="0"/>
    <s v="Benzick, Sue"/>
    <n v="-113"/>
    <n v="0"/>
    <n v="0"/>
    <n v="1"/>
    <n v="0"/>
    <n v="40"/>
    <n v="1"/>
    <n v="2"/>
    <s v="N5"/>
    <n v="1"/>
  </r>
  <r>
    <m/>
    <x v="0"/>
    <s v="A-493-0550"/>
    <s v="09K5"/>
    <x v="0"/>
    <d v="2026-02-02T00:00:00"/>
    <d v="2026-02-05T00:00:00"/>
    <s v="Funded"/>
    <m/>
    <d v="1899-12-30T12:00:00"/>
    <d v="1899-12-30T09:00:00"/>
    <d v="1899-12-30T20:00:00"/>
    <d v="1899-12-30T18:00:00"/>
    <d v="1899-12-30T07:00:00"/>
    <d v="1899-12-30T02:00:00"/>
    <s v="N. DeCastro"/>
    <m/>
    <m/>
    <n v="45"/>
    <n v="32"/>
    <n v="4"/>
    <n v="864"/>
    <n v="45"/>
    <n v="2"/>
    <n v="40"/>
    <n v="0"/>
    <n v="0"/>
    <n v="0"/>
    <n v="0"/>
    <s v="Benzick, Sue"/>
    <n v="-114"/>
    <n v="0"/>
    <n v="0"/>
    <n v="1"/>
    <n v="0"/>
    <n v="32"/>
    <n v="0"/>
    <n v="2"/>
    <s v="N5"/>
    <n v="5"/>
  </r>
  <r>
    <m/>
    <x v="38"/>
    <s v="A-570-0100"/>
    <s v="18B7"/>
    <x v="0"/>
    <d v="2026-02-02T00:00:00"/>
    <d v="2026-02-03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15"/>
    <n v="0"/>
    <n v="13"/>
    <n v="0"/>
    <n v="3"/>
    <n v="0"/>
    <n v="0"/>
    <s v="Keay, Aaron"/>
    <n v="-116"/>
    <n v="0"/>
    <n v="0"/>
    <n v="1"/>
    <n v="0"/>
    <n v="16"/>
    <n v="30"/>
    <n v="2"/>
    <s v="N8"/>
    <n v="32"/>
  </r>
  <r>
    <m/>
    <x v="48"/>
    <s v="A-493-0077"/>
    <s v="0381"/>
    <x v="22"/>
    <d v="2026-02-03T00:00:00"/>
    <d v="2026-02-05T00:00:00"/>
    <s v="Funded"/>
    <d v="1899-12-30T08:00:00"/>
    <m/>
    <m/>
    <m/>
    <m/>
    <m/>
    <m/>
    <s v="ENV Contractor"/>
    <m/>
    <m/>
    <n v="25"/>
    <n v="24"/>
    <n v="3"/>
    <n v="52"/>
    <n v="2"/>
    <n v="0"/>
    <n v="3"/>
    <n v="0"/>
    <n v="0"/>
    <n v="1"/>
    <n v="0"/>
    <s v="Weaver, Nicole"/>
    <n v="-114"/>
    <n v="0"/>
    <n v="0"/>
    <n v="1"/>
    <n v="0"/>
    <n v="24"/>
    <n v="23"/>
    <n v="2"/>
    <s v="N4"/>
    <n v="22"/>
  </r>
  <r>
    <m/>
    <x v="1"/>
    <s v="A-493-0099"/>
    <s v="12JW"/>
    <x v="0"/>
    <d v="2026-02-04T00:00:00"/>
    <d v="2026-02-06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406"/>
    <n v="24"/>
    <n v="0"/>
    <n v="23"/>
    <n v="1"/>
    <n v="3"/>
    <n v="0"/>
    <n v="0"/>
    <s v="Benzick, Sue"/>
    <n v="-113"/>
    <n v="0"/>
    <n v="0"/>
    <n v="1"/>
    <n v="0"/>
    <n v="24"/>
    <n v="21"/>
    <n v="2"/>
    <s v="N5"/>
    <n v="21"/>
  </r>
  <r>
    <m/>
    <x v="10"/>
    <s v="A-493-0083"/>
    <s v="339E"/>
    <x v="22"/>
    <d v="2026-02-06T00:00:00"/>
    <d v="2026-02-06T00:00:00"/>
    <s v="Funded"/>
    <d v="1899-12-30T08:00:00"/>
    <m/>
    <m/>
    <m/>
    <m/>
    <m/>
    <m/>
    <s v="ENV Contractor"/>
    <m/>
    <m/>
    <n v="30"/>
    <n v="8"/>
    <n v="1"/>
    <n v="36"/>
    <n v="5"/>
    <n v="0"/>
    <n v="4"/>
    <n v="0"/>
    <n v="1"/>
    <n v="0"/>
    <n v="0"/>
    <s v="Weaver, Nicole"/>
    <n v="-113"/>
    <n v="0"/>
    <n v="0"/>
    <n v="1"/>
    <n v="0"/>
    <n v="8"/>
    <n v="25"/>
    <n v="2"/>
    <s v="N4"/>
    <n v="26"/>
  </r>
  <r>
    <s v="36 Walk-in students no DOD/FINs were provided. Course removed from eNTRS due to not having a DOD ID to process. "/>
    <x v="13"/>
    <s v="A-493-0012"/>
    <n v="3682"/>
    <x v="23"/>
    <d v="2026-02-09T00:00:00"/>
    <d v="2026-02-13T00:00:00"/>
    <s v="Funded"/>
    <d v="1899-12-30T08:00:00"/>
    <m/>
    <m/>
    <m/>
    <m/>
    <m/>
    <m/>
    <s v="W. Bailey"/>
    <m/>
    <m/>
    <n v="40"/>
    <n v="40"/>
    <n v="5"/>
    <n v="52"/>
    <n v="8"/>
    <n v="0"/>
    <n v="36"/>
    <m/>
    <n v="8"/>
    <n v="36"/>
    <n v="36"/>
    <s v="Weaver, Nicole"/>
    <n v="-106"/>
    <n v="0"/>
    <n v="0"/>
    <n v="1"/>
    <n v="0"/>
    <n v="40"/>
    <n v="32"/>
    <n v="2"/>
    <s v="N4"/>
    <n v="4"/>
  </r>
  <r>
    <m/>
    <x v="48"/>
    <s v="A-493-0077"/>
    <s v="0381"/>
    <x v="13"/>
    <d v="2026-02-09T00:00:00"/>
    <d v="2026-02-11T00:00:00"/>
    <s v="Funded"/>
    <d v="1899-12-30T08:00:00"/>
    <m/>
    <m/>
    <m/>
    <m/>
    <m/>
    <m/>
    <s v="ENV Contractor"/>
    <m/>
    <m/>
    <n v="25"/>
    <n v="24"/>
    <n v="3"/>
    <n v="60"/>
    <n v="6"/>
    <n v="0"/>
    <n v="5"/>
    <n v="1"/>
    <n v="1"/>
    <n v="1"/>
    <n v="0"/>
    <s v="Weaver, Nicole"/>
    <n v="-108"/>
    <n v="0"/>
    <n v="0"/>
    <n v="1"/>
    <n v="0"/>
    <n v="24"/>
    <n v="19"/>
    <n v="2"/>
    <s v="N4"/>
    <n v="19"/>
  </r>
  <r>
    <m/>
    <x v="45"/>
    <s v="A-493-0070"/>
    <s v="450V"/>
    <x v="0"/>
    <d v="2026-02-09T00:00:00"/>
    <d v="2026-02-10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8"/>
    <n v="1"/>
    <n v="0"/>
    <n v="22"/>
    <n v="0"/>
    <n v="22"/>
    <n v="0"/>
    <n v="1"/>
    <n v="0"/>
    <n v="9"/>
    <s v="Keay, Aaron"/>
    <n v="-109"/>
    <n v="0"/>
    <n v="0"/>
    <n v="1"/>
    <n v="0"/>
    <n v="8"/>
    <n v="8"/>
    <n v="2"/>
    <s v="N3"/>
    <n v="8"/>
  </r>
  <r>
    <m/>
    <x v="4"/>
    <s v="A-493-0103"/>
    <s v="12JY"/>
    <x v="6"/>
    <d v="2026-02-09T00:00:00"/>
    <d v="2026-02-13T00:00:00"/>
    <s v="Funded"/>
    <d v="1899-12-30T08:00:00"/>
    <m/>
    <m/>
    <m/>
    <m/>
    <m/>
    <m/>
    <s v="SOH Contractor"/>
    <m/>
    <m/>
    <n v="25"/>
    <n v="40"/>
    <n v="5"/>
    <n v="116"/>
    <n v="15"/>
    <n v="0"/>
    <n v="13"/>
    <n v="0"/>
    <n v="2"/>
    <n v="0"/>
    <n v="0"/>
    <s v="Benzick, Sue"/>
    <n v="-106"/>
    <n v="0"/>
    <n v="0"/>
    <n v="1"/>
    <n v="0"/>
    <n v="40"/>
    <n v="10"/>
    <n v="2"/>
    <s v="N5"/>
    <n v="12"/>
  </r>
  <r>
    <m/>
    <x v="5"/>
    <s v="A-493-0061"/>
    <s v="288E"/>
    <x v="0"/>
    <d v="2026-02-09T00:00:00"/>
    <d v="2026-02-12T00:00:00"/>
    <s v="Funded"/>
    <m/>
    <d v="1899-12-30T08:00:00"/>
    <d v="1899-12-30T05:00:00"/>
    <n v="1600"/>
    <n v="1400"/>
    <d v="1899-12-30T03:00:00"/>
    <n v="2200"/>
    <s v="S. Griffin"/>
    <m/>
    <m/>
    <n v="45"/>
    <n v="30"/>
    <n v="4"/>
    <n v="366"/>
    <n v="40"/>
    <n v="0"/>
    <n v="33"/>
    <n v="0"/>
    <n v="6"/>
    <n v="0"/>
    <n v="0"/>
    <s v="Benzick, Sue"/>
    <n v="-107"/>
    <n v="0"/>
    <n v="0"/>
    <n v="1"/>
    <n v="0"/>
    <n v="30"/>
    <n v="5"/>
    <n v="2"/>
    <s v="N5"/>
    <n v="12"/>
  </r>
  <r>
    <m/>
    <x v="6"/>
    <s v="A-322-2604"/>
    <s v="10ZZ"/>
    <x v="0"/>
    <d v="2026-02-09T00:00:00"/>
    <d v="2026-02-11T00:00:00"/>
    <s v="Funded"/>
    <m/>
    <d v="1899-12-30T12:00:00"/>
    <d v="1899-12-30T09:00:00"/>
    <d v="1899-12-30T20:00:00"/>
    <d v="1899-12-30T18:00:00"/>
    <d v="1899-12-30T07:00:00"/>
    <d v="1899-12-30T02:00:00"/>
    <s v="LSC Kitivi"/>
    <m/>
    <m/>
    <n v="45"/>
    <n v="24"/>
    <n v="3"/>
    <n v="621"/>
    <n v="45"/>
    <n v="1"/>
    <n v="39"/>
    <n v="2"/>
    <n v="4"/>
    <n v="0"/>
    <n v="0"/>
    <s v="Benzick, Sue"/>
    <n v="-108"/>
    <n v="0"/>
    <n v="0"/>
    <n v="1"/>
    <n v="0"/>
    <n v="24"/>
    <n v="0"/>
    <n v="2"/>
    <s v="N8"/>
    <n v="4"/>
  </r>
  <r>
    <m/>
    <x v="0"/>
    <s v="A-493-0550"/>
    <s v="09K5"/>
    <x v="0"/>
    <d v="2026-02-09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N. DeCastro"/>
    <m/>
    <m/>
    <n v="45"/>
    <n v="32"/>
    <n v="4"/>
    <n v="180"/>
    <n v="43"/>
    <n v="0"/>
    <n v="39"/>
    <n v="1"/>
    <n v="5"/>
    <n v="0"/>
    <n v="0"/>
    <s v="Benzick, Sue"/>
    <n v="-107"/>
    <n v="0"/>
    <n v="0"/>
    <n v="1"/>
    <n v="0"/>
    <n v="32"/>
    <n v="2"/>
    <n v="2"/>
    <s v="N5"/>
    <n v="5"/>
  </r>
  <r>
    <m/>
    <x v="12"/>
    <s v="A-493-0331"/>
    <s v="10UG"/>
    <x v="0"/>
    <d v="2026-02-10T00:00:00"/>
    <d v="2026-02-12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24"/>
    <n v="3"/>
    <n v="844"/>
    <n v="44"/>
    <n v="4"/>
    <n v="38"/>
    <n v="3"/>
    <n v="8"/>
    <n v="0"/>
    <n v="0"/>
    <s v="Keay, Aaron"/>
    <n v="-107"/>
    <n v="0"/>
    <n v="0"/>
    <n v="1"/>
    <n v="0"/>
    <n v="24"/>
    <n v="1"/>
    <n v="2"/>
    <s v="N3"/>
    <n v="4"/>
  </r>
  <r>
    <m/>
    <x v="46"/>
    <s v="A-493-0015"/>
    <n v="3879"/>
    <x v="0"/>
    <d v="2026-02-11T00:00:00"/>
    <d v="2026-02-11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29"/>
    <n v="0"/>
    <n v="30"/>
    <n v="0"/>
    <n v="0"/>
    <n v="1"/>
    <n v="13"/>
    <s v="Keay, Aaron"/>
    <n v="-108"/>
    <n v="0"/>
    <n v="0"/>
    <n v="1"/>
    <n v="0"/>
    <n v="4"/>
    <n v="1"/>
    <n v="2"/>
    <s v="N3"/>
    <n v="0"/>
  </r>
  <r>
    <m/>
    <x v="47"/>
    <s v="A-493-0020"/>
    <n v="3888"/>
    <x v="0"/>
    <d v="2026-02-12T00:00:00"/>
    <d v="2026-02-12T00:00:00"/>
    <s v="Funded"/>
    <m/>
    <d v="1899-12-30T19:00:00"/>
    <d v="1899-12-30T16:00:00"/>
    <d v="1899-12-30T03:00:00"/>
    <d v="1899-12-30T01:00:00"/>
    <d v="1899-12-30T14:00:00"/>
    <d v="1899-12-30T09:00:00"/>
    <s v="B. Jung"/>
    <m/>
    <m/>
    <n v="30"/>
    <n v="4"/>
    <n v="0.5"/>
    <n v="0"/>
    <n v="18"/>
    <n v="0"/>
    <n v="18"/>
    <n v="0"/>
    <n v="0"/>
    <n v="0"/>
    <n v="6"/>
    <s v="Keay, Aaron"/>
    <n v="-107"/>
    <n v="0"/>
    <n v="0"/>
    <n v="1"/>
    <n v="0"/>
    <n v="4"/>
    <n v="12"/>
    <n v="2"/>
    <s v="N3"/>
    <n v="12"/>
  </r>
  <r>
    <m/>
    <x v="10"/>
    <s v="A-493-0083"/>
    <s v="339E"/>
    <x v="13"/>
    <d v="2026-02-12T00:00:00"/>
    <d v="2026-02-12T00:00:00"/>
    <s v="Funded"/>
    <d v="1899-12-30T08:00:00"/>
    <m/>
    <m/>
    <m/>
    <m/>
    <m/>
    <m/>
    <s v="ENV Contractor"/>
    <m/>
    <m/>
    <n v="30"/>
    <n v="8"/>
    <n v="1"/>
    <n v="59"/>
    <n v="0"/>
    <n v="0"/>
    <n v="0"/>
    <n v="0"/>
    <n v="0"/>
    <n v="0"/>
    <n v="0"/>
    <s v="Weaver, Nicole"/>
    <n v="-107"/>
    <n v="0"/>
    <n v="0"/>
    <n v="1"/>
    <n v="0"/>
    <n v="8"/>
    <n v="30"/>
    <n v="2"/>
    <s v="N4"/>
    <n v="30"/>
  </r>
  <r>
    <s v="Diego Garcia (Virtual)"/>
    <x v="2"/>
    <s v="A-493-2501"/>
    <s v="05ZE"/>
    <x v="23"/>
    <d v="2026-02-13T00:00:00"/>
    <d v="2026-02-13T00:00:00"/>
    <s v="Funded"/>
    <d v="1899-12-30T08:00:00"/>
    <m/>
    <m/>
    <m/>
    <m/>
    <m/>
    <m/>
    <s v="ENV Contractor"/>
    <m/>
    <m/>
    <n v="30"/>
    <n v="8"/>
    <n v="1"/>
    <n v="51"/>
    <n v="13"/>
    <n v="0"/>
    <n v="12"/>
    <n v="4"/>
    <n v="10"/>
    <n v="12"/>
    <n v="0"/>
    <s v="Weaver, Nicole"/>
    <n v="-106"/>
    <n v="0"/>
    <n v="0"/>
    <n v="1"/>
    <n v="0"/>
    <n v="8"/>
    <n v="17"/>
    <n v="2"/>
    <s v="N4"/>
    <n v="14"/>
  </r>
  <r>
    <m/>
    <x v="4"/>
    <s v="A-493-0103"/>
    <s v="12JY"/>
    <x v="10"/>
    <d v="2026-02-16T00:00:00"/>
    <d v="2026-02-20T00:00:00"/>
    <s v="Funded"/>
    <d v="1899-12-30T08:00:00"/>
    <m/>
    <m/>
    <m/>
    <m/>
    <m/>
    <m/>
    <s v="SOH Contractor"/>
    <m/>
    <m/>
    <n v="25"/>
    <n v="40"/>
    <n v="5"/>
    <n v="225"/>
    <n v="13"/>
    <n v="0"/>
    <n v="14"/>
    <n v="0"/>
    <n v="6"/>
    <n v="5"/>
    <n v="0"/>
    <s v="Benzick, Sue"/>
    <n v="-99"/>
    <n v="0"/>
    <n v="0"/>
    <n v="1"/>
    <n v="0"/>
    <n v="40"/>
    <n v="12"/>
    <n v="2"/>
    <s v="N5"/>
    <n v="11"/>
  </r>
  <r>
    <s v="Washington's Birthday"/>
    <x v="11"/>
    <s v="Holiday"/>
    <s v="Holiday"/>
    <x v="5"/>
    <d v="2026-02-16T00:00:00"/>
    <d v="2026-02-16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103"/>
    <n v="0"/>
    <n v="0"/>
    <n v="1"/>
    <n v="0"/>
    <n v="0"/>
    <m/>
    <n v="2"/>
    <s v="TSD"/>
    <n v="0"/>
  </r>
  <r>
    <m/>
    <x v="12"/>
    <s v="A-493-0331"/>
    <s v="10UG"/>
    <x v="0"/>
    <d v="2026-02-17T00:00:00"/>
    <d v="2026-02-19T00:00:00"/>
    <s v="Funded"/>
    <m/>
    <d v="1899-12-30T12:00:00"/>
    <d v="1899-12-30T09:00:00"/>
    <d v="1899-12-30T20:00:00"/>
    <d v="1899-12-30T18:00:00"/>
    <d v="1899-12-30T07:00:00"/>
    <d v="1899-12-30T02:00:00"/>
    <s v="A. Hardy"/>
    <s v="D. Hamilton"/>
    <m/>
    <n v="45"/>
    <n v="24"/>
    <n v="3"/>
    <n v="844"/>
    <n v="43"/>
    <n v="5"/>
    <n v="39"/>
    <n v="0"/>
    <n v="11"/>
    <n v="5"/>
    <n v="0"/>
    <s v="Keay, Aaron"/>
    <n v="-100"/>
    <n v="0"/>
    <n v="0"/>
    <n v="1"/>
    <n v="1"/>
    <n v="12"/>
    <n v="2"/>
    <n v="2"/>
    <s v="N3"/>
    <n v="6"/>
  </r>
  <r>
    <m/>
    <x v="8"/>
    <s v="A-493-2098"/>
    <s v="09WW"/>
    <x v="0"/>
    <d v="2026-02-17T00:00:00"/>
    <d v="2026-02-19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m/>
    <n v="100"/>
    <n v="0"/>
    <n v="76"/>
    <n v="4"/>
    <n v="22"/>
    <n v="2"/>
    <n v="0"/>
    <s v="Weaver, Nicole"/>
    <n v="-100"/>
    <n v="0"/>
    <n v="0"/>
    <n v="1"/>
    <n v="0"/>
    <n v="16"/>
    <n v="0"/>
    <n v="2"/>
    <s v="N8"/>
    <n v="20"/>
  </r>
  <r>
    <m/>
    <x v="48"/>
    <s v="A-493-0077"/>
    <s v="0381"/>
    <x v="24"/>
    <d v="2026-02-18T00:00:00"/>
    <d v="2026-02-20T00:00:00"/>
    <s v="Funded"/>
    <d v="1899-12-30T08:00:00"/>
    <m/>
    <m/>
    <m/>
    <m/>
    <m/>
    <m/>
    <s v="ENV Contractor"/>
    <m/>
    <m/>
    <n v="25"/>
    <n v="24"/>
    <n v="3"/>
    <n v="34"/>
    <n v="23"/>
    <n v="0"/>
    <n v="22"/>
    <n v="0"/>
    <n v="5"/>
    <n v="4"/>
    <n v="0"/>
    <s v="Weaver, Nicole"/>
    <n v="-99"/>
    <n v="0"/>
    <n v="0"/>
    <n v="1"/>
    <n v="0"/>
    <n v="24"/>
    <n v="2"/>
    <n v="2"/>
    <s v="N4"/>
    <n v="3"/>
  </r>
  <r>
    <m/>
    <x v="1"/>
    <s v="A-493-0099"/>
    <s v="12JW"/>
    <x v="0"/>
    <d v="2026-02-18T00:00:00"/>
    <d v="2026-02-20T00:00:00"/>
    <s v="Funded"/>
    <m/>
    <d v="1899-12-30T08:00:00"/>
    <d v="1899-12-30T05:00:00"/>
    <n v="1600"/>
    <n v="1400"/>
    <d v="1899-12-30T03:00:00"/>
    <n v="2200"/>
    <s v="V. Kentish"/>
    <m/>
    <m/>
    <n v="45"/>
    <n v="24"/>
    <n v="3"/>
    <n v="334"/>
    <n v="25"/>
    <n v="0"/>
    <n v="28"/>
    <n v="0"/>
    <n v="3"/>
    <n v="0"/>
    <n v="0"/>
    <s v="Benzick, Sue"/>
    <n v="-99"/>
    <n v="0"/>
    <n v="0"/>
    <n v="1"/>
    <n v="0"/>
    <n v="24"/>
    <n v="20"/>
    <n v="2"/>
    <s v="N5"/>
    <n v="17"/>
  </r>
  <r>
    <m/>
    <x v="51"/>
    <s v="A-493-0092"/>
    <n v="5891"/>
    <x v="25"/>
    <d v="2026-02-18T00:00:00"/>
    <d v="2026-02-20T00:00:00"/>
    <s v="Funded"/>
    <d v="1899-12-30T08:00:00"/>
    <m/>
    <m/>
    <m/>
    <m/>
    <m/>
    <m/>
    <s v="W. Mitchell"/>
    <m/>
    <s v="EMC Stroughn"/>
    <n v="25"/>
    <n v="24"/>
    <n v="3"/>
    <n v="51"/>
    <n v="17"/>
    <n v="0"/>
    <n v="13"/>
    <n v="0"/>
    <n v="5"/>
    <n v="1"/>
    <n v="0"/>
    <s v="Keay, Aaron"/>
    <n v="-99"/>
    <n v="0"/>
    <n v="0"/>
    <n v="1"/>
    <n v="0"/>
    <n v="24"/>
    <n v="8"/>
    <n v="2"/>
    <s v="N3"/>
    <n v="12"/>
  </r>
  <r>
    <m/>
    <x v="10"/>
    <s v="A-493-0083"/>
    <s v="339E"/>
    <x v="23"/>
    <d v="2026-02-20T00:00:00"/>
    <d v="2026-02-20T00:00:00"/>
    <s v="Funded"/>
    <d v="1899-12-30T08:00:00"/>
    <m/>
    <m/>
    <m/>
    <m/>
    <m/>
    <m/>
    <s v="ENV Contractor"/>
    <m/>
    <m/>
    <n v="30"/>
    <n v="8"/>
    <n v="1"/>
    <n v="92"/>
    <n v="12"/>
    <n v="0"/>
    <n v="29"/>
    <n v="0"/>
    <n v="0"/>
    <n v="17"/>
    <n v="0"/>
    <s v="Weaver, Nicole"/>
    <n v="-99"/>
    <n v="0"/>
    <n v="0"/>
    <n v="1"/>
    <n v="0"/>
    <n v="8"/>
    <n v="18"/>
    <n v="2"/>
    <s v="N4"/>
    <n v="1"/>
  </r>
  <r>
    <s v="NBVC Port Hueneme"/>
    <x v="13"/>
    <s v="A-493-0012"/>
    <n v="3682"/>
    <x v="10"/>
    <d v="2026-02-23T00:00:00"/>
    <d v="2026-02-27T00:00:00"/>
    <s v="Funded"/>
    <d v="1899-12-30T08:00:00"/>
    <m/>
    <m/>
    <m/>
    <m/>
    <m/>
    <m/>
    <s v="R. Hartel"/>
    <m/>
    <m/>
    <n v="40"/>
    <n v="40"/>
    <n v="5"/>
    <n v="10"/>
    <n v="17"/>
    <n v="0"/>
    <n v="15"/>
    <n v="0"/>
    <n v="1"/>
    <n v="0"/>
    <n v="0"/>
    <s v="Weaver, Nicole"/>
    <n v="-92"/>
    <n v="0"/>
    <n v="0"/>
    <n v="1"/>
    <n v="0"/>
    <n v="40"/>
    <n v="23"/>
    <n v="2"/>
    <s v="N4"/>
    <n v="25"/>
  </r>
  <r>
    <m/>
    <x v="48"/>
    <s v="A-493-0077"/>
    <s v="0381"/>
    <x v="14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63"/>
    <n v="5"/>
    <n v="0"/>
    <n v="5"/>
    <n v="0"/>
    <n v="3"/>
    <n v="0"/>
    <n v="0"/>
    <s v="Weaver, Nicole"/>
    <n v="-94"/>
    <n v="0"/>
    <n v="0"/>
    <n v="1"/>
    <n v="0"/>
    <n v="24"/>
    <n v="20"/>
    <n v="2"/>
    <s v="N4"/>
    <n v="20"/>
  </r>
  <r>
    <m/>
    <x v="48"/>
    <s v="A-493-0077"/>
    <s v="0381"/>
    <x v="23"/>
    <d v="2026-02-23T00:00:00"/>
    <d v="2026-02-25T00:00:00"/>
    <s v="Funded"/>
    <d v="1899-12-30T08:00:00"/>
    <m/>
    <m/>
    <m/>
    <m/>
    <m/>
    <m/>
    <s v="ENV Contractor"/>
    <m/>
    <m/>
    <n v="25"/>
    <n v="24"/>
    <n v="3"/>
    <n v="53"/>
    <n v="9"/>
    <n v="0"/>
    <n v="25"/>
    <n v="0"/>
    <n v="1"/>
    <n v="17"/>
    <n v="0"/>
    <s v="Weaver, Nicole"/>
    <n v="-94"/>
    <n v="0"/>
    <n v="0"/>
    <n v="1"/>
    <n v="0"/>
    <n v="24"/>
    <n v="16"/>
    <n v="2"/>
    <s v="N4"/>
    <n v="0"/>
  </r>
  <r>
    <m/>
    <x v="36"/>
    <s v="A-493-0665"/>
    <s v="10KW"/>
    <x v="0"/>
    <d v="2026-02-23T00:00:00"/>
    <d v="2026-02-25T00:00:00"/>
    <s v="Funded"/>
    <m/>
    <d v="1899-12-30T19:00:00"/>
    <d v="1899-12-30T16:00:00"/>
    <d v="1899-12-30T03:00:00"/>
    <d v="1899-12-30T01:00:00"/>
    <d v="1899-12-30T14:00:00"/>
    <d v="1899-12-30T09:00:00"/>
    <s v="LSC Kitivi"/>
    <m/>
    <m/>
    <n v="45"/>
    <n v="24"/>
    <n v="3"/>
    <n v="82"/>
    <n v="43"/>
    <n v="0"/>
    <n v="40"/>
    <n v="1"/>
    <n v="5"/>
    <n v="0"/>
    <n v="0"/>
    <s v="AC1 Engleking"/>
    <n v="-94"/>
    <n v="0"/>
    <n v="0"/>
    <n v="1"/>
    <n v="0"/>
    <n v="24"/>
    <n v="2"/>
    <n v="2"/>
    <s v="N8"/>
    <n v="4"/>
  </r>
  <r>
    <m/>
    <x v="5"/>
    <s v="A-493-0061"/>
    <s v="288E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S. Griffin"/>
    <m/>
    <m/>
    <n v="45"/>
    <n v="30"/>
    <n v="4"/>
    <n v="620"/>
    <n v="34"/>
    <n v="0"/>
    <n v="28"/>
    <n v="0"/>
    <n v="8"/>
    <n v="0"/>
    <n v="0"/>
    <s v="Benzick, Sue"/>
    <n v="-93"/>
    <n v="0"/>
    <n v="0"/>
    <n v="1"/>
    <n v="0"/>
    <n v="30"/>
    <n v="11"/>
    <n v="2"/>
    <s v="N5"/>
    <n v="17"/>
  </r>
  <r>
    <m/>
    <x v="16"/>
    <s v="A-4J-0019"/>
    <s v="28SL/285M"/>
    <x v="8"/>
    <d v="2026-02-23T00:00:00"/>
    <d v="2026-02-27T00:00:00"/>
    <s v="Funded"/>
    <d v="1899-12-30T07:30:00"/>
    <m/>
    <m/>
    <m/>
    <m/>
    <m/>
    <m/>
    <s v="J. Wilson"/>
    <s v="M. Bailey"/>
    <m/>
    <n v="20"/>
    <n v="40"/>
    <n v="5"/>
    <n v="148"/>
    <n v="20"/>
    <n v="0"/>
    <n v="19"/>
    <n v="0"/>
    <n v="2"/>
    <n v="2"/>
    <n v="0"/>
    <s v="Benzick, Sue"/>
    <n v="-92"/>
    <n v="0"/>
    <n v="0"/>
    <n v="1"/>
    <n v="1"/>
    <n v="20"/>
    <n v="0"/>
    <n v="2"/>
    <s v="N8"/>
    <n v="1"/>
  </r>
  <r>
    <m/>
    <x v="7"/>
    <s v="A-493-0078"/>
    <n v="1228"/>
    <x v="0"/>
    <d v="2026-02-23T00:00:00"/>
    <d v="2026-02-26T00:00:00"/>
    <s v="Funded"/>
    <m/>
    <d v="1899-12-30T12:00:00"/>
    <d v="1899-12-30T09:00:00"/>
    <d v="1899-12-30T20:00:00"/>
    <d v="1899-12-30T18:00:00"/>
    <d v="1899-12-30T07:00:00"/>
    <d v="1899-12-30T02:00:00"/>
    <s v="T. White"/>
    <m/>
    <m/>
    <n v="45"/>
    <n v="32"/>
    <n v="4"/>
    <n v="568"/>
    <n v="45"/>
    <n v="0"/>
    <n v="39"/>
    <n v="0"/>
    <n v="7"/>
    <n v="1"/>
    <n v="0"/>
    <s v="Benzick, Sue"/>
    <n v="-93"/>
    <n v="0"/>
    <n v="0"/>
    <n v="1"/>
    <n v="0"/>
    <n v="32"/>
    <n v="0"/>
    <n v="2"/>
    <s v="N5"/>
    <n v="6"/>
  </r>
  <r>
    <m/>
    <x v="42"/>
    <s v="A-493-0085"/>
    <n v="3555"/>
    <x v="0"/>
    <d v="2026-02-23T00:00:00"/>
    <d v="2026-02-26T00:00:00"/>
    <s v="Funded"/>
    <m/>
    <d v="1899-12-30T19:00:00"/>
    <d v="1899-12-30T16:00:00"/>
    <d v="1899-12-30T03:00:00"/>
    <d v="1899-12-30T01:00:00"/>
    <d v="1899-12-30T14:00:00"/>
    <d v="1899-12-30T09:00:00"/>
    <s v="A. Harris"/>
    <s v="D. Hamilton"/>
    <m/>
    <n v="45"/>
    <n v="32"/>
    <n v="4"/>
    <n v="166"/>
    <n v="7"/>
    <n v="0"/>
    <n v="4"/>
    <n v="0"/>
    <n v="3"/>
    <n v="0"/>
    <n v="0"/>
    <s v="Keay, Aaron"/>
    <n v="-93"/>
    <n v="0"/>
    <n v="0"/>
    <n v="1"/>
    <n v="1"/>
    <n v="16"/>
    <n v="38"/>
    <n v="2"/>
    <s v="N3"/>
    <n v="41"/>
  </r>
  <r>
    <m/>
    <x v="38"/>
    <s v="A-570-0100"/>
    <s v="18B7"/>
    <x v="0"/>
    <d v="2026-02-23T00:00:00"/>
    <d v="2026-02-24T00:00:00"/>
    <s v="Funded"/>
    <m/>
    <d v="1899-12-30T12:00:00"/>
    <d v="1899-12-30T09:00:00"/>
    <d v="1899-12-30T20:00:00"/>
    <d v="1899-12-30T18:00:00"/>
    <d v="1899-12-30T07:00:00"/>
    <d v="1899-12-30T02:00:00"/>
    <s v="LS1 Scoggins"/>
    <m/>
    <m/>
    <n v="45"/>
    <n v="16"/>
    <n v="2"/>
    <n v="663"/>
    <n v="21"/>
    <n v="0"/>
    <n v="17"/>
    <n v="0"/>
    <n v="3"/>
    <n v="0"/>
    <n v="0"/>
    <s v="Keay, Aaron"/>
    <n v="-95"/>
    <n v="0"/>
    <n v="0"/>
    <n v="1"/>
    <n v="0"/>
    <n v="16"/>
    <n v="24"/>
    <n v="2"/>
    <s v="N8"/>
    <n v="28"/>
  </r>
  <r>
    <m/>
    <x v="3"/>
    <s v="A-493-0072"/>
    <s v="713U"/>
    <x v="25"/>
    <d v="2026-02-23T00:00:00"/>
    <d v="2026-02-27T00:00:00"/>
    <s v="Funded"/>
    <d v="1899-12-30T08:00:00"/>
    <m/>
    <m/>
    <m/>
    <m/>
    <m/>
    <m/>
    <s v="W. Mitchell"/>
    <m/>
    <s v="EMC Stroughn"/>
    <n v="30"/>
    <n v="40"/>
    <n v="5"/>
    <n v="78"/>
    <n v="29"/>
    <n v="0"/>
    <n v="28"/>
    <n v="0"/>
    <n v="1"/>
    <n v="0"/>
    <n v="0"/>
    <s v="Keay, Aaron"/>
    <n v="-92"/>
    <n v="0"/>
    <n v="0"/>
    <n v="1"/>
    <n v="0"/>
    <n v="40"/>
    <n v="1"/>
    <n v="2"/>
    <s v="N3"/>
    <n v="2"/>
  </r>
  <r>
    <m/>
    <x v="18"/>
    <s v="A-493-3002"/>
    <s v="31V4"/>
    <x v="0"/>
    <d v="2026-02-23T00:00:00"/>
    <d v="2026-02-23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4"/>
    <n v="0.5"/>
    <m/>
    <n v="135"/>
    <n v="0"/>
    <n v="37"/>
    <n v="0"/>
    <n v="0"/>
    <n v="0"/>
    <n v="0"/>
    <s v="AC1 Engleking"/>
    <n v="-96"/>
    <n v="0"/>
    <n v="0"/>
    <n v="1"/>
    <n v="0"/>
    <n v="0"/>
    <n v="865"/>
    <n v="2"/>
    <s v="N8"/>
    <n v="963"/>
  </r>
  <r>
    <m/>
    <x v="19"/>
    <s v="A-493-3003"/>
    <s v="31V5"/>
    <x v="0"/>
    <d v="2026-02-23T00:00:00"/>
    <d v="2026-02-23T00:00:00"/>
    <s v="Funded"/>
    <m/>
    <d v="1899-12-30T15:00:00"/>
    <d v="1899-12-30T12:00:00"/>
    <d v="1899-12-30T23:00:00"/>
    <d v="1899-12-30T21:00:00"/>
    <d v="1899-12-30T10:00:00"/>
    <d v="1899-12-30T05:00:00"/>
    <s v="C. Gum"/>
    <m/>
    <m/>
    <n v="1000"/>
    <n v="0.75"/>
    <n v="0.1"/>
    <m/>
    <n v="135"/>
    <n v="0"/>
    <n v="20"/>
    <n v="0"/>
    <n v="0"/>
    <n v="0"/>
    <n v="0"/>
    <s v="AC1 Engleking"/>
    <n v="-96"/>
    <n v="0"/>
    <n v="0"/>
    <n v="1"/>
    <n v="0"/>
    <e v="#REF!"/>
    <n v="865"/>
    <n v="2"/>
    <s v="N8"/>
    <n v="980"/>
  </r>
  <r>
    <m/>
    <x v="20"/>
    <s v="A-493-3006"/>
    <s v="31V8"/>
    <x v="0"/>
    <d v="2026-02-23T00:00:00"/>
    <d v="2026-02-23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0.75"/>
    <n v="0.1"/>
    <m/>
    <n v="135"/>
    <n v="0"/>
    <n v="23"/>
    <n v="0"/>
    <n v="0"/>
    <n v="0"/>
    <n v="0"/>
    <s v="AC1 Engleking"/>
    <n v="-96"/>
    <n v="0"/>
    <n v="0"/>
    <n v="1"/>
    <n v="0"/>
    <e v="#REF!"/>
    <n v="865"/>
    <n v="2"/>
    <s v="N8"/>
    <n v="977"/>
  </r>
  <r>
    <m/>
    <x v="21"/>
    <s v="A-493-3007"/>
    <s v="31V9"/>
    <x v="0"/>
    <d v="2026-02-23T00:00:00"/>
    <d v="2026-02-23T00:00:00"/>
    <s v="Funded"/>
    <m/>
    <d v="1899-12-30T19:00:00"/>
    <d v="1899-12-30T16:00:00"/>
    <d v="1899-12-30T03:00:00"/>
    <d v="1899-12-30T01:00:00"/>
    <d v="1899-12-30T14:00:00"/>
    <d v="1899-12-30T09:00:00"/>
    <s v="C. Gum"/>
    <m/>
    <m/>
    <n v="1000"/>
    <n v="0.75"/>
    <n v="0.1"/>
    <m/>
    <n v="135"/>
    <n v="0"/>
    <n v="20"/>
    <n v="0"/>
    <n v="0"/>
    <n v="0"/>
    <n v="0"/>
    <s v="AC1 Engleking"/>
    <n v="-96"/>
    <n v="0"/>
    <n v="0"/>
    <n v="1"/>
    <n v="0"/>
    <e v="#REF!"/>
    <n v="865"/>
    <n v="2"/>
    <s v="N8"/>
    <n v="980"/>
  </r>
  <r>
    <m/>
    <x v="43"/>
    <s v="A-4J-0022"/>
    <s v="09ER"/>
    <x v="0"/>
    <d v="2026-02-23T00:00:00"/>
    <d v="2026-02-27T00:00:00"/>
    <s v="Funded"/>
    <m/>
    <d v="1899-12-30T12:00:00"/>
    <d v="1899-12-30T09:00:00"/>
    <d v="1899-12-30T20:00:00"/>
    <d v="1899-12-30T18:00:00"/>
    <d v="1899-12-30T07:00:00"/>
    <d v="1899-12-30T02:00:00"/>
    <s v="A. Hardy"/>
    <m/>
    <m/>
    <n v="45"/>
    <n v="40"/>
    <n v="2"/>
    <n v="130"/>
    <n v="23"/>
    <n v="0"/>
    <n v="15"/>
    <n v="1"/>
    <n v="5"/>
    <n v="0"/>
    <n v="0"/>
    <s v="Weaver, Nicole"/>
    <n v="-92"/>
    <n v="0"/>
    <n v="0"/>
    <n v="1"/>
    <n v="0"/>
    <n v="40"/>
    <n v="22"/>
    <n v="2"/>
    <s v="N4"/>
    <n v="29"/>
  </r>
  <r>
    <m/>
    <x v="0"/>
    <s v="A-493-0550"/>
    <s v="09K5"/>
    <x v="0"/>
    <d v="2026-02-24T00:00:00"/>
    <d v="2026-02-27T00:00:00"/>
    <s v="Funded"/>
    <m/>
    <d v="1899-12-30T08:00:00"/>
    <d v="1899-12-30T05:00:00"/>
    <n v="1600"/>
    <n v="1400"/>
    <d v="1899-12-30T03:00:00"/>
    <n v="2200"/>
    <s v="N. DeCastro"/>
    <m/>
    <m/>
    <n v="45"/>
    <n v="32"/>
    <n v="4"/>
    <n v="455"/>
    <n v="44"/>
    <n v="0"/>
    <n v="36"/>
    <n v="0"/>
    <n v="7"/>
    <n v="1"/>
    <n v="0"/>
    <s v="Benzick, Sue"/>
    <n v="-92"/>
    <n v="0"/>
    <n v="0"/>
    <n v="1"/>
    <n v="0"/>
    <n v="32"/>
    <n v="1"/>
    <n v="2"/>
    <s v="N5"/>
    <n v="9"/>
  </r>
  <r>
    <m/>
    <x v="22"/>
    <s v="A-493-3011"/>
    <s v="31VD"/>
    <x v="0"/>
    <d v="2026-02-24T00:00:00"/>
    <d v="2026-02-24T00:00:00"/>
    <s v="Funded"/>
    <m/>
    <d v="1899-12-30T18:00:00"/>
    <d v="1899-12-30T15:00:00"/>
    <d v="1899-12-30T02:00:00"/>
    <d v="1899-12-30T00:01:00"/>
    <d v="1899-12-30T13:00:00"/>
    <d v="1899-12-30T08:00:00"/>
    <s v="C. Gum"/>
    <m/>
    <m/>
    <n v="1000"/>
    <n v="2.5"/>
    <n v="0.3"/>
    <m/>
    <n v="135"/>
    <n v="0"/>
    <n v="22"/>
    <n v="0"/>
    <n v="0"/>
    <n v="0"/>
    <n v="0"/>
    <s v="AC1 Engleking"/>
    <n v="-95"/>
    <n v="0"/>
    <n v="0"/>
    <n v="1"/>
    <n v="0"/>
    <e v="#REF!"/>
    <n v="865"/>
    <n v="2"/>
    <s v="N8"/>
    <n v="978"/>
  </r>
  <r>
    <m/>
    <x v="23"/>
    <s v="A-493-3010"/>
    <s v="31VC"/>
    <x v="0"/>
    <d v="2026-02-24T00:00:00"/>
    <d v="2026-02-24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3.5"/>
    <n v="0.4"/>
    <m/>
    <n v="135"/>
    <n v="0"/>
    <n v="34"/>
    <n v="0"/>
    <n v="0"/>
    <n v="0"/>
    <n v="0"/>
    <s v="AC1 Engleking"/>
    <n v="-95"/>
    <n v="0"/>
    <n v="0"/>
    <n v="1"/>
    <n v="0"/>
    <e v="#REF!"/>
    <n v="865"/>
    <n v="2"/>
    <s v="N8"/>
    <n v="966"/>
  </r>
  <r>
    <m/>
    <x v="24"/>
    <s v="A-493-3018"/>
    <s v="31YM"/>
    <x v="0"/>
    <d v="2026-02-25T00:00:00"/>
    <d v="2026-02-25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2.5"/>
    <n v="0.3"/>
    <m/>
    <n v="135"/>
    <n v="0"/>
    <n v="15"/>
    <n v="0"/>
    <n v="0"/>
    <n v="0"/>
    <n v="0"/>
    <s v="AC1 Engleking"/>
    <n v="-94"/>
    <n v="0"/>
    <n v="0"/>
    <n v="1"/>
    <n v="0"/>
    <n v="0"/>
    <n v="865"/>
    <n v="2"/>
    <s v="N8"/>
    <n v="985"/>
  </r>
  <r>
    <m/>
    <x v="25"/>
    <s v="A-493-3004"/>
    <s v="31V6"/>
    <x v="0"/>
    <d v="2026-02-25T00:00:00"/>
    <d v="2026-02-25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.5"/>
    <n v="0.2"/>
    <m/>
    <n v="135"/>
    <n v="0"/>
    <n v="22"/>
    <n v="0"/>
    <n v="0"/>
    <n v="0"/>
    <n v="0"/>
    <s v="AC1 Engleking"/>
    <n v="-94"/>
    <n v="0"/>
    <n v="0"/>
    <n v="1"/>
    <n v="0"/>
    <n v="0"/>
    <n v="865"/>
    <n v="2"/>
    <s v="N8"/>
    <n v="978"/>
  </r>
  <r>
    <m/>
    <x v="26"/>
    <s v="A-493-3001"/>
    <s v="31V3"/>
    <x v="0"/>
    <d v="2026-02-25T00:00:00"/>
    <d v="2026-02-25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2"/>
    <n v="0.25"/>
    <m/>
    <n v="135"/>
    <n v="0"/>
    <n v="22"/>
    <n v="0"/>
    <n v="0"/>
    <n v="0"/>
    <n v="0"/>
    <s v="AC1 Engleking"/>
    <n v="-94"/>
    <n v="0"/>
    <n v="0"/>
    <n v="1"/>
    <n v="0"/>
    <n v="0"/>
    <n v="865"/>
    <n v="2"/>
    <s v="N8"/>
    <n v="978"/>
  </r>
  <r>
    <m/>
    <x v="27"/>
    <s v="A-493-3013"/>
    <s v="31YG"/>
    <x v="0"/>
    <d v="2026-02-26T00:00:00"/>
    <d v="2026-02-26T00:00:00"/>
    <s v="Funded"/>
    <m/>
    <d v="1899-12-30T13:30:00"/>
    <d v="1899-12-30T10:30:00"/>
    <d v="1899-12-30T21:30:00"/>
    <d v="1899-12-30T19:30:00"/>
    <d v="1899-12-30T08:30:00"/>
    <d v="1899-12-30T03:30:00"/>
    <s v="C. Gum"/>
    <m/>
    <m/>
    <n v="1000"/>
    <n v="1"/>
    <n v="0.1"/>
    <m/>
    <n v="135"/>
    <n v="0"/>
    <n v="23"/>
    <n v="0"/>
    <n v="0"/>
    <n v="0"/>
    <n v="0"/>
    <s v="AC1 Engleking"/>
    <n v="-93"/>
    <n v="0"/>
    <n v="0"/>
    <n v="1"/>
    <n v="0"/>
    <n v="0"/>
    <n v="865"/>
    <n v="2"/>
    <s v="N8"/>
    <n v="977"/>
  </r>
  <r>
    <m/>
    <x v="28"/>
    <s v="A-493-3014"/>
    <s v="31Yh"/>
    <x v="0"/>
    <d v="2026-02-26T00:00:00"/>
    <d v="2026-02-26T00:00:00"/>
    <s v="Funded"/>
    <m/>
    <d v="1899-12-30T17:30:00"/>
    <d v="1899-12-30T14:30:00"/>
    <d v="1899-12-30T01:30:00"/>
    <d v="1899-12-30T23:30:00"/>
    <d v="1899-12-30T12:30:00"/>
    <d v="1899-12-30T07:30:00"/>
    <s v="C. Gum"/>
    <m/>
    <m/>
    <n v="1000"/>
    <n v="0.75"/>
    <n v="0.1"/>
    <m/>
    <n v="135"/>
    <n v="0"/>
    <n v="19"/>
    <n v="0"/>
    <n v="0"/>
    <n v="0"/>
    <n v="0"/>
    <s v="AC1 Engleking"/>
    <n v="-93"/>
    <n v="0"/>
    <n v="0"/>
    <n v="1"/>
    <n v="0"/>
    <e v="#REF!"/>
    <n v="865"/>
    <n v="2"/>
    <s v="N8"/>
    <n v="981"/>
  </r>
  <r>
    <m/>
    <x v="29"/>
    <s v="A-493-3015"/>
    <s v="31YJ"/>
    <x v="0"/>
    <d v="2026-02-26T00:00:00"/>
    <d v="2026-02-26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n v="30"/>
    <n v="0"/>
    <n v="0"/>
    <n v="0"/>
    <n v="0"/>
    <s v="AC1 Engleking"/>
    <n v="-93"/>
    <n v="0"/>
    <n v="0"/>
    <n v="1"/>
    <n v="0"/>
    <n v="0"/>
    <n v="865"/>
    <n v="2"/>
    <s v="N8"/>
    <n v="970"/>
  </r>
  <r>
    <m/>
    <x v="30"/>
    <s v="A-493-3016"/>
    <s v="31Yk"/>
    <x v="0"/>
    <d v="2026-02-26T00:00:00"/>
    <d v="2026-02-26T00:00:00"/>
    <s v="Funded"/>
    <m/>
    <d v="1899-12-30T15:30:00"/>
    <d v="1899-12-30T12:30:00"/>
    <d v="1899-12-30T23:30:00"/>
    <d v="1899-12-30T21:30:00"/>
    <d v="1899-12-30T10:30:00"/>
    <d v="1899-12-30T05:30:00"/>
    <s v="C. Gum"/>
    <m/>
    <m/>
    <n v="1000"/>
    <n v="1"/>
    <n v="0.1"/>
    <m/>
    <n v="135"/>
    <n v="0"/>
    <n v="18"/>
    <n v="0"/>
    <n v="0"/>
    <n v="0"/>
    <n v="0"/>
    <s v="AC1 Engleking"/>
    <n v="-93"/>
    <n v="0"/>
    <n v="0"/>
    <n v="1"/>
    <n v="0"/>
    <n v="0"/>
    <n v="865"/>
    <n v="2"/>
    <s v="N8"/>
    <n v="982"/>
  </r>
  <r>
    <m/>
    <x v="10"/>
    <s v="A-493-0083"/>
    <s v="339E"/>
    <x v="14"/>
    <d v="2026-02-26T00:00:00"/>
    <d v="2026-02-26T00:00:00"/>
    <s v="Funded"/>
    <d v="1899-12-30T08:00:00"/>
    <m/>
    <m/>
    <m/>
    <m/>
    <m/>
    <m/>
    <s v="ENV Contractor"/>
    <m/>
    <m/>
    <n v="30"/>
    <n v="8"/>
    <n v="1"/>
    <n v="54"/>
    <n v="30"/>
    <n v="0"/>
    <n v="26"/>
    <n v="0"/>
    <n v="8"/>
    <n v="5"/>
    <n v="0"/>
    <s v="Weaver, Nicole"/>
    <n v="-93"/>
    <n v="0"/>
    <n v="0"/>
    <n v="1"/>
    <n v="0"/>
    <n v="8"/>
    <n v="0"/>
    <n v="2"/>
    <s v="N4"/>
    <n v="4"/>
  </r>
  <r>
    <m/>
    <x v="32"/>
    <s v="A-493-3005"/>
    <s v="31V7"/>
    <x v="0"/>
    <d v="2026-02-27T00:00:00"/>
    <d v="2026-02-27T00:00:00"/>
    <s v="Funded"/>
    <m/>
    <d v="1899-12-30T14:45:00"/>
    <d v="1899-12-30T11:45:00"/>
    <d v="1899-12-30T22:45:00"/>
    <d v="1899-12-30T20:45:00"/>
    <d v="1899-12-30T09:45:00"/>
    <d v="1899-12-30T04:45:00"/>
    <s v="C. Gum"/>
    <m/>
    <m/>
    <n v="1000"/>
    <n v="2"/>
    <n v="0.25"/>
    <m/>
    <n v="135"/>
    <n v="0"/>
    <n v="22"/>
    <n v="0"/>
    <n v="0"/>
    <n v="0"/>
    <n v="0"/>
    <s v="AC1 Engleking"/>
    <n v="-92"/>
    <n v="0"/>
    <n v="0"/>
    <n v="1"/>
    <n v="0"/>
    <n v="0"/>
    <n v="865"/>
    <n v="2"/>
    <s v="N8"/>
    <n v="978"/>
  </r>
  <r>
    <m/>
    <x v="33"/>
    <s v="A-493-3017"/>
    <s v="31YL"/>
    <x v="0"/>
    <d v="2026-02-27T00:00:00"/>
    <d v="2026-02-27T00:00:00"/>
    <s v="Funded"/>
    <m/>
    <d v="1899-12-30T16:45:00"/>
    <d v="1899-12-30T13:45:00"/>
    <d v="1899-12-30T00:45:00"/>
    <d v="1899-12-30T22:45:00"/>
    <d v="1899-12-30T11:45:00"/>
    <d v="1899-12-30T06:45:00"/>
    <s v="C. Gum"/>
    <m/>
    <m/>
    <n v="1000"/>
    <n v="2.5"/>
    <n v="0.3"/>
    <m/>
    <n v="135"/>
    <n v="0"/>
    <n v="15"/>
    <n v="0"/>
    <n v="0"/>
    <n v="0"/>
    <n v="0"/>
    <s v="AC1 Engleking"/>
    <n v="-92"/>
    <n v="0"/>
    <n v="0"/>
    <n v="1"/>
    <n v="0"/>
    <n v="0"/>
    <n v="865"/>
    <n v="2"/>
    <s v="N8"/>
    <n v="985"/>
  </r>
  <r>
    <m/>
    <x v="34"/>
    <s v="A-493-3008"/>
    <s v="31VA"/>
    <x v="0"/>
    <d v="2026-02-27T00:00:00"/>
    <d v="2026-02-27T00:00:00"/>
    <s v="Funded"/>
    <m/>
    <d v="1899-12-30T12:30:00"/>
    <d v="1899-12-30T09:30:00"/>
    <d v="1899-12-30T20:30:00"/>
    <d v="1899-12-30T18:30:00"/>
    <d v="1899-12-30T07:30:00"/>
    <d v="1899-12-30T02:30:00"/>
    <s v="C. Gum"/>
    <m/>
    <m/>
    <n v="1000"/>
    <n v="1"/>
    <n v="0.1"/>
    <m/>
    <n v="135"/>
    <n v="0"/>
    <n v="29"/>
    <n v="0"/>
    <n v="0"/>
    <n v="0"/>
    <n v="0"/>
    <s v="AC1 Engleking"/>
    <n v="-92"/>
    <n v="0"/>
    <n v="0"/>
    <n v="1"/>
    <n v="0"/>
    <e v="#REF!"/>
    <n v="865"/>
    <n v="2"/>
    <s v="N8"/>
    <n v="971"/>
  </r>
  <r>
    <m/>
    <x v="31"/>
    <s v="A-493-3012"/>
    <s v="31YF"/>
    <x v="0"/>
    <d v="2026-02-27T00:00:00"/>
    <d v="2026-02-27T00:00:00"/>
    <s v="Funded"/>
    <m/>
    <d v="1899-12-30T11:00:00"/>
    <d v="1899-12-30T08:00:00"/>
    <d v="1899-12-30T19:00:00"/>
    <d v="1899-12-30T17:00:00"/>
    <d v="1899-12-30T06:00:00"/>
    <d v="1899-12-30T01:00:00"/>
    <s v="C. Gum"/>
    <m/>
    <m/>
    <n v="1000"/>
    <n v="1"/>
    <n v="0.1"/>
    <m/>
    <n v="135"/>
    <n v="0"/>
    <n v="22"/>
    <n v="0"/>
    <n v="0"/>
    <n v="0"/>
    <n v="0"/>
    <s v="AC1 Engleking"/>
    <n v="-92"/>
    <n v="0"/>
    <n v="0"/>
    <n v="1"/>
    <n v="0"/>
    <e v="#REF!"/>
    <n v="865"/>
    <n v="2"/>
    <s v="N8"/>
    <n v="978"/>
  </r>
  <r>
    <m/>
    <x v="35"/>
    <s v="A-493-3009"/>
    <s v="31VB"/>
    <x v="0"/>
    <d v="2026-02-27T00:00:00"/>
    <d v="2026-02-27T00:00:00"/>
    <s v="Funded"/>
    <m/>
    <d v="1899-12-30T13:45:00"/>
    <d v="1899-12-30T10:45:00"/>
    <d v="1899-12-30T21:45:00"/>
    <d v="1899-12-30T19:45:00"/>
    <d v="1899-12-30T08:45:00"/>
    <d v="1899-12-30T03:45:00"/>
    <s v="C. Gum"/>
    <m/>
    <m/>
    <n v="1000"/>
    <n v="1"/>
    <n v="0.1"/>
    <m/>
    <n v="135"/>
    <n v="0"/>
    <n v="22"/>
    <n v="0"/>
    <n v="0"/>
    <n v="0"/>
    <n v="0"/>
    <s v="AC1 Engleking"/>
    <n v="-92"/>
    <n v="0"/>
    <n v="0"/>
    <n v="1"/>
    <n v="0"/>
    <n v="0"/>
    <n v="865"/>
    <n v="2"/>
    <s v="N8"/>
    <n v="978"/>
  </r>
  <r>
    <m/>
    <x v="10"/>
    <s v="A-493-0083"/>
    <s v="339E"/>
    <x v="26"/>
    <d v="2026-02-27T00:00:00"/>
    <d v="2026-02-27T00:00:00"/>
    <s v="Funded"/>
    <d v="1899-12-30T08:00:00"/>
    <m/>
    <m/>
    <m/>
    <m/>
    <m/>
    <m/>
    <s v="ENV Contractor"/>
    <m/>
    <m/>
    <n v="30"/>
    <n v="8"/>
    <n v="1"/>
    <n v="35"/>
    <n v="30"/>
    <n v="0"/>
    <n v="28"/>
    <n v="0"/>
    <n v="4"/>
    <n v="2"/>
    <n v="0"/>
    <s v="Weaver, Nicole"/>
    <n v="-92"/>
    <n v="0"/>
    <n v="0"/>
    <n v="1"/>
    <n v="0"/>
    <n v="8"/>
    <n v="0"/>
    <n v="2"/>
    <s v="N4"/>
    <n v="2"/>
  </r>
  <r>
    <m/>
    <x v="48"/>
    <s v="A-493-0077"/>
    <s v="0381"/>
    <x v="27"/>
    <d v="2026-03-02T00:00:00"/>
    <d v="2026-03-04T00:00:00"/>
    <s v="Funded"/>
    <d v="1899-12-30T08:00:00"/>
    <m/>
    <m/>
    <m/>
    <m/>
    <m/>
    <m/>
    <s v="ENV Contractor"/>
    <m/>
    <m/>
    <n v="25"/>
    <n v="24"/>
    <n v="3"/>
    <n v="35"/>
    <n v="14"/>
    <n v="0"/>
    <n v="12"/>
    <n v="0"/>
    <n v="2"/>
    <n v="0"/>
    <n v="0"/>
    <s v="Weaver, Nicole"/>
    <n v="-87"/>
    <n v="0"/>
    <n v="0"/>
    <n v="1"/>
    <n v="0"/>
    <n v="24"/>
    <n v="11"/>
    <n v="2"/>
    <s v="N4"/>
    <n v="13"/>
  </r>
  <r>
    <m/>
    <x v="14"/>
    <s v="A-493-0069"/>
    <s v="450U"/>
    <x v="13"/>
    <d v="2026-03-02T00:00:00"/>
    <d v="2026-03-06T00:00:00"/>
    <s v="Funded"/>
    <d v="1899-12-30T08:00:00"/>
    <m/>
    <m/>
    <m/>
    <m/>
    <m/>
    <m/>
    <s v="B. Jung"/>
    <s v="A. Harris"/>
    <m/>
    <n v="25"/>
    <n v="40"/>
    <n v="5"/>
    <n v="27"/>
    <n v="4"/>
    <n v="0"/>
    <n v="4"/>
    <n v="0"/>
    <n v="1"/>
    <n v="0"/>
    <n v="0"/>
    <s v="Keay, Aaron"/>
    <n v="-85"/>
    <n v="0"/>
    <n v="0"/>
    <n v="1"/>
    <n v="1"/>
    <n v="20"/>
    <n v="21"/>
    <n v="2"/>
    <s v="N3"/>
    <n v="21"/>
  </r>
  <r>
    <m/>
    <x v="6"/>
    <s v="A-322-2604"/>
    <s v="10ZZ"/>
    <x v="0"/>
    <d v="2026-03-02T00:00:00"/>
    <d v="2026-03-04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5"/>
    <n v="42"/>
    <n v="1"/>
    <n v="5"/>
    <n v="0"/>
    <n v="0"/>
    <s v="Benzick, Sue"/>
    <n v="-87"/>
    <n v="0"/>
    <n v="0"/>
    <n v="1"/>
    <n v="0"/>
    <n v="24"/>
    <n v="0"/>
    <n v="2"/>
    <s v="N8"/>
    <n v="2"/>
  </r>
  <r>
    <m/>
    <x v="3"/>
    <s v="A-493-0072"/>
    <s v="713U"/>
    <x v="15"/>
    <d v="2026-03-02T00:00:00"/>
    <d v="2026-03-06T00:00:00"/>
    <s v="Funded"/>
    <d v="1899-12-30T08:00:00"/>
    <m/>
    <m/>
    <m/>
    <m/>
    <m/>
    <m/>
    <s v="W. Mitchell"/>
    <m/>
    <s v="EMC Stroughn"/>
    <n v="30"/>
    <n v="40"/>
    <n v="5"/>
    <n v="36"/>
    <n v="20"/>
    <n v="0"/>
    <n v="14"/>
    <n v="0"/>
    <n v="6"/>
    <n v="1"/>
    <n v="0"/>
    <s v="Keay, Aaron"/>
    <n v="-85"/>
    <n v="0"/>
    <n v="0"/>
    <n v="1"/>
    <n v="0"/>
    <n v="40"/>
    <n v="10"/>
    <n v="2"/>
    <s v="N3"/>
    <n v="16"/>
  </r>
  <r>
    <m/>
    <x v="1"/>
    <s v="A-493-0099"/>
    <s v="12JW"/>
    <x v="0"/>
    <d v="2026-03-03T00:00:00"/>
    <d v="2026-03-05T00:00:00"/>
    <s v="Funded"/>
    <m/>
    <d v="1899-12-30T12:00:00"/>
    <d v="1899-12-30T09:00:00"/>
    <d v="1899-12-30T20:00:00"/>
    <d v="1899-12-30T18:00:00"/>
    <d v="1899-12-30T07:00:00"/>
    <d v="1899-12-30T02:00:00"/>
    <s v="V. Kentish"/>
    <m/>
    <m/>
    <n v="45"/>
    <n v="24"/>
    <n v="3"/>
    <n v="934"/>
    <n v="40"/>
    <n v="0"/>
    <n v="34"/>
    <n v="0"/>
    <n v="7"/>
    <n v="0"/>
    <n v="0"/>
    <s v="Benzick, Sue"/>
    <n v="-86"/>
    <n v="0"/>
    <n v="0"/>
    <n v="1"/>
    <n v="0"/>
    <n v="24"/>
    <n v="5"/>
    <n v="2"/>
    <s v="N5"/>
    <n v="11"/>
  </r>
  <r>
    <m/>
    <x v="10"/>
    <s v="A-493-0083"/>
    <s v="339E"/>
    <x v="27"/>
    <d v="2026-03-05T00:00:00"/>
    <d v="2026-03-05T00:00:00"/>
    <s v="Funded"/>
    <d v="1899-12-30T08:00:00"/>
    <m/>
    <m/>
    <m/>
    <m/>
    <m/>
    <m/>
    <s v="ENV Contractor"/>
    <m/>
    <m/>
    <n v="30"/>
    <n v="8"/>
    <n v="1"/>
    <n v="60"/>
    <n v="20"/>
    <n v="0"/>
    <n v="15"/>
    <n v="0"/>
    <n v="6"/>
    <n v="1"/>
    <n v="0"/>
    <s v="Weaver, Nicole"/>
    <n v="-86"/>
    <n v="0"/>
    <n v="0"/>
    <n v="1"/>
    <n v="0"/>
    <n v="8"/>
    <n v="10"/>
    <n v="2"/>
    <s v="N4"/>
    <n v="15"/>
  </r>
  <r>
    <s v="Naval Station Mayport"/>
    <x v="13"/>
    <s v="A-493-0012"/>
    <n v="3682"/>
    <x v="6"/>
    <d v="2026-03-09T00:00:00"/>
    <d v="2026-03-13T00:00:00"/>
    <s v="Funded"/>
    <d v="1899-12-30T08:00:00"/>
    <m/>
    <m/>
    <m/>
    <m/>
    <m/>
    <m/>
    <s v="W. Bailey"/>
    <m/>
    <m/>
    <n v="40"/>
    <n v="40"/>
    <n v="5"/>
    <n v="30"/>
    <n v="6"/>
    <n v="0"/>
    <n v="18"/>
    <n v="0"/>
    <n v="4"/>
    <n v="17"/>
    <n v="0"/>
    <s v="AC1 Engleking"/>
    <n v="-78"/>
    <n v="0"/>
    <n v="0"/>
    <n v="1"/>
    <n v="0"/>
    <n v="40"/>
    <n v="34"/>
    <n v="2"/>
    <s v="N4"/>
    <n v="22"/>
  </r>
  <r>
    <s v="CFA Sasebo"/>
    <x v="13"/>
    <s v="A-493-0012"/>
    <n v="3682"/>
    <x v="22"/>
    <d v="2026-03-09T00:00:00"/>
    <d v="2026-03-13T00:00:00"/>
    <s v="Funded"/>
    <d v="1899-12-30T08:00:00"/>
    <m/>
    <m/>
    <m/>
    <m/>
    <m/>
    <m/>
    <s v="R. Hartel"/>
    <m/>
    <m/>
    <n v="40"/>
    <n v="40"/>
    <n v="5"/>
    <n v="51"/>
    <n v="32"/>
    <n v="0"/>
    <n v="10"/>
    <n v="0"/>
    <n v="3"/>
    <n v="2"/>
    <n v="0"/>
    <s v="Benzick, Sue"/>
    <n v="-78"/>
    <n v="0"/>
    <n v="0"/>
    <n v="1"/>
    <n v="0"/>
    <n v="40"/>
    <n v="8"/>
    <n v="2"/>
    <s v="N4"/>
    <n v="30"/>
  </r>
  <r>
    <m/>
    <x v="37"/>
    <s v="A-493-0014"/>
    <n v="3878"/>
    <x v="13"/>
    <d v="2026-03-09T00:00:00"/>
    <d v="2026-03-11T00:00:00"/>
    <s v="Funded"/>
    <d v="1899-12-30T08:00:00"/>
    <m/>
    <m/>
    <m/>
    <m/>
    <m/>
    <m/>
    <s v="B. Jung"/>
    <s v="A. Harris"/>
    <m/>
    <n v="25"/>
    <n v="24"/>
    <n v="3"/>
    <n v="35"/>
    <n v="5"/>
    <n v="0"/>
    <n v="3"/>
    <n v="0"/>
    <n v="1"/>
    <n v="0"/>
    <n v="0"/>
    <s v="Keay, Aaron"/>
    <n v="-80"/>
    <n v="0"/>
    <n v="0"/>
    <n v="1"/>
    <n v="1"/>
    <n v="12"/>
    <n v="20"/>
    <n v="2"/>
    <s v="N3"/>
    <n v="22"/>
  </r>
  <r>
    <m/>
    <x v="4"/>
    <s v="A-493-0103"/>
    <s v="12JY"/>
    <x v="28"/>
    <d v="2026-03-09T00:00:00"/>
    <d v="2026-03-13T00:00:00"/>
    <s v="Funded"/>
    <d v="1899-12-30T08:00:00"/>
    <m/>
    <m/>
    <m/>
    <m/>
    <m/>
    <m/>
    <s v="SOH Contractor"/>
    <m/>
    <m/>
    <n v="25"/>
    <n v="40"/>
    <n v="5"/>
    <n v="52"/>
    <n v="10"/>
    <n v="0"/>
    <n v="10"/>
    <n v="0"/>
    <n v="3"/>
    <n v="2"/>
    <n v="0"/>
    <s v="Benzick, Sue"/>
    <n v="-78"/>
    <n v="0"/>
    <n v="0"/>
    <n v="1"/>
    <n v="0"/>
    <n v="40"/>
    <n v="15"/>
    <n v="2"/>
    <s v="N5"/>
    <n v="15"/>
  </r>
  <r>
    <m/>
    <x v="52"/>
    <s v="A-760-2166"/>
    <s v="438J"/>
    <x v="15"/>
    <d v="2026-03-09T00:00:00"/>
    <d v="2026-03-10T00:00:00"/>
    <s v="Funded"/>
    <d v="1899-12-30T08:00:00"/>
    <m/>
    <m/>
    <m/>
    <m/>
    <m/>
    <m/>
    <s v="W. Mitchell"/>
    <m/>
    <s v="EMC Stroughn"/>
    <n v="25"/>
    <n v="16"/>
    <n v="2"/>
    <m/>
    <n v="11"/>
    <n v="0"/>
    <n v="9"/>
    <n v="0"/>
    <n v="2"/>
    <n v="0"/>
    <n v="0"/>
    <s v="Keay, Aaron"/>
    <n v="-81"/>
    <n v="0"/>
    <n v="0"/>
    <n v="1"/>
    <n v="0"/>
    <n v="16"/>
    <n v="14"/>
    <n v="2"/>
    <s v="N3"/>
    <n v="16"/>
  </r>
  <r>
    <m/>
    <x v="5"/>
    <s v="A-493-0061"/>
    <s v="288E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27"/>
    <n v="0"/>
    <n v="20"/>
    <n v="0"/>
    <n v="9"/>
    <n v="0"/>
    <n v="0"/>
    <s v="Benzick, Sue"/>
    <n v="-79"/>
    <n v="0"/>
    <n v="0"/>
    <n v="1"/>
    <n v="0"/>
    <n v="30"/>
    <n v="18"/>
    <n v="2"/>
    <s v="N5"/>
    <n v="25"/>
  </r>
  <r>
    <m/>
    <x v="0"/>
    <s v="A-493-0550"/>
    <s v="09K5"/>
    <x v="0"/>
    <d v="2026-03-09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4"/>
    <n v="0"/>
    <n v="33"/>
    <n v="2"/>
    <n v="9"/>
    <n v="1"/>
    <n v="0"/>
    <s v="Benzick, Sue"/>
    <n v="-79"/>
    <n v="0"/>
    <n v="0"/>
    <n v="1"/>
    <n v="0"/>
    <n v="32"/>
    <n v="1"/>
    <n v="2"/>
    <s v="N5"/>
    <n v="10"/>
  </r>
  <r>
    <m/>
    <x v="7"/>
    <s v="A-493-0078"/>
    <n v="1228"/>
    <x v="0"/>
    <d v="2026-03-09T00:00:00"/>
    <d v="2026-03-12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41"/>
    <n v="0"/>
    <n v="33"/>
    <n v="1"/>
    <n v="10"/>
    <n v="0"/>
    <n v="1"/>
    <s v="Benzick, Sue"/>
    <n v="-79"/>
    <n v="0"/>
    <n v="0"/>
    <n v="1"/>
    <n v="0"/>
    <n v="32"/>
    <n v="4"/>
    <n v="2"/>
    <s v="N5"/>
    <n v="11"/>
  </r>
  <r>
    <m/>
    <x v="38"/>
    <s v="A-570-0100"/>
    <s v="18B7"/>
    <x v="0"/>
    <d v="2026-03-09T00:00:00"/>
    <d v="2026-03-1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19"/>
    <n v="0"/>
    <n v="16"/>
    <n v="1"/>
    <n v="2"/>
    <n v="0"/>
    <n v="0"/>
    <s v="Keay, Aaron"/>
    <n v="-81"/>
    <n v="0"/>
    <n v="0"/>
    <n v="1"/>
    <n v="0"/>
    <n v="16"/>
    <n v="26"/>
    <n v="2"/>
    <s v="N8"/>
    <n v="28"/>
  </r>
  <r>
    <m/>
    <x v="48"/>
    <s v="A-493-0077"/>
    <s v="0381"/>
    <x v="29"/>
    <d v="2026-03-10T00:00:00"/>
    <d v="2026-03-12T00:00:00"/>
    <s v="Funded"/>
    <d v="1899-12-30T08:00:00"/>
    <m/>
    <m/>
    <m/>
    <m/>
    <m/>
    <m/>
    <s v="ENV Contractor"/>
    <m/>
    <m/>
    <n v="25"/>
    <n v="24"/>
    <n v="3"/>
    <n v="28"/>
    <n v="0"/>
    <n v="0"/>
    <n v="2"/>
    <n v="0"/>
    <n v="0"/>
    <n v="2"/>
    <n v="0"/>
    <s v="Weaver, Nicole"/>
    <n v="-79"/>
    <n v="0"/>
    <n v="0"/>
    <n v="1"/>
    <n v="0"/>
    <n v="24"/>
    <n v="25"/>
    <n v="2"/>
    <s v="N4"/>
    <n v="23"/>
  </r>
  <r>
    <m/>
    <x v="12"/>
    <s v="A-493-0331"/>
    <s v="10UG"/>
    <x v="0"/>
    <d v="2026-03-10T00:00:00"/>
    <d v="2026-03-12T00:00:00"/>
    <s v="Funded"/>
    <m/>
    <d v="1899-12-30T12:00:00"/>
    <d v="1899-12-30T09:00:00"/>
    <d v="1899-12-30T19:00:00"/>
    <d v="1899-12-30T18:00:00"/>
    <d v="1899-12-30T06:00:00"/>
    <d v="1899-12-30T01:00:00"/>
    <s v="A. Harris"/>
    <s v="D. Hamilton"/>
    <m/>
    <n v="45"/>
    <n v="24"/>
    <n v="3"/>
    <n v="844"/>
    <n v="43"/>
    <n v="5"/>
    <n v="35"/>
    <n v="1"/>
    <n v="12"/>
    <n v="0"/>
    <n v="0"/>
    <s v="Keay, Aaron"/>
    <n v="-79"/>
    <n v="0"/>
    <n v="0"/>
    <n v="1"/>
    <n v="1"/>
    <n v="12"/>
    <n v="2"/>
    <n v="2"/>
    <s v="N3"/>
    <n v="9"/>
  </r>
  <r>
    <m/>
    <x v="39"/>
    <s v="A-493-0019"/>
    <n v="3882"/>
    <x v="13"/>
    <d v="2026-03-12T00:00:00"/>
    <d v="2026-03-13T00:00:00"/>
    <s v="Funded"/>
    <d v="1899-12-30T08:00:00"/>
    <m/>
    <m/>
    <m/>
    <m/>
    <m/>
    <m/>
    <s v="B. Jung"/>
    <s v="A. Harris"/>
    <m/>
    <n v="25"/>
    <n v="16"/>
    <n v="2"/>
    <n v="9"/>
    <n v="6"/>
    <n v="0"/>
    <n v="4"/>
    <n v="0"/>
    <n v="0"/>
    <n v="0"/>
    <n v="0"/>
    <s v="Keay, Aaron"/>
    <n v="-78"/>
    <n v="0"/>
    <n v="0"/>
    <n v="1"/>
    <n v="1"/>
    <n v="8"/>
    <n v="19"/>
    <n v="2"/>
    <s v="N3"/>
    <n v="21"/>
  </r>
  <r>
    <m/>
    <x v="10"/>
    <s v="A-493-0083"/>
    <s v="339E"/>
    <x v="29"/>
    <d v="2026-03-13T00:00:00"/>
    <d v="2026-03-13T00:00:00"/>
    <s v="Funded"/>
    <d v="1899-12-30T08:00:00"/>
    <m/>
    <m/>
    <m/>
    <m/>
    <m/>
    <m/>
    <s v="ENV Contractor"/>
    <m/>
    <m/>
    <n v="30"/>
    <n v="8"/>
    <n v="1"/>
    <n v="30"/>
    <n v="10"/>
    <n v="0"/>
    <n v="15"/>
    <n v="0"/>
    <n v="1"/>
    <n v="6"/>
    <n v="0"/>
    <s v="AC1 Engleking"/>
    <n v="-78"/>
    <n v="0"/>
    <n v="0"/>
    <n v="1"/>
    <n v="0"/>
    <n v="8"/>
    <n v="20"/>
    <n v="2"/>
    <s v="N4"/>
    <n v="15"/>
  </r>
  <r>
    <m/>
    <x v="43"/>
    <s v="A-4J-0022"/>
    <s v="09ER"/>
    <x v="0"/>
    <d v="2026-03-15T00:00:00"/>
    <d v="2026-03-19T00:00:00"/>
    <s v="Funded"/>
    <m/>
    <d v="1899-12-30T19:00:00"/>
    <d v="1899-12-30T16:00:00"/>
    <d v="1899-12-30T02:00:00"/>
    <d v="1899-12-30T00:00:00"/>
    <d v="1899-12-30T13:00:00"/>
    <d v="1899-12-30T08:00:00"/>
    <s v="K. Seo"/>
    <m/>
    <m/>
    <n v="45"/>
    <n v="40"/>
    <n v="2"/>
    <n v="63"/>
    <n v="15"/>
    <n v="0"/>
    <n v="9"/>
    <n v="1"/>
    <n v="8"/>
    <n v="1"/>
    <n v="0"/>
    <s v="Weaver, Nicole"/>
    <n v="-72"/>
    <n v="0"/>
    <n v="0"/>
    <n v="1"/>
    <n v="0"/>
    <n v="40"/>
    <n v="30"/>
    <n v="2"/>
    <s v="N4"/>
    <n v="35"/>
  </r>
  <r>
    <s v="DFSP Sasebo"/>
    <x v="49"/>
    <s v="A-493-0013"/>
    <n v="3683"/>
    <x v="22"/>
    <d v="2026-03-16T00:00:00"/>
    <d v="2026-03-18T00:00:00"/>
    <s v="Funded"/>
    <d v="1899-12-30T08:00:00"/>
    <m/>
    <m/>
    <m/>
    <m/>
    <m/>
    <m/>
    <s v="R. Hartel"/>
    <m/>
    <m/>
    <n v="40"/>
    <n v="24"/>
    <n v="3"/>
    <n v="72"/>
    <n v="18"/>
    <n v="0"/>
    <n v="39"/>
    <n v="0"/>
    <n v="3"/>
    <n v="25"/>
    <n v="0"/>
    <s v="AC1 Engleking"/>
    <n v="-73"/>
    <n v="0"/>
    <n v="0"/>
    <n v="1"/>
    <n v="0"/>
    <n v="24"/>
    <n v="22"/>
    <n v="2"/>
    <s v="N4"/>
    <n v="1"/>
  </r>
  <r>
    <m/>
    <x v="48"/>
    <s v="A-493-0077"/>
    <s v="0381"/>
    <x v="30"/>
    <d v="2026-03-16T00:00:00"/>
    <d v="2026-03-18T00:00:00"/>
    <s v="Funded"/>
    <d v="1899-12-30T08:00:00"/>
    <m/>
    <m/>
    <m/>
    <m/>
    <m/>
    <m/>
    <s v="ENV Contractor"/>
    <m/>
    <m/>
    <n v="25"/>
    <n v="24"/>
    <n v="3"/>
    <n v="28"/>
    <n v="2"/>
    <n v="0"/>
    <n v="2"/>
    <n v="0"/>
    <n v="0"/>
    <n v="0"/>
    <n v="0"/>
    <s v="AC1 Engleking"/>
    <n v="-73"/>
    <n v="0"/>
    <n v="0"/>
    <n v="1"/>
    <n v="0"/>
    <n v="24"/>
    <n v="23"/>
    <n v="2"/>
    <s v="N4"/>
    <n v="23"/>
  </r>
  <r>
    <m/>
    <x v="45"/>
    <s v="A-493-0070"/>
    <s v="450V"/>
    <x v="13"/>
    <d v="2026-03-16T00:00:00"/>
    <d v="2026-03-16T00:00:00"/>
    <s v="Funded"/>
    <d v="1899-12-30T08:00:00"/>
    <m/>
    <m/>
    <m/>
    <m/>
    <m/>
    <m/>
    <s v="B. Jung"/>
    <s v="A. Harris"/>
    <m/>
    <n v="30"/>
    <n v="8"/>
    <n v="1"/>
    <n v="13"/>
    <n v="2"/>
    <n v="0"/>
    <n v="4"/>
    <n v="0"/>
    <n v="0"/>
    <n v="2"/>
    <n v="0"/>
    <s v="Keay, Aaron"/>
    <n v="-75"/>
    <n v="0"/>
    <n v="0"/>
    <n v="1"/>
    <n v="1"/>
    <n v="4"/>
    <n v="28"/>
    <n v="2"/>
    <s v="N3"/>
    <n v="26"/>
  </r>
  <r>
    <m/>
    <x v="4"/>
    <s v="A-493-0103"/>
    <s v="12JY"/>
    <x v="28"/>
    <d v="2026-03-16T00:00:00"/>
    <d v="2026-03-20T00:00:00"/>
    <s v="Funded"/>
    <d v="1899-12-30T08:00:00"/>
    <m/>
    <m/>
    <m/>
    <m/>
    <m/>
    <m/>
    <s v="SOH Contractor"/>
    <m/>
    <m/>
    <n v="25"/>
    <n v="40"/>
    <n v="5"/>
    <n v="52"/>
    <n v="10"/>
    <n v="0"/>
    <n v="9"/>
    <n v="0"/>
    <n v="1"/>
    <n v="1"/>
    <n v="0"/>
    <s v="Benzick, Sue"/>
    <n v="-71"/>
    <n v="0"/>
    <n v="0"/>
    <n v="1"/>
    <n v="0"/>
    <n v="40"/>
    <n v="15"/>
    <n v="2"/>
    <s v="N5"/>
    <n v="16"/>
  </r>
  <r>
    <m/>
    <x v="6"/>
    <s v="A-322-2604"/>
    <s v="10ZZ"/>
    <x v="0"/>
    <d v="2026-03-16T00:00:00"/>
    <d v="2026-03-1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63"/>
    <n v="45"/>
    <n v="5"/>
    <n v="36"/>
    <n v="2"/>
    <n v="9"/>
    <n v="2"/>
    <n v="0"/>
    <s v="Benzick, Sue"/>
    <n v="-73"/>
    <n v="0"/>
    <n v="0"/>
    <n v="1"/>
    <n v="0"/>
    <n v="24"/>
    <n v="0"/>
    <n v="2"/>
    <s v="N8"/>
    <n v="7"/>
  </r>
  <r>
    <m/>
    <x v="53"/>
    <s v="A-493-2017"/>
    <s v="12x3"/>
    <x v="15"/>
    <d v="2026-03-16T00:00:00"/>
    <d v="2026-03-20T00:00:00"/>
    <s v="Funded"/>
    <d v="1899-12-30T08:00:00"/>
    <m/>
    <m/>
    <m/>
    <m/>
    <m/>
    <m/>
    <s v="ENV Contractor"/>
    <m/>
    <m/>
    <n v="25"/>
    <n v="40"/>
    <n v="5"/>
    <n v="36"/>
    <n v="12"/>
    <n v="0"/>
    <n v="11"/>
    <n v="0"/>
    <n v="3"/>
    <n v="2"/>
    <n v="0"/>
    <s v="Weaver, Nicole"/>
    <n v="-71"/>
    <n v="0"/>
    <n v="0"/>
    <n v="1"/>
    <n v="0"/>
    <n v="40"/>
    <n v="13"/>
    <n v="2"/>
    <s v="N4"/>
    <n v="14"/>
  </r>
  <r>
    <m/>
    <x v="46"/>
    <s v="A-493-0015"/>
    <n v="3879"/>
    <x v="13"/>
    <d v="2026-03-17T00:00:00"/>
    <d v="2026-03-17T00:00:00"/>
    <s v="Funded"/>
    <d v="1899-12-30T08:00:00"/>
    <m/>
    <m/>
    <m/>
    <m/>
    <m/>
    <m/>
    <s v="B. Jung"/>
    <s v="A. Harris"/>
    <m/>
    <n v="30"/>
    <n v="4"/>
    <n v="0.5"/>
    <n v="33"/>
    <n v="20"/>
    <n v="0"/>
    <n v="13"/>
    <n v="0"/>
    <n v="1"/>
    <n v="2"/>
    <n v="0"/>
    <s v="Keay, Aaron"/>
    <n v="-74"/>
    <n v="0"/>
    <n v="0"/>
    <n v="1"/>
    <n v="1"/>
    <n v="2"/>
    <n v="10"/>
    <n v="2"/>
    <s v="N3"/>
    <n v="17"/>
  </r>
  <r>
    <m/>
    <x v="47"/>
    <s v="A-493-0020"/>
    <n v="3888"/>
    <x v="13"/>
    <d v="2026-03-17T00:00:00"/>
    <d v="2026-03-17T00:00:00"/>
    <s v="Funded"/>
    <d v="1903-07-23T12:00:00"/>
    <m/>
    <m/>
    <m/>
    <m/>
    <m/>
    <m/>
    <s v="B. Jung"/>
    <s v="A. Harris"/>
    <m/>
    <n v="30"/>
    <n v="4"/>
    <n v="0.5"/>
    <n v="36"/>
    <n v="7"/>
    <n v="0"/>
    <n v="7"/>
    <n v="0"/>
    <n v="0"/>
    <n v="1"/>
    <n v="0"/>
    <s v="Keay, Aaron"/>
    <n v="-74"/>
    <n v="0"/>
    <n v="0"/>
    <n v="1"/>
    <n v="1"/>
    <n v="2"/>
    <n v="23"/>
    <n v="2"/>
    <s v="N3"/>
    <n v="23"/>
  </r>
  <r>
    <m/>
    <x v="10"/>
    <s v="A-493-0083"/>
    <s v="339E"/>
    <x v="30"/>
    <d v="2026-03-19T00:00:00"/>
    <d v="2026-03-19T00:00:00"/>
    <s v="Funded"/>
    <d v="1899-12-30T08:00:00"/>
    <m/>
    <m/>
    <m/>
    <m/>
    <m/>
    <m/>
    <s v="ENV Contractor"/>
    <m/>
    <m/>
    <n v="30"/>
    <n v="8"/>
    <n v="1"/>
    <n v="30"/>
    <n v="11"/>
    <n v="0"/>
    <n v="10"/>
    <n v="0"/>
    <n v="1"/>
    <n v="0"/>
    <n v="0"/>
    <s v="Weaver, Nicole"/>
    <n v="-72"/>
    <n v="0"/>
    <n v="0"/>
    <n v="1"/>
    <n v="0"/>
    <n v="8"/>
    <n v="19"/>
    <n v="2"/>
    <s v="N4"/>
    <n v="20"/>
  </r>
  <r>
    <m/>
    <x v="18"/>
    <s v="A-493-3002"/>
    <s v="31V4"/>
    <x v="0"/>
    <d v="2026-03-22T00:00:00"/>
    <d v="2026-03-22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4"/>
    <n v="0.5"/>
    <m/>
    <n v="138"/>
    <n v="0"/>
    <n v="24"/>
    <n v="0"/>
    <n v="0"/>
    <n v="0"/>
    <n v="7"/>
    <s v="AC1 Engleking"/>
    <n v="-69"/>
    <n v="0"/>
    <n v="0"/>
    <n v="1"/>
    <n v="0"/>
    <n v="0"/>
    <n v="862"/>
    <n v="2"/>
    <s v="N8"/>
    <n v="976"/>
  </r>
  <r>
    <s v="Naval Station Guantanamo Bay"/>
    <x v="13"/>
    <s v="A-493-0012"/>
    <n v="3682"/>
    <x v="31"/>
    <d v="2026-03-23T00:00:00"/>
    <d v="2026-03-27T00:00:00"/>
    <s v="Funded"/>
    <d v="1899-12-30T08:00:00"/>
    <m/>
    <m/>
    <m/>
    <m/>
    <m/>
    <m/>
    <s v="G. Jester"/>
    <m/>
    <m/>
    <n v="40"/>
    <n v="40"/>
    <n v="5"/>
    <n v="30"/>
    <n v="9"/>
    <n v="0"/>
    <n v="40"/>
    <n v="0"/>
    <n v="7"/>
    <n v="38"/>
    <n v="0"/>
    <s v="Weaver, Nicole"/>
    <n v="-64"/>
    <n v="0"/>
    <n v="0"/>
    <n v="1"/>
    <n v="0"/>
    <n v="40"/>
    <n v="31"/>
    <n v="2"/>
    <s v="N4"/>
    <n v="0"/>
  </r>
  <r>
    <m/>
    <x v="48"/>
    <s v="A-493-0077"/>
    <s v="0381"/>
    <x v="17"/>
    <d v="2026-03-23T00:00:00"/>
    <d v="2026-03-25T00:00:00"/>
    <s v="Funded"/>
    <d v="1899-12-30T08:00:00"/>
    <m/>
    <m/>
    <m/>
    <m/>
    <m/>
    <m/>
    <s v="ENV Contractor"/>
    <m/>
    <m/>
    <n v="25"/>
    <n v="24"/>
    <n v="3"/>
    <n v="17"/>
    <n v="17"/>
    <n v="0"/>
    <n v="16"/>
    <n v="0"/>
    <n v="1"/>
    <n v="0"/>
    <n v="0"/>
    <s v="Weaver, Nicole"/>
    <n v="-66"/>
    <n v="0"/>
    <n v="0"/>
    <n v="1"/>
    <n v="0"/>
    <n v="24"/>
    <n v="8"/>
    <n v="2"/>
    <s v="N4"/>
    <n v="9"/>
  </r>
  <r>
    <m/>
    <x v="4"/>
    <s v="A-493-0103"/>
    <s v="12JY"/>
    <x v="9"/>
    <d v="2026-03-23T00:00:00"/>
    <d v="2026-03-27T00:00:00"/>
    <s v="Funded"/>
    <d v="1899-12-30T08:00:00"/>
    <m/>
    <m/>
    <m/>
    <m/>
    <m/>
    <m/>
    <s v="SOH Contractor"/>
    <m/>
    <m/>
    <n v="25"/>
    <n v="40"/>
    <n v="5"/>
    <n v="516"/>
    <n v="25"/>
    <n v="0"/>
    <n v="20"/>
    <n v="0"/>
    <n v="6"/>
    <n v="1"/>
    <n v="0"/>
    <s v="Benzick, Sue"/>
    <n v="-64"/>
    <n v="0"/>
    <n v="0"/>
    <n v="1"/>
    <n v="0"/>
    <n v="40"/>
    <n v="0"/>
    <n v="2"/>
    <s v="N5"/>
    <n v="5"/>
  </r>
  <r>
    <m/>
    <x v="5"/>
    <s v="A-493-0061"/>
    <s v="288E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27"/>
    <n v="0"/>
    <n v="24"/>
    <n v="0"/>
    <n v="3"/>
    <n v="0"/>
    <n v="0"/>
    <s v="Benzick, Sue"/>
    <n v="-65"/>
    <n v="0"/>
    <n v="0"/>
    <n v="1"/>
    <n v="0"/>
    <n v="30"/>
    <n v="18"/>
    <n v="2"/>
    <s v="N5"/>
    <n v="21"/>
  </r>
  <r>
    <m/>
    <x v="40"/>
    <s v="A-493-0335"/>
    <s v="09ND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W. Mitchell"/>
    <s v="D. Hamilton"/>
    <m/>
    <n v="45"/>
    <n v="32"/>
    <n v="4"/>
    <n v="537"/>
    <n v="22"/>
    <n v="0"/>
    <n v="20"/>
    <n v="2"/>
    <n v="7"/>
    <n v="0"/>
    <n v="0"/>
    <s v="Keay, Aaron"/>
    <n v="-65"/>
    <n v="0"/>
    <n v="0"/>
    <n v="1"/>
    <n v="1"/>
    <n v="16"/>
    <n v="23"/>
    <n v="2"/>
    <s v="N3"/>
    <n v="23"/>
  </r>
  <r>
    <m/>
    <x v="0"/>
    <s v="A-493-0550"/>
    <s v="09K5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2"/>
    <n v="0"/>
    <n v="41"/>
    <n v="0"/>
    <n v="3"/>
    <n v="1"/>
    <n v="0"/>
    <s v="Benzick, Sue"/>
    <n v="-65"/>
    <n v="0"/>
    <n v="0"/>
    <n v="1"/>
    <n v="0"/>
    <n v="32"/>
    <n v="3"/>
    <n v="2"/>
    <s v="N5"/>
    <n v="4"/>
  </r>
  <r>
    <m/>
    <x v="7"/>
    <s v="A-493-0078"/>
    <n v="1228"/>
    <x v="0"/>
    <d v="2026-03-23T00:00:00"/>
    <d v="2026-03-26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3"/>
    <n v="0"/>
    <n v="34"/>
    <n v="1"/>
    <n v="10"/>
    <n v="0"/>
    <n v="0"/>
    <s v="Benzick, Sue"/>
    <n v="-65"/>
    <n v="0"/>
    <n v="0"/>
    <n v="1"/>
    <n v="0"/>
    <n v="32"/>
    <n v="2"/>
    <n v="2"/>
    <s v="N5"/>
    <n v="10"/>
  </r>
  <r>
    <m/>
    <x v="42"/>
    <s v="A-493-0085"/>
    <n v="3555"/>
    <x v="0"/>
    <d v="2026-03-23T00:00:00"/>
    <d v="2026-03-26T00:00:00"/>
    <s v="Funded"/>
    <m/>
    <d v="1899-12-30T12:00:00"/>
    <d v="1899-12-30T09:00:00"/>
    <d v="1899-12-30T19:00:00"/>
    <d v="1899-12-30T18:00:00"/>
    <d v="1899-12-30T06:00:00"/>
    <d v="1899-12-30T01:00:00"/>
    <s v="B. Jung"/>
    <s v="A. Harris"/>
    <m/>
    <n v="45"/>
    <n v="32"/>
    <n v="4"/>
    <n v="688"/>
    <n v="21"/>
    <n v="0"/>
    <n v="14"/>
    <n v="0"/>
    <n v="9"/>
    <n v="0"/>
    <n v="0"/>
    <s v="Keay, Aaron"/>
    <n v="-65"/>
    <n v="0"/>
    <n v="0"/>
    <n v="1"/>
    <n v="1"/>
    <n v="16"/>
    <n v="24"/>
    <n v="2"/>
    <s v="N3"/>
    <n v="31"/>
  </r>
  <r>
    <m/>
    <x v="2"/>
    <s v="A-493-2501"/>
    <s v="05ZE"/>
    <x v="32"/>
    <d v="2026-03-23T00:00:00"/>
    <d v="2026-03-23T00:00:00"/>
    <s v="Funded"/>
    <d v="1899-12-30T08:00:00"/>
    <m/>
    <m/>
    <m/>
    <m/>
    <m/>
    <m/>
    <s v="ENV Contractor"/>
    <m/>
    <m/>
    <n v="30"/>
    <n v="8"/>
    <n v="1"/>
    <n v="30"/>
    <n v="11"/>
    <n v="0"/>
    <n v="25"/>
    <n v="0"/>
    <n v="4"/>
    <n v="19"/>
    <n v="0"/>
    <s v="Weaver, Nicole"/>
    <n v="-68"/>
    <n v="0"/>
    <n v="0"/>
    <n v="1"/>
    <n v="0"/>
    <n v="8"/>
    <n v="19"/>
    <n v="2"/>
    <s v="N4"/>
    <n v="5"/>
  </r>
  <r>
    <m/>
    <x v="38"/>
    <s v="A-570-0100"/>
    <s v="18B7"/>
    <x v="0"/>
    <d v="2026-03-23T00:00:00"/>
    <d v="2026-03-24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21"/>
    <n v="13"/>
    <n v="0"/>
    <n v="11"/>
    <n v="0"/>
    <n v="3"/>
    <n v="0"/>
    <n v="0"/>
    <s v="Keay, Aaron"/>
    <n v="-67"/>
    <n v="0"/>
    <n v="0"/>
    <n v="1"/>
    <n v="0"/>
    <n v="16"/>
    <n v="32"/>
    <n v="2"/>
    <s v="N8"/>
    <n v="34"/>
  </r>
  <r>
    <m/>
    <x v="23"/>
    <s v="A-493-3010"/>
    <s v="31VC"/>
    <x v="0"/>
    <d v="2026-03-23T00:00:00"/>
    <d v="2026-03-23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3.5"/>
    <n v="0.4"/>
    <m/>
    <n v="138"/>
    <n v="0"/>
    <n v="31"/>
    <n v="0"/>
    <n v="0"/>
    <n v="0"/>
    <n v="14"/>
    <s v="AC1 Engleking"/>
    <n v="-68"/>
    <n v="0"/>
    <n v="0"/>
    <n v="1"/>
    <n v="0"/>
    <n v="0"/>
    <n v="862"/>
    <n v="2"/>
    <s v="N8"/>
    <n v="969"/>
  </r>
  <r>
    <m/>
    <x v="19"/>
    <s v="A-493-3003"/>
    <s v="31V5"/>
    <x v="0"/>
    <d v="2026-03-23T00:00:00"/>
    <d v="2026-03-23T00:00:00"/>
    <s v="Funded"/>
    <m/>
    <d v="1899-12-30T02:00:00"/>
    <d v="1899-12-30T23:00:00"/>
    <d v="1899-12-30T09:00:00"/>
    <d v="1899-12-30T07:00:00"/>
    <d v="1899-12-30T21:00:00"/>
    <d v="1899-12-30T15:00:00"/>
    <s v="C. Gum"/>
    <m/>
    <m/>
    <n v="1000"/>
    <n v="0.75"/>
    <n v="0.1"/>
    <m/>
    <n v="138"/>
    <n v="0"/>
    <n v="20"/>
    <n v="0"/>
    <n v="0"/>
    <n v="0"/>
    <n v="8"/>
    <s v="AC1 Engleking"/>
    <n v="-68"/>
    <n v="0"/>
    <n v="0"/>
    <n v="1"/>
    <n v="0"/>
    <e v="#REF!"/>
    <n v="862"/>
    <n v="2"/>
    <s v="N8"/>
    <n v="980"/>
  </r>
  <r>
    <m/>
    <x v="20"/>
    <s v="A-493-3006"/>
    <s v="31V8"/>
    <x v="0"/>
    <d v="2026-03-23T00:00:00"/>
    <d v="2026-03-23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0.75"/>
    <n v="0.1"/>
    <m/>
    <n v="138"/>
    <n v="0"/>
    <n v="21"/>
    <n v="0"/>
    <n v="0"/>
    <n v="0"/>
    <n v="7"/>
    <s v="AC1 Engleking"/>
    <n v="-68"/>
    <n v="0"/>
    <n v="0"/>
    <n v="1"/>
    <n v="0"/>
    <n v="0"/>
    <n v="862"/>
    <n v="2"/>
    <s v="N8"/>
    <n v="979"/>
  </r>
  <r>
    <m/>
    <x v="21"/>
    <s v="A-493-3007"/>
    <s v="31V9"/>
    <x v="0"/>
    <d v="2026-03-23T00:00:00"/>
    <d v="2026-03-23T00:00:00"/>
    <s v="Funded"/>
    <m/>
    <d v="1899-12-30T01:00:00"/>
    <d v="1899-12-30T22:00:00"/>
    <d v="1899-12-30T08:00:00"/>
    <d v="1899-12-30T06:00:00"/>
    <d v="1899-12-30T20:00:00"/>
    <d v="1899-12-30T14:00:00"/>
    <s v="C. Gum"/>
    <m/>
    <m/>
    <n v="1000"/>
    <n v="0.75"/>
    <n v="0.1"/>
    <m/>
    <n v="138"/>
    <n v="0"/>
    <n v="20"/>
    <n v="0"/>
    <n v="0"/>
    <n v="0"/>
    <n v="7"/>
    <s v="AC1 Engleking"/>
    <n v="-68"/>
    <n v="0"/>
    <n v="0"/>
    <n v="1"/>
    <n v="0"/>
    <n v="0"/>
    <n v="862"/>
    <n v="2"/>
    <s v="N8"/>
    <n v="980"/>
  </r>
  <r>
    <m/>
    <x v="41"/>
    <s v="F-4J-0023"/>
    <s v="11A2"/>
    <x v="0"/>
    <d v="2026-03-23T00:00:00"/>
    <d v="2026-03-24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n v="14"/>
    <n v="0"/>
    <n v="9"/>
    <n v="0"/>
    <n v="8"/>
    <n v="0"/>
    <n v="0"/>
    <s v="Keay, Aaron"/>
    <n v="-67"/>
    <n v="0"/>
    <n v="0"/>
    <n v="1"/>
    <n v="0"/>
    <n v="16"/>
    <n v="31"/>
    <n v="2"/>
    <s v="N8"/>
    <n v="36"/>
  </r>
  <r>
    <m/>
    <x v="8"/>
    <s v="A-493-2098"/>
    <s v="09WW"/>
    <x v="0"/>
    <d v="2026-03-23T00:00:00"/>
    <d v="2026-03-25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n v="97"/>
    <n v="0"/>
    <n v="72"/>
    <n v="3"/>
    <n v="27"/>
    <n v="0"/>
    <n v="0"/>
    <s v="Weaver, Nicole"/>
    <n v="-66"/>
    <n v="0"/>
    <n v="0"/>
    <n v="1"/>
    <n v="0"/>
    <n v="16"/>
    <n v="3"/>
    <n v="2"/>
    <s v="N8"/>
    <n v="25"/>
  </r>
  <r>
    <m/>
    <x v="2"/>
    <s v="A-493-2501"/>
    <s v="05ZE"/>
    <x v="25"/>
    <d v="2026-03-24T00:00:00"/>
    <d v="2026-03-24T00:00:00"/>
    <s v="Funded"/>
    <d v="1899-12-30T08:00:00"/>
    <m/>
    <m/>
    <m/>
    <m/>
    <m/>
    <m/>
    <s v="ENV Contractor"/>
    <m/>
    <m/>
    <n v="30"/>
    <n v="8"/>
    <n v="1"/>
    <n v="28"/>
    <n v="24"/>
    <n v="0"/>
    <n v="21"/>
    <n v="0"/>
    <n v="7"/>
    <n v="1"/>
    <n v="0"/>
    <s v="Weaver, Nicole"/>
    <n v="-67"/>
    <n v="0"/>
    <n v="0"/>
    <n v="1"/>
    <n v="0"/>
    <n v="8"/>
    <n v="6"/>
    <n v="2"/>
    <s v="N4"/>
    <n v="9"/>
  </r>
  <r>
    <m/>
    <x v="25"/>
    <s v="A-493-3004"/>
    <s v="31V6"/>
    <x v="0"/>
    <d v="2026-03-24T00:00:00"/>
    <d v="2026-03-24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.5"/>
    <n v="0.2"/>
    <m/>
    <n v="138"/>
    <n v="0"/>
    <n v="27"/>
    <n v="0"/>
    <n v="0"/>
    <n v="0"/>
    <n v="14"/>
    <s v="AC1 Engleking"/>
    <n v="-67"/>
    <n v="0"/>
    <n v="0"/>
    <n v="1"/>
    <n v="0"/>
    <n v="0"/>
    <n v="862"/>
    <n v="2"/>
    <s v="N8"/>
    <n v="973"/>
  </r>
  <r>
    <m/>
    <x v="22"/>
    <s v="A-493-3011"/>
    <s v="31VD"/>
    <x v="0"/>
    <d v="2026-03-24T00:00:00"/>
    <d v="2026-03-24T00:00:00"/>
    <s v="Funded"/>
    <m/>
    <d v="1899-12-30T00:01:00"/>
    <d v="1899-12-30T21:00:00"/>
    <d v="1899-12-30T19:00:00"/>
    <d v="1899-12-30T05:00:00"/>
    <d v="1899-12-30T19:00:00"/>
    <d v="1899-12-30T13:00:00"/>
    <s v="C. Gum"/>
    <m/>
    <m/>
    <n v="1000"/>
    <n v="2.5"/>
    <n v="0.3"/>
    <m/>
    <n v="138"/>
    <n v="0"/>
    <n v="26"/>
    <n v="0"/>
    <n v="0"/>
    <n v="0"/>
    <n v="12"/>
    <s v="AC1 Engleking"/>
    <n v="-67"/>
    <n v="0"/>
    <n v="0"/>
    <n v="1"/>
    <n v="0"/>
    <n v="0"/>
    <n v="862"/>
    <n v="2"/>
    <s v="N8"/>
    <n v="974"/>
  </r>
  <r>
    <m/>
    <x v="26"/>
    <s v="A-493-3001"/>
    <s v="31V3"/>
    <x v="0"/>
    <d v="2026-03-24T00:00:00"/>
    <d v="2026-03-24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2"/>
    <n v="0.25"/>
    <m/>
    <n v="138"/>
    <n v="0"/>
    <n v="20"/>
    <n v="0"/>
    <n v="0"/>
    <n v="0"/>
    <n v="8"/>
    <s v="AC1 Engleking"/>
    <n v="-67"/>
    <n v="0"/>
    <n v="0"/>
    <n v="1"/>
    <n v="0"/>
    <n v="0"/>
    <n v="862"/>
    <n v="2"/>
    <s v="N8"/>
    <n v="980"/>
  </r>
  <r>
    <m/>
    <x v="24"/>
    <s v="A-493-3018"/>
    <s v="31YM"/>
    <x v="0"/>
    <d v="2026-03-25T00:00:00"/>
    <d v="2026-03-25T00:00:00"/>
    <s v="Funded"/>
    <m/>
    <d v="1899-12-30T01:30:00"/>
    <d v="1899-12-30T22:30:00"/>
    <d v="1899-12-30T08:30:00"/>
    <d v="1899-12-30T06:30:00"/>
    <d v="1899-12-30T20:30:00"/>
    <d v="1899-12-30T14:30:00"/>
    <s v="C. Gum"/>
    <m/>
    <m/>
    <n v="1000"/>
    <n v="2.5"/>
    <n v="0.3"/>
    <m/>
    <n v="138"/>
    <n v="0"/>
    <n v="17"/>
    <n v="0"/>
    <n v="0"/>
    <n v="0"/>
    <n v="9"/>
    <s v="AC1 Engleking"/>
    <n v="-66"/>
    <n v="0"/>
    <n v="0"/>
    <n v="1"/>
    <n v="0"/>
    <n v="0"/>
    <n v="862"/>
    <n v="2"/>
    <s v="N8"/>
    <n v="983"/>
  </r>
  <r>
    <m/>
    <x v="27"/>
    <s v="A-493-3013"/>
    <s v="31YG"/>
    <x v="0"/>
    <d v="2026-03-25T00:00:00"/>
    <d v="2026-03-25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138"/>
    <n v="0"/>
    <n v="17"/>
    <n v="0"/>
    <n v="0"/>
    <n v="0"/>
    <n v="5"/>
    <s v="AC1 Engleking"/>
    <n v="-66"/>
    <n v="0"/>
    <n v="0"/>
    <n v="1"/>
    <n v="0"/>
    <n v="0"/>
    <n v="862"/>
    <n v="2"/>
    <s v="N8"/>
    <n v="983"/>
  </r>
  <r>
    <m/>
    <x v="29"/>
    <s v="A-493-3015"/>
    <s v="31YJ"/>
    <x v="0"/>
    <d v="2026-03-25T00:00:00"/>
    <d v="2026-03-25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138"/>
    <n v="0"/>
    <n v="19"/>
    <n v="0"/>
    <n v="0"/>
    <n v="0"/>
    <n v="6"/>
    <s v="AC1 Engleking"/>
    <n v="-66"/>
    <n v="0"/>
    <n v="0"/>
    <n v="1"/>
    <n v="0"/>
    <n v="0"/>
    <n v="862"/>
    <n v="2"/>
    <s v="N8"/>
    <n v="981"/>
  </r>
  <r>
    <m/>
    <x v="30"/>
    <s v="A-493-3016"/>
    <s v="31Yk"/>
    <x v="0"/>
    <d v="2026-03-25T00:00:00"/>
    <d v="2026-03-25T00:00:00"/>
    <s v="Funded"/>
    <m/>
    <d v="1899-12-30T23:30:00"/>
    <d v="1899-12-30T20:30:00"/>
    <d v="1899-12-30T06:30:00"/>
    <d v="1899-12-30T04:30:00"/>
    <d v="1899-12-30T18:30:00"/>
    <d v="1899-12-30T12:30:00"/>
    <s v="C. Gum"/>
    <m/>
    <m/>
    <n v="1000"/>
    <n v="1"/>
    <n v="0.1"/>
    <m/>
    <n v="138"/>
    <n v="0"/>
    <n v="14"/>
    <n v="0"/>
    <n v="0"/>
    <n v="0"/>
    <n v="6"/>
    <s v="AC1 Engleking"/>
    <n v="-66"/>
    <n v="0"/>
    <n v="0"/>
    <n v="1"/>
    <n v="0"/>
    <n v="0"/>
    <n v="862"/>
    <n v="2"/>
    <s v="N8"/>
    <n v="986"/>
  </r>
  <r>
    <s v="CFA Sasebo"/>
    <x v="2"/>
    <s v="A-493-2501"/>
    <s v="05ZE"/>
    <x v="22"/>
    <d v="2026-03-26T00:00:00"/>
    <d v="2026-03-26T00:00:00"/>
    <s v="Funded"/>
    <d v="1899-12-30T08:00:00"/>
    <m/>
    <m/>
    <m/>
    <m/>
    <m/>
    <m/>
    <s v="ENV Contractor"/>
    <m/>
    <m/>
    <n v="30"/>
    <n v="8"/>
    <n v="1"/>
    <n v="40"/>
    <n v="13"/>
    <n v="0"/>
    <n v="17"/>
    <n v="0"/>
    <n v="7"/>
    <n v="11"/>
    <n v="0"/>
    <s v="Weaver, Nicole"/>
    <n v="-65"/>
    <n v="0"/>
    <n v="0"/>
    <n v="1"/>
    <n v="0"/>
    <n v="8"/>
    <n v="17"/>
    <n v="2"/>
    <s v="N4"/>
    <n v="13"/>
  </r>
  <r>
    <m/>
    <x v="32"/>
    <s v="A-493-3005"/>
    <s v="31V7"/>
    <x v="0"/>
    <d v="2026-03-26T00:00:00"/>
    <d v="2026-03-26T00:00:00"/>
    <s v="Funded"/>
    <m/>
    <d v="1899-12-30T22:45:00"/>
    <d v="1899-12-30T19:45:00"/>
    <d v="1899-12-30T05:45:00"/>
    <d v="1899-12-30T03:45:00"/>
    <d v="1899-12-30T17:45:00"/>
    <d v="1899-12-30T11:45:00"/>
    <s v="C. Gum"/>
    <m/>
    <m/>
    <n v="1000"/>
    <n v="2"/>
    <n v="0.25"/>
    <m/>
    <n v="138"/>
    <n v="0"/>
    <n v="18"/>
    <n v="0"/>
    <n v="0"/>
    <n v="0"/>
    <n v="7"/>
    <s v="AC1 Engleking"/>
    <n v="-65"/>
    <n v="0"/>
    <n v="0"/>
    <n v="1"/>
    <n v="0"/>
    <n v="0"/>
    <n v="862"/>
    <n v="2"/>
    <s v="N8"/>
    <n v="982"/>
  </r>
  <r>
    <m/>
    <x v="28"/>
    <s v="A-493-3014"/>
    <s v="31Yh"/>
    <x v="0"/>
    <d v="2026-03-26T00:00:00"/>
    <d v="2026-03-26T00:00:00"/>
    <s v="Funded"/>
    <m/>
    <d v="1899-12-30T23:30:00"/>
    <d v="1899-12-30T20:00:00"/>
    <d v="1899-12-30T06:30:00"/>
    <d v="1899-12-30T04:30:00"/>
    <d v="1899-12-30T18:30:00"/>
    <d v="1899-12-30T12:30:00"/>
    <s v="C. Gum"/>
    <m/>
    <m/>
    <n v="1000"/>
    <n v="0.75"/>
    <n v="0.1"/>
    <m/>
    <n v="138"/>
    <n v="0"/>
    <n v="13"/>
    <n v="0"/>
    <n v="0"/>
    <n v="0"/>
    <n v="4"/>
    <s v="AC1 Engleking"/>
    <n v="-65"/>
    <n v="0"/>
    <n v="0"/>
    <n v="1"/>
    <n v="0"/>
    <e v="#REF!"/>
    <n v="862"/>
    <n v="2"/>
    <s v="N8"/>
    <n v="987"/>
  </r>
  <r>
    <m/>
    <x v="34"/>
    <s v="A-493-3008"/>
    <s v="31VA"/>
    <x v="0"/>
    <d v="2026-03-26T00:00:00"/>
    <d v="2026-03-26T00:00:00"/>
    <s v="Funded"/>
    <m/>
    <d v="1899-12-30T20:00:00"/>
    <d v="1899-12-30T17:00:00"/>
    <d v="1899-12-30T03:00:00"/>
    <d v="1899-12-30T01:00:00"/>
    <d v="1899-12-30T15:00:00"/>
    <d v="1899-12-30T09:00:00"/>
    <s v="C. Gum"/>
    <m/>
    <m/>
    <n v="1000"/>
    <n v="1"/>
    <n v="0.1"/>
    <m/>
    <n v="138"/>
    <n v="0"/>
    <n v="18"/>
    <n v="0"/>
    <n v="0"/>
    <n v="0"/>
    <n v="4"/>
    <s v="AC1 Engleking"/>
    <n v="-65"/>
    <n v="0"/>
    <n v="0"/>
    <n v="1"/>
    <n v="0"/>
    <n v="0"/>
    <n v="862"/>
    <n v="2"/>
    <s v="N8"/>
    <n v="982"/>
  </r>
  <r>
    <m/>
    <x v="31"/>
    <s v="A-493-3012"/>
    <s v="31YF"/>
    <x v="0"/>
    <d v="2026-03-26T00:00:00"/>
    <d v="2026-03-26T00:00:00"/>
    <s v="Funded"/>
    <m/>
    <d v="1899-12-30T19:00:00"/>
    <d v="1899-12-30T16:00:00"/>
    <d v="1899-12-30T02:00:00"/>
    <d v="1899-12-30T00:01:00"/>
    <d v="1899-12-30T14:00:00"/>
    <d v="1899-12-30T08:00:00"/>
    <s v="C. Gum"/>
    <m/>
    <m/>
    <n v="1000"/>
    <n v="1"/>
    <n v="0.1"/>
    <m/>
    <n v="138"/>
    <n v="0"/>
    <n v="21"/>
    <n v="0"/>
    <n v="0"/>
    <n v="0"/>
    <n v="8"/>
    <s v="AC1 Engleking"/>
    <n v="-65"/>
    <n v="0"/>
    <n v="0"/>
    <n v="1"/>
    <n v="0"/>
    <n v="0"/>
    <n v="862"/>
    <n v="2"/>
    <s v="N8"/>
    <n v="979"/>
  </r>
  <r>
    <m/>
    <x v="35"/>
    <s v="A-493-3009"/>
    <s v="31VB"/>
    <x v="0"/>
    <d v="2026-03-26T00:00:00"/>
    <d v="2026-03-26T00:00:00"/>
    <s v="Funded"/>
    <m/>
    <d v="1899-12-30T21:30:00"/>
    <d v="1899-12-30T18:30:00"/>
    <d v="1899-12-30T04:30:00"/>
    <d v="1899-12-30T02:30:00"/>
    <d v="1899-12-30T16:30:00"/>
    <d v="1899-12-30T10:30:00"/>
    <s v="C. Gum"/>
    <m/>
    <m/>
    <n v="1000"/>
    <n v="1"/>
    <n v="0.1"/>
    <m/>
    <n v="138"/>
    <n v="0"/>
    <n v="26"/>
    <n v="0"/>
    <n v="0"/>
    <n v="0"/>
    <n v="13"/>
    <s v="AC1 Engleking"/>
    <n v="-65"/>
    <n v="0"/>
    <n v="0"/>
    <n v="1"/>
    <n v="0"/>
    <n v="0"/>
    <n v="862"/>
    <n v="2"/>
    <s v="N8"/>
    <n v="974"/>
  </r>
  <r>
    <m/>
    <x v="10"/>
    <s v="A-493-0083"/>
    <s v="339E"/>
    <x v="6"/>
    <d v="2026-03-26T00:00:00"/>
    <d v="2026-03-26T00:00:00"/>
    <s v="Funded"/>
    <d v="1899-12-30T08:00:00"/>
    <m/>
    <m/>
    <m/>
    <m/>
    <m/>
    <m/>
    <s v="ENV Contractor"/>
    <m/>
    <m/>
    <n v="30"/>
    <n v="8"/>
    <n v="1"/>
    <n v="14"/>
    <n v="9"/>
    <n v="0"/>
    <n v="16"/>
    <n v="0"/>
    <n v="3"/>
    <n v="10"/>
    <n v="0"/>
    <s v="Weaver, Nicole"/>
    <n v="-65"/>
    <n v="0"/>
    <n v="0"/>
    <n v="1"/>
    <n v="0"/>
    <n v="8"/>
    <n v="21"/>
    <n v="2"/>
    <s v="N4"/>
    <n v="14"/>
  </r>
  <r>
    <m/>
    <x v="33"/>
    <s v="A-493-3017"/>
    <s v="31YL"/>
    <x v="0"/>
    <d v="2026-03-27T00:00:00"/>
    <d v="2026-03-27T00:00:00"/>
    <s v="Funded"/>
    <m/>
    <d v="1899-12-30T00:30:00"/>
    <d v="1899-12-30T21:30:00"/>
    <d v="1899-12-30T07:30:00"/>
    <d v="1899-12-30T05:30:00"/>
    <d v="1899-12-30T19:30:00"/>
    <d v="1899-12-30T13:30:00"/>
    <s v="C. Gum"/>
    <m/>
    <m/>
    <n v="1000"/>
    <n v="2.5"/>
    <n v="0.3"/>
    <m/>
    <n v="138"/>
    <n v="0"/>
    <n v="17"/>
    <n v="0"/>
    <n v="0"/>
    <n v="0"/>
    <n v="6"/>
    <s v="AC1 Engleking"/>
    <n v="-64"/>
    <n v="0"/>
    <n v="0"/>
    <n v="1"/>
    <n v="0"/>
    <n v="0"/>
    <n v="862"/>
    <n v="2"/>
    <s v="N8"/>
    <n v="983"/>
  </r>
  <r>
    <s v="NSB Kings Bay"/>
    <x v="13"/>
    <s v="A-493-0012"/>
    <n v="3682"/>
    <x v="11"/>
    <d v="2026-03-30T00:00:00"/>
    <d v="2026-04-03T00:00:00"/>
    <s v="Funded"/>
    <d v="1899-12-30T08:00:00"/>
    <m/>
    <m/>
    <m/>
    <m/>
    <m/>
    <m/>
    <s v="G. Jester"/>
    <m/>
    <m/>
    <n v="40"/>
    <n v="40"/>
    <n v="5"/>
    <n v="30"/>
    <n v="25"/>
    <n v="0"/>
    <n v="26"/>
    <n v="0"/>
    <n v="11"/>
    <n v="3"/>
    <n v="0"/>
    <s v="Weaver, Nicole"/>
    <n v="-57"/>
    <n v="0"/>
    <n v="0"/>
    <n v="1"/>
    <n v="0"/>
    <n v="40"/>
    <n v="15"/>
    <n v="2"/>
    <s v="N4"/>
    <n v="14"/>
  </r>
  <r>
    <s v="NSA Panama City"/>
    <x v="13"/>
    <s v="A-493-0012"/>
    <n v="3682"/>
    <x v="33"/>
    <d v="2026-03-30T00:00:00"/>
    <d v="2026-04-03T00:00:00"/>
    <s v="Funded"/>
    <d v="1899-12-30T08:00:00"/>
    <m/>
    <m/>
    <m/>
    <m/>
    <m/>
    <m/>
    <s v="R. Hartel"/>
    <m/>
    <m/>
    <n v="40"/>
    <n v="40"/>
    <n v="5"/>
    <n v="20"/>
    <n v="32"/>
    <n v="0"/>
    <n v="21"/>
    <n v="0"/>
    <n v="4"/>
    <n v="2"/>
    <n v="0"/>
    <s v="Weaver, Nicole"/>
    <n v="-57"/>
    <n v="0"/>
    <n v="0"/>
    <n v="1"/>
    <n v="0"/>
    <n v="40"/>
    <n v="8"/>
    <n v="2"/>
    <s v="N4"/>
    <n v="19"/>
  </r>
  <r>
    <m/>
    <x v="4"/>
    <s v="A-493-0103"/>
    <s v="12JY"/>
    <x v="9"/>
    <d v="2026-03-30T00:00:00"/>
    <d v="2026-04-03T00:00:00"/>
    <s v="Funded"/>
    <d v="1899-12-30T08:00:00"/>
    <m/>
    <m/>
    <m/>
    <m/>
    <m/>
    <m/>
    <s v="SOH Contractor"/>
    <m/>
    <m/>
    <n v="25"/>
    <n v="40"/>
    <n v="5"/>
    <n v="516"/>
    <n v="25"/>
    <n v="4"/>
    <n v="24"/>
    <n v="0"/>
    <n v="5"/>
    <n v="4"/>
    <n v="0"/>
    <s v="Benzick, Sue"/>
    <n v="-57"/>
    <n v="0"/>
    <n v="0"/>
    <n v="1"/>
    <n v="0"/>
    <n v="40"/>
    <n v="0"/>
    <n v="2"/>
    <s v="N5"/>
    <n v="1"/>
  </r>
  <r>
    <m/>
    <x v="12"/>
    <s v="A-493-0331"/>
    <s v="10UG"/>
    <x v="0"/>
    <d v="2026-03-31T00:00:00"/>
    <d v="2026-04-02T00:00:00"/>
    <s v="Funded"/>
    <m/>
    <d v="1899-12-30T12:00:00"/>
    <d v="1899-12-30T09:00:00"/>
    <d v="1899-12-30T19:00:00"/>
    <d v="1899-12-30T18:00:00"/>
    <d v="1899-12-30T06:00:00"/>
    <d v="1899-12-30T01:00:00"/>
    <s v="A. Hardy"/>
    <s v="D. Hamilton"/>
    <m/>
    <n v="45"/>
    <n v="24"/>
    <n v="3"/>
    <n v="844"/>
    <n v="44"/>
    <n v="3"/>
    <n v="37"/>
    <n v="2"/>
    <n v="8"/>
    <n v="2"/>
    <n v="0"/>
    <s v="Keay, Aaron"/>
    <n v="-58"/>
    <n v="0"/>
    <n v="0"/>
    <n v="1"/>
    <n v="1"/>
    <n v="12"/>
    <n v="1"/>
    <n v="2"/>
    <s v="N3"/>
    <n v="6"/>
  </r>
  <r>
    <s v="Norfolk Naval Shipyard"/>
    <x v="13"/>
    <s v="A-493-0012"/>
    <n v="3682"/>
    <x v="34"/>
    <d v="2026-04-06T00:00:00"/>
    <d v="2026-04-10T00:00:00"/>
    <s v="Funded"/>
    <d v="1899-12-30T08:00:00"/>
    <m/>
    <m/>
    <m/>
    <m/>
    <m/>
    <m/>
    <s v="G. Jester"/>
    <m/>
    <m/>
    <n v="40"/>
    <n v="40"/>
    <n v="5"/>
    <n v="13"/>
    <n v="17"/>
    <n v="0"/>
    <n v="24"/>
    <n v="4"/>
    <n v="2"/>
    <n v="13"/>
    <n v="0"/>
    <s v="Weaver, Nicole"/>
    <n v="-50"/>
    <n v="0"/>
    <n v="0"/>
    <n v="1"/>
    <n v="0"/>
    <n v="40"/>
    <n v="23"/>
    <n v="3"/>
    <s v="N4"/>
    <n v="12"/>
  </r>
  <r>
    <m/>
    <x v="36"/>
    <s v="A-493-0665"/>
    <s v="10K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39"/>
    <n v="0"/>
    <n v="31"/>
    <n v="1"/>
    <n v="6"/>
    <n v="0"/>
    <n v="0"/>
    <s v="AC1 Engleking"/>
    <n v="-52"/>
    <n v="0"/>
    <n v="0"/>
    <n v="1"/>
    <n v="0"/>
    <n v="24"/>
    <n v="6"/>
    <n v="3"/>
    <s v="N8"/>
    <n v="13"/>
  </r>
  <r>
    <m/>
    <x v="4"/>
    <s v="A-493-0103"/>
    <s v="12JY"/>
    <x v="6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116"/>
    <n v="10"/>
    <n v="0"/>
    <n v="13"/>
    <n v="0"/>
    <n v="0"/>
    <n v="3"/>
    <n v="0"/>
    <s v="Benzick, Sue"/>
    <n v="-50"/>
    <n v="0"/>
    <n v="0"/>
    <n v="1"/>
    <n v="0"/>
    <n v="40"/>
    <n v="15"/>
    <n v="3"/>
    <s v="N5"/>
    <n v="12"/>
  </r>
  <r>
    <m/>
    <x v="4"/>
    <s v="A-493-0103"/>
    <s v="12JY"/>
    <x v="10"/>
    <d v="2026-04-06T00:00:00"/>
    <d v="2026-04-10T00:00:00"/>
    <s v="Funded"/>
    <d v="1899-12-30T08:00:00"/>
    <m/>
    <m/>
    <m/>
    <m/>
    <m/>
    <m/>
    <s v="SOH Contractor"/>
    <m/>
    <m/>
    <n v="25"/>
    <n v="40"/>
    <n v="5"/>
    <n v="225"/>
    <n v="20"/>
    <n v="0"/>
    <n v="20"/>
    <n v="0"/>
    <n v="1"/>
    <n v="1"/>
    <n v="0"/>
    <s v="Benzick, Sue"/>
    <n v="-50"/>
    <n v="0"/>
    <n v="0"/>
    <n v="1"/>
    <n v="0"/>
    <n v="40"/>
    <n v="5"/>
    <n v="3"/>
    <s v="N5"/>
    <n v="5"/>
  </r>
  <r>
    <m/>
    <x v="7"/>
    <s v="A-493-0078"/>
    <n v="1228"/>
    <x v="0"/>
    <d v="2026-06-15T00:00:00"/>
    <d v="2026-06-18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41"/>
    <n v="0"/>
    <m/>
    <m/>
    <m/>
    <m/>
    <m/>
    <m/>
    <n v="19"/>
    <n v="1"/>
    <n v="1"/>
    <n v="1"/>
    <n v="0"/>
    <n v="32"/>
    <n v="4"/>
    <n v="3"/>
    <s v="N5"/>
    <n v="45"/>
  </r>
  <r>
    <m/>
    <x v="38"/>
    <s v="A-570-0100"/>
    <s v="18B7"/>
    <x v="0"/>
    <d v="2026-04-06T00:00:00"/>
    <d v="2026-04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n v="13"/>
    <n v="0"/>
    <n v="11"/>
    <n v="0"/>
    <n v="5"/>
    <n v="0"/>
    <n v="0"/>
    <s v="Keay, Aaron"/>
    <n v="-53"/>
    <n v="0"/>
    <n v="0"/>
    <n v="1"/>
    <n v="0"/>
    <n v="16"/>
    <n v="32"/>
    <n v="3"/>
    <s v="N8"/>
    <n v="34"/>
  </r>
  <r>
    <m/>
    <x v="3"/>
    <s v="A-493-0072"/>
    <s v="713U"/>
    <x v="2"/>
    <d v="2026-04-06T00:00:00"/>
    <d v="2026-04-10T00:00:00"/>
    <s v="Funded"/>
    <d v="1899-12-30T08:00:00"/>
    <m/>
    <m/>
    <m/>
    <m/>
    <m/>
    <m/>
    <s v="K. Seo"/>
    <s v="A. Hardy"/>
    <m/>
    <n v="30"/>
    <n v="40"/>
    <n v="5"/>
    <n v="178"/>
    <n v="29"/>
    <n v="2"/>
    <n v="30"/>
    <n v="0"/>
    <n v="2"/>
    <n v="0"/>
    <n v="0"/>
    <s v="Keay, Aaron"/>
    <n v="-50"/>
    <n v="0"/>
    <n v="0"/>
    <n v="1"/>
    <n v="1"/>
    <n v="20"/>
    <n v="1"/>
    <n v="3"/>
    <s v="N3"/>
    <n v="0"/>
  </r>
  <r>
    <s v="USMC-Do not spread quotas"/>
    <x v="3"/>
    <s v="A-493-0072"/>
    <s v="713U"/>
    <x v="35"/>
    <d v="2026-04-06T00:00:00"/>
    <d v="2026-04-10T00:00:00"/>
    <s v="Funded"/>
    <d v="1899-12-30T08:00:00"/>
    <m/>
    <m/>
    <m/>
    <m/>
    <m/>
    <m/>
    <s v="A. Harris"/>
    <m/>
    <s v="Nicole"/>
    <n v="30"/>
    <n v="40"/>
    <n v="5"/>
    <n v="36"/>
    <n v="30"/>
    <n v="0"/>
    <n v="20"/>
    <n v="0"/>
    <n v="4"/>
    <n v="0"/>
    <n v="0"/>
    <s v="Keay, Aaron"/>
    <n v="-50"/>
    <n v="0"/>
    <n v="0"/>
    <n v="1"/>
    <n v="0"/>
    <n v="40"/>
    <n v="0"/>
    <n v="3"/>
    <s v="N3"/>
    <n v="10"/>
  </r>
  <r>
    <m/>
    <x v="8"/>
    <s v="A-493-2098"/>
    <s v="09WW"/>
    <x v="0"/>
    <d v="2026-04-06T00:00:00"/>
    <d v="2026-04-08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88"/>
    <n v="4"/>
    <n v="60"/>
    <n v="6"/>
    <n v="36"/>
    <n v="3"/>
    <n v="0"/>
    <s v="Weaver, Nicole"/>
    <n v="-52"/>
    <n v="0"/>
    <n v="0"/>
    <n v="1"/>
    <n v="0"/>
    <n v="16"/>
    <n v="12"/>
    <n v="3"/>
    <s v="N8"/>
    <n v="34"/>
  </r>
  <r>
    <m/>
    <x v="48"/>
    <s v="A-493-0077"/>
    <s v="0381"/>
    <x v="36"/>
    <d v="2026-04-07T00:00:00"/>
    <d v="2026-04-09T00:00:00"/>
    <s v="Funded"/>
    <d v="1899-12-30T08:00:00"/>
    <m/>
    <m/>
    <m/>
    <m/>
    <m/>
    <m/>
    <s v="ENV Contractor"/>
    <m/>
    <m/>
    <n v="25"/>
    <n v="24"/>
    <n v="3"/>
    <n v="37"/>
    <n v="6"/>
    <n v="0"/>
    <n v="10"/>
    <n v="0"/>
    <n v="0"/>
    <n v="4"/>
    <n v="0"/>
    <s v="Weaver, Nicole"/>
    <n v="-51"/>
    <n v="0"/>
    <n v="0"/>
    <n v="1"/>
    <n v="0"/>
    <n v="24"/>
    <n v="19"/>
    <n v="3"/>
    <s v="N4"/>
    <n v="15"/>
  </r>
  <r>
    <m/>
    <x v="10"/>
    <s v="A-493-0083"/>
    <s v="339E"/>
    <x v="36"/>
    <d v="2026-04-10T00:00:00"/>
    <d v="2026-04-10T00:00:00"/>
    <s v="Funded"/>
    <d v="1899-12-30T08:00:00"/>
    <m/>
    <m/>
    <m/>
    <m/>
    <m/>
    <m/>
    <s v="ENV Contractor"/>
    <m/>
    <m/>
    <n v="30"/>
    <n v="8"/>
    <n v="1"/>
    <n v="35"/>
    <n v="10"/>
    <n v="0"/>
    <n v="14"/>
    <n v="0"/>
    <n v="2"/>
    <n v="6"/>
    <n v="0"/>
    <s v="Weaver, Nicole"/>
    <n v="-50"/>
    <n v="0"/>
    <n v="0"/>
    <n v="1"/>
    <n v="0"/>
    <n v="8"/>
    <n v="20"/>
    <n v="3"/>
    <s v="N4"/>
    <n v="16"/>
  </r>
  <r>
    <m/>
    <x v="48"/>
    <s v="A-493-0077"/>
    <s v="0381"/>
    <x v="32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19"/>
    <n v="0"/>
    <n v="18"/>
    <n v="0"/>
    <n v="5"/>
    <n v="4"/>
    <n v="0"/>
    <s v="Weaver, Nicole"/>
    <n v="-45"/>
    <n v="0"/>
    <n v="0"/>
    <n v="1"/>
    <n v="0"/>
    <n v="24"/>
    <n v="6"/>
    <n v="3"/>
    <s v="N4"/>
    <n v="7"/>
  </r>
  <r>
    <m/>
    <x v="48"/>
    <s v="A-493-0077"/>
    <s v="0381"/>
    <x v="37"/>
    <d v="2026-04-13T00:00:00"/>
    <d v="2026-04-15T00:00:00"/>
    <s v="Funded"/>
    <d v="1899-12-30T08:00:00"/>
    <m/>
    <m/>
    <m/>
    <m/>
    <m/>
    <m/>
    <s v="ENV Contractor"/>
    <m/>
    <m/>
    <n v="25"/>
    <n v="24"/>
    <n v="3"/>
    <n v="32"/>
    <n v="15"/>
    <n v="0"/>
    <n v="13"/>
    <n v="0"/>
    <n v="3"/>
    <n v="2"/>
    <n v="0"/>
    <s v="Weaver, Nicole"/>
    <n v="-45"/>
    <n v="0"/>
    <n v="0"/>
    <n v="1"/>
    <n v="0"/>
    <n v="24"/>
    <n v="10"/>
    <n v="3"/>
    <s v="N4"/>
    <n v="12"/>
  </r>
  <r>
    <m/>
    <x v="4"/>
    <s v="A-493-0103"/>
    <s v="12JY"/>
    <x v="6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116"/>
    <n v="13"/>
    <n v="0"/>
    <n v="14"/>
    <n v="0"/>
    <n v="2"/>
    <n v="2"/>
    <n v="0"/>
    <s v="Benzick, Sue"/>
    <n v="-43"/>
    <n v="0"/>
    <n v="0"/>
    <n v="1"/>
    <n v="0"/>
    <n v="40"/>
    <n v="12"/>
    <n v="3"/>
    <s v="N5"/>
    <n v="11"/>
  </r>
  <r>
    <m/>
    <x v="4"/>
    <s v="A-493-0103"/>
    <s v="12JY"/>
    <x v="13"/>
    <d v="2026-04-13T00:00:00"/>
    <d v="2026-04-17T00:00:00"/>
    <s v="Funded"/>
    <d v="1899-12-30T08:00:00"/>
    <m/>
    <m/>
    <m/>
    <m/>
    <m/>
    <m/>
    <s v="SOH Contractor"/>
    <m/>
    <m/>
    <n v="25"/>
    <n v="40"/>
    <n v="5"/>
    <n v="84"/>
    <n v="20"/>
    <n v="0"/>
    <n v="21"/>
    <n v="0"/>
    <n v="1"/>
    <n v="2"/>
    <n v="0"/>
    <s v="Benzick, Sue"/>
    <n v="-43"/>
    <n v="0"/>
    <n v="0"/>
    <n v="1"/>
    <n v="0"/>
    <n v="40"/>
    <n v="5"/>
    <n v="3"/>
    <s v="N5"/>
    <n v="4"/>
  </r>
  <r>
    <m/>
    <x v="54"/>
    <s v="A-493-0021"/>
    <s v="18BN"/>
    <x v="2"/>
    <d v="2026-04-13T00:00:00"/>
    <d v="2026-04-17T00:00:00"/>
    <s v="Funded"/>
    <d v="1899-12-30T08:00:00"/>
    <m/>
    <m/>
    <m/>
    <m/>
    <m/>
    <m/>
    <s v="SOH Contractor"/>
    <m/>
    <m/>
    <n v="35"/>
    <n v="30"/>
    <n v="5"/>
    <n v="33"/>
    <n v="18"/>
    <n v="0"/>
    <n v="17"/>
    <n v="0"/>
    <n v="1"/>
    <n v="0"/>
    <n v="0"/>
    <s v="Benzick, Sue"/>
    <n v="-43"/>
    <n v="0"/>
    <n v="0"/>
    <n v="1"/>
    <n v="0"/>
    <n v="30"/>
    <n v="17"/>
    <n v="3"/>
    <s v="N5"/>
    <n v="18"/>
  </r>
  <r>
    <s v="QTR 3 All Hands @0900"/>
    <x v="44"/>
    <s v="Function"/>
    <s v="Function"/>
    <x v="4"/>
    <d v="2026-04-13T00:00:00"/>
    <d v="2026-04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47"/>
    <n v="0"/>
    <n v="0"/>
    <n v="1"/>
    <n v="0"/>
    <n v="0"/>
    <m/>
    <n v="3"/>
    <s v="TSD"/>
    <n v="0"/>
  </r>
  <r>
    <s v="PDS Prep Week"/>
    <x v="55"/>
    <s v="PDS"/>
    <s v="PDS"/>
    <x v="38"/>
    <d v="2026-04-13T00:00:00"/>
    <d v="2026-04-17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43"/>
    <n v="0"/>
    <n v="0"/>
    <n v="1"/>
    <n v="0"/>
    <n v="0"/>
    <m/>
    <n v="3"/>
    <s v="TSD"/>
    <n v="0"/>
  </r>
  <r>
    <m/>
    <x v="18"/>
    <s v="A-493-3002"/>
    <s v="31V4"/>
    <x v="0"/>
    <d v="2026-04-13T00:00:00"/>
    <d v="2026-04-13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4"/>
    <n v="0.5"/>
    <m/>
    <n v="54"/>
    <n v="0"/>
    <n v="18"/>
    <n v="0"/>
    <n v="0"/>
    <n v="0"/>
    <n v="0"/>
    <s v="AC1 Engleking"/>
    <n v="-47"/>
    <n v="0"/>
    <n v="0"/>
    <n v="1"/>
    <n v="0"/>
    <n v="0"/>
    <n v="946"/>
    <n v="3"/>
    <s v="N8"/>
    <n v="982"/>
  </r>
  <r>
    <m/>
    <x v="19"/>
    <s v="A-493-3003"/>
    <s v="31V5"/>
    <x v="0"/>
    <d v="2026-04-13T00:00:00"/>
    <d v="2026-04-13T00:00:00"/>
    <s v="Funded"/>
    <m/>
    <d v="1899-12-30T14:00:00"/>
    <d v="1899-12-30T10:00:00"/>
    <d v="1899-12-30T20:00:00"/>
    <d v="1899-12-30T19:00:00"/>
    <d v="1899-12-30T08:00:00"/>
    <d v="1899-12-30T02:00:00"/>
    <s v="M. Bailey"/>
    <m/>
    <m/>
    <n v="1000"/>
    <n v="0.75"/>
    <n v="0.1"/>
    <m/>
    <n v="54"/>
    <n v="0"/>
    <n v="13"/>
    <n v="0"/>
    <n v="0"/>
    <n v="0"/>
    <n v="0"/>
    <s v="AC1 Engleking"/>
    <n v="-47"/>
    <n v="0"/>
    <n v="0"/>
    <n v="1"/>
    <n v="0"/>
    <n v="0"/>
    <n v="946"/>
    <n v="3"/>
    <s v="N8"/>
    <n v="987"/>
  </r>
  <r>
    <m/>
    <x v="20"/>
    <s v="A-493-3006"/>
    <s v="31V8"/>
    <x v="0"/>
    <d v="2026-04-13T00:00:00"/>
    <d v="2026-04-13T00:00:00"/>
    <s v="Funded"/>
    <m/>
    <d v="1899-12-30T13:00:00"/>
    <d v="1899-12-30T11:00:00"/>
    <d v="1899-12-30T21:00:00"/>
    <d v="1899-12-30T20:00:00"/>
    <d v="1899-12-30T09:00:00"/>
    <d v="1899-12-30T03:00:00"/>
    <s v="M. Bailey"/>
    <m/>
    <m/>
    <n v="1000"/>
    <n v="0.75"/>
    <n v="0.1"/>
    <m/>
    <n v="54"/>
    <n v="0"/>
    <n v="21"/>
    <n v="0"/>
    <n v="0"/>
    <n v="0"/>
    <n v="0"/>
    <s v="AC1 Engleking"/>
    <n v="-47"/>
    <n v="0"/>
    <n v="0"/>
    <n v="1"/>
    <n v="0"/>
    <n v="0"/>
    <n v="946"/>
    <n v="3"/>
    <s v="N8"/>
    <n v="979"/>
  </r>
  <r>
    <m/>
    <x v="21"/>
    <s v="A-493-3007"/>
    <s v="31V9"/>
    <x v="0"/>
    <d v="2026-04-13T00:00:00"/>
    <d v="2026-04-13T00:00:00"/>
    <s v="Funded"/>
    <m/>
    <d v="1899-12-30T15:00:00"/>
    <d v="1899-12-30T12:00:00"/>
    <d v="1899-12-30T22:00:00"/>
    <d v="1899-12-30T21:00:00"/>
    <d v="1899-12-30T10:00:00"/>
    <d v="1899-12-30T04:00:00"/>
    <s v="M. Bailey"/>
    <m/>
    <m/>
    <n v="1000"/>
    <n v="0.75"/>
    <n v="0.1"/>
    <m/>
    <n v="54"/>
    <n v="0"/>
    <n v="23"/>
    <n v="0"/>
    <n v="0"/>
    <n v="0"/>
    <n v="0"/>
    <s v="AC1 Engleking"/>
    <n v="-47"/>
    <n v="0"/>
    <n v="0"/>
    <n v="1"/>
    <n v="0"/>
    <n v="0"/>
    <n v="946"/>
    <n v="3"/>
    <s v="N8"/>
    <n v="977"/>
  </r>
  <r>
    <m/>
    <x v="12"/>
    <s v="A-493-0331"/>
    <s v="10UG"/>
    <x v="0"/>
    <d v="2026-04-14T00:00:00"/>
    <d v="2026-04-16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24"/>
    <n v="3"/>
    <m/>
    <n v="45"/>
    <n v="3"/>
    <n v="37"/>
    <n v="0"/>
    <n v="9"/>
    <n v="1"/>
    <n v="0"/>
    <s v="Keay, Aaron"/>
    <n v="-44"/>
    <n v="0"/>
    <n v="0"/>
    <n v="1"/>
    <n v="0"/>
    <n v="24"/>
    <n v="0"/>
    <n v="3"/>
    <s v="N3"/>
    <n v="8"/>
  </r>
  <r>
    <m/>
    <x v="2"/>
    <s v="A-493-2501"/>
    <s v="05ZE"/>
    <x v="39"/>
    <d v="2026-04-14T00:00:00"/>
    <d v="2026-04-14T00:00:00"/>
    <s v="Funded"/>
    <d v="1899-12-30T08:00:00"/>
    <m/>
    <m/>
    <m/>
    <m/>
    <m/>
    <m/>
    <s v="ENV Contractor"/>
    <m/>
    <m/>
    <n v="30"/>
    <n v="8"/>
    <n v="1"/>
    <n v="16"/>
    <n v="25"/>
    <n v="0"/>
    <n v="23"/>
    <n v="0"/>
    <n v="4"/>
    <n v="2"/>
    <n v="0"/>
    <s v="Weaver, Nicole"/>
    <n v="-46"/>
    <n v="0"/>
    <n v="0"/>
    <n v="1"/>
    <n v="0"/>
    <n v="8"/>
    <n v="5"/>
    <n v="3"/>
    <s v="N4"/>
    <n v="7"/>
  </r>
  <r>
    <m/>
    <x v="22"/>
    <s v="A-493-3011"/>
    <s v="31VD"/>
    <x v="0"/>
    <d v="2026-04-14T00:00:00"/>
    <d v="2026-04-14T00:00:00"/>
    <s v="Funded"/>
    <m/>
    <d v="1899-12-30T13:00:00"/>
    <d v="1899-12-30T10:00:00"/>
    <d v="1899-12-30T20:00:00"/>
    <d v="1899-12-30T19:00:00"/>
    <d v="1899-12-30T08:00:00"/>
    <d v="1899-12-30T02:00:00"/>
    <s v="M. Bailey"/>
    <m/>
    <m/>
    <n v="1000"/>
    <n v="2.5"/>
    <n v="0.3"/>
    <m/>
    <n v="54"/>
    <n v="0"/>
    <n v="22"/>
    <n v="0"/>
    <n v="0"/>
    <n v="0"/>
    <n v="0"/>
    <s v="AC1 Engleking"/>
    <n v="-46"/>
    <n v="0"/>
    <n v="0"/>
    <n v="1"/>
    <n v="0"/>
    <n v="0"/>
    <n v="946"/>
    <n v="3"/>
    <s v="N8"/>
    <n v="978"/>
  </r>
  <r>
    <m/>
    <x v="23"/>
    <s v="A-493-3010"/>
    <s v="31VC"/>
    <x v="0"/>
    <d v="2026-04-14T00:00:00"/>
    <d v="2026-04-14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3.5"/>
    <n v="0.4"/>
    <m/>
    <n v="54"/>
    <n v="0"/>
    <n v="23"/>
    <n v="0"/>
    <n v="0"/>
    <n v="0"/>
    <n v="0"/>
    <s v="AC1 Engleking"/>
    <n v="-46"/>
    <n v="0"/>
    <n v="0"/>
    <n v="1"/>
    <n v="0"/>
    <n v="0"/>
    <n v="946"/>
    <n v="3"/>
    <s v="N8"/>
    <n v="977"/>
  </r>
  <r>
    <m/>
    <x v="24"/>
    <s v="A-493-3018"/>
    <s v="31YM"/>
    <x v="0"/>
    <d v="2026-04-15T00:00:00"/>
    <d v="2026-04-15T00:00:00"/>
    <s v="Funded"/>
    <m/>
    <d v="1899-12-30T14:30:00"/>
    <d v="1899-12-30T11:30:00"/>
    <d v="1899-12-30T21:30:00"/>
    <d v="1899-12-30T20:30:00"/>
    <d v="1899-12-30T09:30:00"/>
    <d v="1899-12-30T03:00:00"/>
    <s v="M. Bailey"/>
    <m/>
    <m/>
    <n v="1000"/>
    <n v="2.5"/>
    <n v="0.3"/>
    <m/>
    <n v="54"/>
    <n v="0"/>
    <n v="11"/>
    <n v="0"/>
    <n v="0"/>
    <n v="0"/>
    <n v="0"/>
    <s v="AC1 Engleking"/>
    <n v="-45"/>
    <n v="0"/>
    <n v="0"/>
    <n v="1"/>
    <n v="0"/>
    <n v="0"/>
    <n v="946"/>
    <n v="3"/>
    <s v="N8"/>
    <n v="989"/>
  </r>
  <r>
    <m/>
    <x v="25"/>
    <s v="A-493-3004"/>
    <s v="31V6"/>
    <x v="0"/>
    <d v="2026-04-15T00:00:00"/>
    <d v="2026-04-15T00:00:00"/>
    <s v="Funded"/>
    <m/>
    <d v="1899-12-30T12:30:00"/>
    <d v="1899-12-30T09:30:00"/>
    <d v="1899-12-30T19:30:00"/>
    <d v="1899-12-30T18:30:00"/>
    <d v="1899-12-30T07:30:00"/>
    <d v="1899-12-30T01:30:00"/>
    <s v="M. Bailey"/>
    <m/>
    <m/>
    <n v="1000"/>
    <n v="1.5"/>
    <n v="0.2"/>
    <m/>
    <n v="54"/>
    <n v="0"/>
    <n v="20"/>
    <n v="0"/>
    <n v="0"/>
    <n v="0"/>
    <n v="0"/>
    <s v="AC1 Engleking"/>
    <n v="-45"/>
    <n v="0"/>
    <n v="0"/>
    <n v="1"/>
    <n v="0"/>
    <n v="0"/>
    <n v="946"/>
    <n v="3"/>
    <s v="N8"/>
    <n v="980"/>
  </r>
  <r>
    <m/>
    <x v="26"/>
    <s v="A-493-3001"/>
    <s v="31V3"/>
    <x v="0"/>
    <d v="2026-04-15T00:00:00"/>
    <d v="2026-04-15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2"/>
    <n v="0.25"/>
    <m/>
    <n v="54"/>
    <n v="0"/>
    <n v="19"/>
    <n v="0"/>
    <n v="0"/>
    <n v="0"/>
    <n v="0"/>
    <s v="AC1 Engleking"/>
    <n v="-45"/>
    <n v="0"/>
    <n v="0"/>
    <n v="1"/>
    <n v="0"/>
    <n v="0"/>
    <n v="946"/>
    <n v="3"/>
    <s v="N8"/>
    <n v="981"/>
  </r>
  <r>
    <m/>
    <x v="27"/>
    <s v="A-493-3013"/>
    <s v="31YG"/>
    <x v="0"/>
    <d v="2026-04-16T00:00:00"/>
    <d v="2026-04-16T00:00:00"/>
    <s v="Funded"/>
    <m/>
    <d v="1899-12-30T10:30:00"/>
    <d v="1899-12-30T07:30:00"/>
    <d v="1899-12-30T17:30:00"/>
    <d v="1899-12-30T16:30:00"/>
    <d v="1899-12-30T05:30:00"/>
    <d v="1899-12-30T23:30:00"/>
    <s v="M. Bailey"/>
    <m/>
    <m/>
    <n v="1000"/>
    <n v="1"/>
    <n v="0.1"/>
    <m/>
    <n v="54"/>
    <n v="0"/>
    <n v="18"/>
    <n v="0"/>
    <n v="0"/>
    <n v="0"/>
    <n v="0"/>
    <s v="AC1 Engleking"/>
    <n v="-44"/>
    <n v="0"/>
    <n v="0"/>
    <n v="1"/>
    <n v="0"/>
    <n v="0"/>
    <n v="946"/>
    <n v="3"/>
    <s v="N8"/>
    <n v="982"/>
  </r>
  <r>
    <m/>
    <x v="28"/>
    <s v="A-493-3014"/>
    <s v="31Yh"/>
    <x v="0"/>
    <d v="2026-04-16T00:00:00"/>
    <d v="2026-04-16T00:00:00"/>
    <s v="Funded"/>
    <m/>
    <d v="1899-12-30T12:30:00"/>
    <d v="1899-12-30T09:30:00"/>
    <d v="1899-12-30T19:30:00"/>
    <d v="1899-12-30T18:30:00"/>
    <d v="1899-12-30T07:30:00"/>
    <d v="1899-12-30T01:30:00"/>
    <s v="M. Bailey"/>
    <m/>
    <m/>
    <n v="1000"/>
    <n v="0.75"/>
    <n v="0.1"/>
    <m/>
    <n v="54"/>
    <n v="0"/>
    <n v="14"/>
    <n v="0"/>
    <n v="0"/>
    <n v="0"/>
    <n v="0"/>
    <s v="AC1 Engleking"/>
    <n v="-44"/>
    <n v="0"/>
    <n v="0"/>
    <n v="1"/>
    <n v="0"/>
    <n v="0"/>
    <n v="946"/>
    <n v="3"/>
    <s v="N8"/>
    <n v="986"/>
  </r>
  <r>
    <m/>
    <x v="29"/>
    <s v="A-493-3015"/>
    <s v="31YJ"/>
    <x v="0"/>
    <d v="2026-04-16T00:00:00"/>
    <d v="2026-04-16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1"/>
    <n v="0.1"/>
    <m/>
    <n v="54"/>
    <n v="0"/>
    <n v="18"/>
    <n v="0"/>
    <n v="0"/>
    <n v="0"/>
    <n v="0"/>
    <s v="AC1 Engleking"/>
    <n v="-44"/>
    <n v="0"/>
    <n v="0"/>
    <n v="1"/>
    <n v="0"/>
    <n v="0"/>
    <n v="946"/>
    <n v="3"/>
    <s v="N8"/>
    <n v="982"/>
  </r>
  <r>
    <m/>
    <x v="30"/>
    <s v="A-493-3016"/>
    <s v="31Yk"/>
    <x v="0"/>
    <d v="2026-04-16T00:00:00"/>
    <d v="2026-04-16T00:00:00"/>
    <s v="Funded"/>
    <m/>
    <d v="1899-12-30T14:30:00"/>
    <d v="1899-12-30T11:30:00"/>
    <d v="1899-12-30T21:30:00"/>
    <d v="1899-12-30T20:30:00"/>
    <d v="1899-12-30T09:30:00"/>
    <d v="1899-12-30T03:00:00"/>
    <s v="M. Bailey"/>
    <m/>
    <m/>
    <n v="1000"/>
    <n v="1"/>
    <n v="0.1"/>
    <m/>
    <n v="54"/>
    <n v="0"/>
    <n v="17"/>
    <n v="0"/>
    <n v="0"/>
    <n v="0"/>
    <n v="0"/>
    <s v="AC1 Engleking"/>
    <n v="-44"/>
    <n v="0"/>
    <n v="0"/>
    <n v="1"/>
    <n v="0"/>
    <n v="0"/>
    <n v="946"/>
    <n v="3"/>
    <s v="N8"/>
    <n v="983"/>
  </r>
  <r>
    <m/>
    <x v="10"/>
    <s v="A-493-0083"/>
    <s v="339E"/>
    <x v="32"/>
    <d v="2026-04-16T00:00:00"/>
    <d v="2026-04-16T00:00:00"/>
    <s v="Funded"/>
    <d v="1899-12-30T08:00:00"/>
    <m/>
    <m/>
    <m/>
    <m/>
    <m/>
    <m/>
    <s v="ENV Contractor"/>
    <m/>
    <m/>
    <n v="30"/>
    <n v="8"/>
    <n v="1"/>
    <n v="22"/>
    <n v="1"/>
    <n v="0"/>
    <n v="1"/>
    <n v="0"/>
    <n v="0"/>
    <n v="0"/>
    <n v="0"/>
    <s v="Weaver, Nicole"/>
    <n v="-44"/>
    <n v="0"/>
    <n v="0"/>
    <n v="1"/>
    <n v="0"/>
    <n v="8"/>
    <n v="29"/>
    <n v="3"/>
    <s v="N4"/>
    <n v="29"/>
  </r>
  <r>
    <m/>
    <x v="10"/>
    <s v="A-493-0083"/>
    <s v="339E"/>
    <x v="37"/>
    <d v="2026-04-16T00:00:00"/>
    <d v="2026-04-16T00:00:00"/>
    <s v="Funded"/>
    <d v="1899-12-30T08:00:00"/>
    <m/>
    <m/>
    <m/>
    <m/>
    <m/>
    <m/>
    <s v="ENV Contractor"/>
    <m/>
    <m/>
    <n v="30"/>
    <n v="8"/>
    <n v="1"/>
    <n v="32"/>
    <n v="6"/>
    <n v="0"/>
    <n v="5"/>
    <n v="0"/>
    <n v="2"/>
    <n v="1"/>
    <n v="0"/>
    <s v="Weaver, Nicole"/>
    <n v="-44"/>
    <n v="0"/>
    <n v="0"/>
    <n v="1"/>
    <n v="0"/>
    <n v="8"/>
    <n v="24"/>
    <n v="3"/>
    <s v="N4"/>
    <n v="25"/>
  </r>
  <r>
    <m/>
    <x v="2"/>
    <s v="A-493-2501"/>
    <s v="05ZE"/>
    <x v="24"/>
    <d v="2026-04-17T00:00:00"/>
    <d v="2026-04-17T00:00:00"/>
    <s v="Funded"/>
    <d v="1899-12-30T08:00:00"/>
    <m/>
    <m/>
    <m/>
    <m/>
    <m/>
    <m/>
    <s v="ENV Contractor"/>
    <m/>
    <m/>
    <n v="30"/>
    <n v="8"/>
    <n v="1"/>
    <n v="34"/>
    <n v="12"/>
    <n v="0"/>
    <n v="8"/>
    <n v="0"/>
    <n v="6"/>
    <n v="0"/>
    <n v="0"/>
    <s v="Weaver, Nicole"/>
    <n v="-43"/>
    <n v="0"/>
    <n v="0"/>
    <n v="1"/>
    <n v="0"/>
    <n v="8"/>
    <n v="18"/>
    <n v="3"/>
    <s v="N4"/>
    <n v="22"/>
  </r>
  <r>
    <m/>
    <x v="32"/>
    <s v="A-493-3005"/>
    <s v="31V7"/>
    <x v="0"/>
    <d v="2026-04-17T00:00:00"/>
    <d v="2026-04-17T00:00:00"/>
    <s v="Funded"/>
    <m/>
    <d v="1899-12-30T11:45:00"/>
    <d v="1899-12-30T08:45:00"/>
    <d v="1899-12-30T18:45:00"/>
    <d v="1899-12-30T17:45:00"/>
    <d v="1899-12-30T06:45:00"/>
    <d v="1899-12-30T00:45:00"/>
    <s v="M. Bailey"/>
    <m/>
    <m/>
    <n v="1000"/>
    <n v="2"/>
    <n v="0.25"/>
    <m/>
    <n v="54"/>
    <n v="0"/>
    <n v="20"/>
    <n v="0"/>
    <n v="0"/>
    <n v="0"/>
    <n v="0"/>
    <s v="AC1 Engleking"/>
    <n v="-43"/>
    <n v="0"/>
    <n v="0"/>
    <n v="1"/>
    <n v="0"/>
    <n v="0"/>
    <n v="946"/>
    <n v="3"/>
    <s v="N8"/>
    <n v="980"/>
  </r>
  <r>
    <m/>
    <x v="33"/>
    <s v="A-493-3017"/>
    <s v="31YL"/>
    <x v="0"/>
    <d v="2026-04-17T00:00:00"/>
    <d v="2026-04-17T00:00:00"/>
    <s v="Funded"/>
    <m/>
    <d v="1899-12-30T12:45:00"/>
    <d v="1899-12-30T09:45:00"/>
    <d v="1899-12-30T19:45:00"/>
    <d v="1899-12-30T18:45:00"/>
    <d v="1899-12-30T07:45:00"/>
    <d v="1899-12-30T01:45:00"/>
    <s v="M. Bailey"/>
    <m/>
    <m/>
    <n v="1000"/>
    <n v="2.5"/>
    <n v="0.3"/>
    <m/>
    <n v="54"/>
    <n v="0"/>
    <n v="17"/>
    <n v="0"/>
    <n v="0"/>
    <n v="0"/>
    <n v="0"/>
    <s v="AC1 Engleking"/>
    <n v="-43"/>
    <n v="0"/>
    <n v="0"/>
    <n v="1"/>
    <n v="0"/>
    <n v="0"/>
    <n v="946"/>
    <n v="3"/>
    <s v="N8"/>
    <n v="983"/>
  </r>
  <r>
    <m/>
    <x v="34"/>
    <s v="A-493-3008"/>
    <s v="31VA"/>
    <x v="0"/>
    <d v="2026-04-17T00:00:00"/>
    <d v="2026-04-17T00:00:00"/>
    <s v="Funded"/>
    <m/>
    <d v="1899-12-30T09:00:00"/>
    <d v="1899-12-30T06:00:00"/>
    <d v="1899-12-30T16:00:00"/>
    <d v="1899-12-30T15:00:00"/>
    <d v="1899-12-30T04:00:00"/>
    <d v="1899-12-30T22:00:00"/>
    <s v="M. Bailey"/>
    <m/>
    <m/>
    <n v="1000"/>
    <n v="1"/>
    <n v="0.1"/>
    <m/>
    <n v="54"/>
    <n v="0"/>
    <n v="18"/>
    <n v="0"/>
    <n v="0"/>
    <n v="0"/>
    <n v="0"/>
    <s v="AC1 Engleking"/>
    <n v="-43"/>
    <n v="0"/>
    <n v="0"/>
    <n v="1"/>
    <n v="0"/>
    <n v="0"/>
    <n v="946"/>
    <n v="3"/>
    <s v="N8"/>
    <n v="982"/>
  </r>
  <r>
    <m/>
    <x v="31"/>
    <s v="A-493-3012"/>
    <s v="31YF"/>
    <x v="0"/>
    <d v="2026-04-17T00:00:00"/>
    <d v="2026-04-17T00:00:00"/>
    <s v="Funded"/>
    <m/>
    <d v="1899-12-30T08:00:00"/>
    <d v="1899-12-30T05:00:00"/>
    <d v="1899-12-30T15:00:00"/>
    <d v="1899-12-30T14:00:00"/>
    <d v="1899-12-30T03:00:00"/>
    <d v="1899-12-30T21:00:00"/>
    <s v="M. Bailey"/>
    <m/>
    <m/>
    <n v="1000"/>
    <n v="1"/>
    <n v="0.1"/>
    <m/>
    <n v="54"/>
    <n v="0"/>
    <n v="17"/>
    <n v="0"/>
    <n v="0"/>
    <n v="0"/>
    <n v="0"/>
    <s v="AC1 Engleking"/>
    <n v="-43"/>
    <n v="0"/>
    <n v="0"/>
    <n v="1"/>
    <n v="0"/>
    <n v="0"/>
    <n v="946"/>
    <n v="3"/>
    <s v="N8"/>
    <n v="983"/>
  </r>
  <r>
    <m/>
    <x v="35"/>
    <s v="A-493-3009"/>
    <s v="31VB"/>
    <x v="0"/>
    <d v="2026-04-17T00:00:00"/>
    <d v="2026-04-17T00:00:00"/>
    <s v="Funded"/>
    <m/>
    <d v="1899-12-30T10:30:00"/>
    <d v="1899-12-30T07:30:00"/>
    <d v="1899-12-30T17:30:00"/>
    <d v="1899-12-30T16:30:00"/>
    <d v="1899-12-30T05:30:00"/>
    <d v="1899-12-30T23:30:00"/>
    <s v="M. Bailey"/>
    <m/>
    <m/>
    <n v="1000"/>
    <n v="1"/>
    <n v="0.1"/>
    <m/>
    <n v="54"/>
    <n v="0"/>
    <n v="16"/>
    <n v="0"/>
    <n v="0"/>
    <n v="0"/>
    <n v="0"/>
    <s v="AC1 Engleking"/>
    <n v="-43"/>
    <n v="0"/>
    <n v="0"/>
    <n v="1"/>
    <n v="0"/>
    <n v="0"/>
    <n v="946"/>
    <n v="3"/>
    <s v="N8"/>
    <n v="984"/>
  </r>
  <r>
    <m/>
    <x v="4"/>
    <s v="A-493-0103"/>
    <s v="12JY"/>
    <x v="12"/>
    <d v="2026-04-20T00:00:00"/>
    <d v="2025-04-24T00:00:00"/>
    <s v="Funded"/>
    <d v="1899-12-30T08:00:00"/>
    <m/>
    <m/>
    <m/>
    <m/>
    <m/>
    <m/>
    <s v="SOH Contractor"/>
    <m/>
    <m/>
    <n v="25"/>
    <n v="40"/>
    <n v="5"/>
    <n v="75"/>
    <n v="25"/>
    <n v="0"/>
    <n v="23"/>
    <n v="0"/>
    <n v="2"/>
    <n v="0"/>
    <m/>
    <s v="Benzick, Sue"/>
    <n v="-401"/>
    <n v="0"/>
    <n v="0"/>
    <n v="1"/>
    <n v="0"/>
    <n v="40"/>
    <n v="0"/>
    <n v="3"/>
    <s v="N5"/>
    <n v="2"/>
  </r>
  <r>
    <s v="PDS Week"/>
    <x v="55"/>
    <s v="PDS"/>
    <s v="PDS"/>
    <x v="38"/>
    <d v="2026-04-20T00:00:00"/>
    <d v="2026-04-24T00:00:00"/>
    <s v="Funded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36"/>
    <n v="0"/>
    <n v="0"/>
    <n v="1"/>
    <n v="0"/>
    <n v="0"/>
    <m/>
    <n v="3"/>
    <s v="TSD"/>
    <n v="0"/>
  </r>
  <r>
    <s v="NAF Atsugi"/>
    <x v="49"/>
    <s v="A-493-0013"/>
    <n v="3683"/>
    <x v="32"/>
    <d v="2026-04-22T00:00:00"/>
    <d v="2026-04-24T00:00:00"/>
    <s v="Funded"/>
    <d v="1899-12-30T08:00:00"/>
    <m/>
    <m/>
    <m/>
    <m/>
    <m/>
    <m/>
    <s v="G. Jester"/>
    <m/>
    <m/>
    <n v="40"/>
    <n v="24"/>
    <n v="3"/>
    <n v="28"/>
    <n v="10"/>
    <n v="0"/>
    <n v="8"/>
    <n v="0"/>
    <n v="6"/>
    <n v="3"/>
    <n v="0"/>
    <s v="Weaver, Nicole"/>
    <n v="-36"/>
    <n v="0"/>
    <n v="0"/>
    <n v="1"/>
    <n v="0"/>
    <n v="24"/>
    <n v="30"/>
    <n v="32"/>
    <s v="N4"/>
    <n v="32"/>
  </r>
  <r>
    <s v="CFA Yokosuka"/>
    <x v="13"/>
    <s v="A-493-0012"/>
    <n v="3682"/>
    <x v="25"/>
    <d v="2026-04-27T00:00:00"/>
    <d v="2026-05-01T00:00:00"/>
    <s v="Funded"/>
    <d v="1899-12-30T08:00:00"/>
    <m/>
    <m/>
    <m/>
    <m/>
    <m/>
    <m/>
    <s v="G. Jester"/>
    <m/>
    <m/>
    <n v="40"/>
    <n v="40"/>
    <n v="5"/>
    <n v="28"/>
    <n v="24"/>
    <n v="0"/>
    <n v="26"/>
    <n v="0"/>
    <n v="1"/>
    <n v="3"/>
    <n v="0"/>
    <s v="Weaver, Nicole"/>
    <n v="-29"/>
    <n v="0"/>
    <n v="0"/>
    <n v="1"/>
    <n v="0"/>
    <n v="40"/>
    <n v="16"/>
    <n v="3"/>
    <s v="N4"/>
    <n v="14"/>
  </r>
  <r>
    <m/>
    <x v="6"/>
    <s v="A-322-2604"/>
    <s v="10ZZ"/>
    <x v="0"/>
    <d v="2026-04-27T00:00:00"/>
    <d v="2026-04-29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24"/>
    <n v="3"/>
    <n v="316"/>
    <n v="45"/>
    <n v="4"/>
    <n v="40"/>
    <n v="0"/>
    <n v="6"/>
    <n v="1"/>
    <n v="0"/>
    <s v="Benzick, Sue"/>
    <n v="-31"/>
    <n v="0"/>
    <n v="0"/>
    <n v="1"/>
    <n v="0"/>
    <n v="24"/>
    <n v="0"/>
    <n v="3"/>
    <s v="N8"/>
    <n v="5"/>
  </r>
  <r>
    <m/>
    <x v="0"/>
    <s v="A-493-0550"/>
    <s v="09K5"/>
    <x v="0"/>
    <d v="2026-04-27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2"/>
    <n v="2"/>
    <n v="37"/>
    <n v="0"/>
    <n v="9"/>
    <n v="1"/>
    <n v="0"/>
    <s v="Benzick, Sue"/>
    <n v="-30"/>
    <n v="0"/>
    <n v="0"/>
    <n v="1"/>
    <n v="0"/>
    <n v="32"/>
    <n v="3"/>
    <n v="3"/>
    <s v="N5"/>
    <n v="8"/>
  </r>
  <r>
    <s v="AIRFORCE SPECIAL CONVENING Tank Managers – U.S. Funded Course, Quota will not be open"/>
    <x v="53"/>
    <s v="A-493-2017"/>
    <s v="12x3"/>
    <x v="40"/>
    <d v="2026-04-27T00:00:00"/>
    <d v="2026-05-01T00:00:00"/>
    <s v="Funded "/>
    <m/>
    <m/>
    <m/>
    <m/>
    <m/>
    <m/>
    <m/>
    <s v="ENV Contractor"/>
    <m/>
    <m/>
    <n v="25"/>
    <n v="40"/>
    <n v="5"/>
    <m/>
    <n v="25"/>
    <n v="0"/>
    <n v="22"/>
    <n v="0"/>
    <n v="1"/>
    <n v="2"/>
    <n v="0"/>
    <s v="Weaver, Nicole"/>
    <n v="-29"/>
    <n v="0"/>
    <n v="0"/>
    <n v="1"/>
    <n v="0"/>
    <n v="40"/>
    <n v="0"/>
    <n v="3"/>
    <s v="N4"/>
    <n v="3"/>
  </r>
  <r>
    <m/>
    <x v="1"/>
    <s v="A-493-0099"/>
    <s v="12JW"/>
    <x v="0"/>
    <d v="2026-04-28T00:00:00"/>
    <d v="2026-04-30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n v="19"/>
    <n v="0"/>
    <n v="32"/>
    <n v="0"/>
    <n v="3"/>
    <n v="1"/>
    <n v="0"/>
    <s v="Benzick, Sue"/>
    <n v="-30"/>
    <n v="0"/>
    <n v="0"/>
    <n v="1"/>
    <n v="0"/>
    <n v="24"/>
    <n v="26"/>
    <n v="3"/>
    <s v="N5"/>
    <n v="13"/>
  </r>
  <r>
    <m/>
    <x v="12"/>
    <s v="A-493-0331"/>
    <s v="10UG"/>
    <x v="0"/>
    <d v="2026-04-28T00:00:00"/>
    <d v="2026-04-30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5"/>
    <n v="4"/>
    <n v="36"/>
    <n v="0"/>
    <n v="11"/>
    <n v="0"/>
    <n v="0"/>
    <s v="Keay, Aaron"/>
    <n v="-30"/>
    <n v="0"/>
    <n v="0"/>
    <n v="1"/>
    <n v="0"/>
    <n v="24"/>
    <n v="0"/>
    <n v="3"/>
    <s v="N3"/>
    <n v="9"/>
  </r>
  <r>
    <m/>
    <x v="7"/>
    <s v="A-493-0078"/>
    <n v="1228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35"/>
    <n v="0"/>
    <m/>
    <m/>
    <m/>
    <m/>
    <m/>
    <m/>
    <n v="33"/>
    <n v="1"/>
    <n v="1"/>
    <n v="1"/>
    <n v="0"/>
    <n v="32"/>
    <n v="10"/>
    <n v="3"/>
    <s v="N5"/>
    <n v="45"/>
  </r>
  <r>
    <s v="Naval Station Rota Spain"/>
    <x v="13"/>
    <s v="A-493-0012"/>
    <n v="3682"/>
    <x v="3"/>
    <d v="2026-05-04T00:00:00"/>
    <d v="2026-05-08T00:00:00"/>
    <s v="Funded"/>
    <d v="1899-12-30T08:00:00"/>
    <m/>
    <m/>
    <m/>
    <m/>
    <m/>
    <m/>
    <s v="R. Hartel"/>
    <m/>
    <m/>
    <n v="40"/>
    <n v="40"/>
    <n v="5"/>
    <n v="30"/>
    <n v="27"/>
    <n v="0"/>
    <n v="40"/>
    <n v="0"/>
    <n v="3"/>
    <n v="16"/>
    <n v="0"/>
    <s v="Weaver, Nicole"/>
    <n v="-22"/>
    <n v="0"/>
    <n v="0"/>
    <n v="1"/>
    <n v="0"/>
    <n v="40"/>
    <n v="13"/>
    <n v="3"/>
    <s v="N4"/>
    <n v="0"/>
  </r>
  <r>
    <s v="DFSP Hakozaki"/>
    <x v="49"/>
    <s v="A-493-0013"/>
    <n v="3683"/>
    <x v="41"/>
    <d v="2026-05-04T00:00:00"/>
    <d v="2026-05-06T00:00:00"/>
    <s v="Funded"/>
    <d v="1899-12-30T08:00:00"/>
    <m/>
    <m/>
    <m/>
    <m/>
    <m/>
    <m/>
    <s v="G. Jester"/>
    <m/>
    <m/>
    <n v="40"/>
    <n v="24"/>
    <n v="3"/>
    <n v="30"/>
    <n v="11"/>
    <n v="0"/>
    <n v="31"/>
    <n v="0"/>
    <n v="1"/>
    <n v="23"/>
    <n v="0"/>
    <s v="Weaver, Nicole"/>
    <n v="-24"/>
    <n v="0"/>
    <n v="0"/>
    <n v="1"/>
    <n v="0"/>
    <n v="24"/>
    <n v="29"/>
    <n v="3"/>
    <s v="N4"/>
    <n v="9"/>
  </r>
  <r>
    <m/>
    <x v="8"/>
    <s v="A-493-2098"/>
    <s v="09WW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98"/>
    <n v="0"/>
    <n v="68"/>
    <n v="7"/>
    <n v="29"/>
    <n v="6"/>
    <n v="0"/>
    <s v="Weaver, Nicole"/>
    <n v="-24"/>
    <n v="0"/>
    <n v="0"/>
    <n v="1"/>
    <n v="0"/>
    <n v="16"/>
    <n v="2"/>
    <n v="3"/>
    <s v="N8"/>
    <n v="25"/>
  </r>
  <r>
    <m/>
    <x v="15"/>
    <s v="A-493-0030"/>
    <s v="286X"/>
    <x v="0"/>
    <d v="2026-05-04T00:00:00"/>
    <d v="2026-05-08T00:00:00"/>
    <s v="Funded"/>
    <m/>
    <d v="1899-12-30T08:00:00"/>
    <d v="1899-12-30T05:00:00"/>
    <d v="1899-12-30T15:00:00"/>
    <d v="1899-12-30T13:00:00"/>
    <d v="1899-12-30T02:00:00"/>
    <d v="1899-12-30T21:00:00"/>
    <s v="OH Contractor"/>
    <m/>
    <m/>
    <n v="25"/>
    <n v="40"/>
    <n v="5"/>
    <n v="0"/>
    <n v="24"/>
    <n v="0"/>
    <n v="16"/>
    <n v="1"/>
    <n v="10"/>
    <n v="0"/>
    <n v="0"/>
    <s v="Keay, Aaron"/>
    <n v="-22"/>
    <n v="0"/>
    <n v="0"/>
    <n v="1"/>
    <n v="0"/>
    <n v="40"/>
    <n v="1"/>
    <n v="3"/>
    <s v="N3"/>
    <n v="8"/>
  </r>
  <r>
    <m/>
    <x v="6"/>
    <s v="A-322-2604"/>
    <s v="10ZZ"/>
    <x v="0"/>
    <d v="2026-05-04T00:00:00"/>
    <d v="2026-05-06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5"/>
    <n v="0"/>
    <n v="33"/>
    <n v="3"/>
    <n v="10"/>
    <n v="0"/>
    <n v="0"/>
    <s v="Benzick, Sue"/>
    <n v="-24"/>
    <n v="0"/>
    <n v="0"/>
    <n v="1"/>
    <n v="0"/>
    <n v="24"/>
    <n v="0"/>
    <n v="3"/>
    <s v="N8"/>
    <n v="9"/>
  </r>
  <r>
    <s v="Special convening Gulfport SeaBees"/>
    <x v="0"/>
    <s v="A-493-0550"/>
    <s v="09K5"/>
    <x v="0"/>
    <d v="2026-05-04T00:00:00"/>
    <d v="2026-05-07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m/>
    <m/>
    <n v="0"/>
    <n v="12"/>
    <n v="0"/>
    <n v="1"/>
    <n v="0"/>
    <n v="0"/>
    <s v="Benzick, Sue"/>
    <n v="-23"/>
    <n v="0"/>
    <n v="0"/>
    <n v="1"/>
    <n v="0"/>
    <n v="0"/>
    <n v="0"/>
    <m/>
    <s v="N5"/>
    <n v="33"/>
  </r>
  <r>
    <s v="USMC-Do not spread quotas"/>
    <x v="3"/>
    <s v="A-493-0072"/>
    <s v="713U"/>
    <x v="42"/>
    <d v="2026-05-04T00:00:00"/>
    <d v="2026-05-08T00:00:00"/>
    <s v="Funded"/>
    <d v="1899-12-30T08:00:00"/>
    <m/>
    <m/>
    <m/>
    <m/>
    <m/>
    <m/>
    <s v="W. Mitchell"/>
    <m/>
    <s v="LSC Kitivi"/>
    <n v="30"/>
    <n v="40"/>
    <n v="5"/>
    <n v="15"/>
    <n v="30"/>
    <n v="0"/>
    <n v="24"/>
    <n v="0"/>
    <n v="0"/>
    <n v="0"/>
    <n v="0"/>
    <s v="Keay, Aaron"/>
    <n v="-22"/>
    <n v="0"/>
    <n v="0"/>
    <n v="1"/>
    <n v="0"/>
    <n v="40"/>
    <n v="0"/>
    <n v="3"/>
    <s v="N3"/>
    <n v="6"/>
  </r>
  <r>
    <m/>
    <x v="3"/>
    <s v="A-493-0072"/>
    <s v="713U"/>
    <x v="43"/>
    <d v="2026-05-04T00:00:00"/>
    <d v="2026-05-08T00:00:00"/>
    <s v="Funded"/>
    <d v="1899-12-30T08:00:00"/>
    <m/>
    <m/>
    <m/>
    <m/>
    <m/>
    <m/>
    <s v="B. Jung"/>
    <s v="D. Hamilton"/>
    <m/>
    <n v="30"/>
    <n v="40"/>
    <n v="5"/>
    <n v="50"/>
    <n v="30"/>
    <n v="5"/>
    <n v="30"/>
    <n v="0"/>
    <n v="7"/>
    <n v="7"/>
    <n v="0"/>
    <s v="Keay, Aaron"/>
    <n v="-22"/>
    <n v="0"/>
    <n v="0"/>
    <n v="1"/>
    <n v="1"/>
    <n v="20"/>
    <n v="0"/>
    <n v="2"/>
    <s v="N3"/>
    <n v="0"/>
  </r>
  <r>
    <m/>
    <x v="16"/>
    <s v="A-4J-0019"/>
    <s v="28SL/285M"/>
    <x v="8"/>
    <d v="2026-05-04T00:00:00"/>
    <d v="2026-05-08T00:00:00"/>
    <s v="Funded"/>
    <d v="1899-12-30T07:30:00"/>
    <m/>
    <m/>
    <m/>
    <m/>
    <m/>
    <m/>
    <s v="J. Wilson"/>
    <s v="M. Bailey"/>
    <m/>
    <n v="20"/>
    <n v="40"/>
    <n v="5"/>
    <n v="148"/>
    <n v="18"/>
    <n v="0"/>
    <n v="16"/>
    <n v="0"/>
    <n v="0"/>
    <n v="0"/>
    <n v="0"/>
    <s v="Benzick, Sue"/>
    <n v="-22"/>
    <n v="0"/>
    <n v="0"/>
    <n v="1"/>
    <n v="1"/>
    <n v="20"/>
    <n v="2"/>
    <n v="3"/>
    <s v="N8"/>
    <n v="4"/>
  </r>
  <r>
    <m/>
    <x v="12"/>
    <s v="A-493-0331"/>
    <s v="10UG"/>
    <x v="0"/>
    <d v="2026-05-05T00:00:00"/>
    <d v="2026-05-0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3"/>
    <n v="0"/>
    <n v="40"/>
    <n v="2"/>
    <n v="3"/>
    <n v="1"/>
    <n v="0"/>
    <s v="Keay, Aaron"/>
    <n v="-23"/>
    <n v="0"/>
    <n v="0"/>
    <n v="1"/>
    <n v="0"/>
    <n v="24"/>
    <n v="2"/>
    <n v="3"/>
    <s v="N3"/>
    <n v="3"/>
  </r>
  <r>
    <s v="DFSP Tsurumi"/>
    <x v="49"/>
    <s v="A-493-0013"/>
    <n v="3683"/>
    <x v="44"/>
    <d v="2026-05-07T00:00:00"/>
    <d v="2026-05-11T00:00:00"/>
    <s v="Funded"/>
    <d v="1899-12-30T08:00:00"/>
    <m/>
    <m/>
    <m/>
    <m/>
    <m/>
    <m/>
    <s v="G. Jester"/>
    <m/>
    <m/>
    <n v="40"/>
    <n v="24"/>
    <n v="3"/>
    <n v="30"/>
    <n v="4"/>
    <n v="0"/>
    <n v="20"/>
    <n v="0"/>
    <n v="1"/>
    <n v="16"/>
    <n v="0"/>
    <s v="Weaver, Nicole"/>
    <n v="-19"/>
    <n v="0"/>
    <n v="0"/>
    <n v="1"/>
    <n v="0"/>
    <n v="24"/>
    <n v="36"/>
    <n v="3"/>
    <s v="N4"/>
    <n v="20"/>
  </r>
  <r>
    <m/>
    <x v="43"/>
    <s v="A-4J-0022"/>
    <s v="09ER"/>
    <x v="0"/>
    <d v="2026-05-11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40"/>
    <n v="2"/>
    <n v="130"/>
    <n v="24"/>
    <n v="0"/>
    <n v="17"/>
    <n v="1"/>
    <n v="7"/>
    <n v="0"/>
    <n v="0"/>
    <s v="Weaver, Nicole"/>
    <n v="-15"/>
    <n v="0"/>
    <n v="0"/>
    <n v="1"/>
    <n v="0"/>
    <n v="40"/>
    <n v="21"/>
    <n v="3"/>
    <s v="N4"/>
    <n v="27"/>
  </r>
  <r>
    <m/>
    <x v="0"/>
    <s v="A-493-0550"/>
    <s v="09K5"/>
    <x v="0"/>
    <d v="2026-05-11T00:00:00"/>
    <d v="2026-05-14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5"/>
    <n v="2"/>
    <n v="42"/>
    <n v="1"/>
    <n v="3"/>
    <n v="1"/>
    <n v="0"/>
    <s v="Benzick, Sue"/>
    <n v="-16"/>
    <n v="0"/>
    <n v="0"/>
    <n v="1"/>
    <n v="0"/>
    <n v="32"/>
    <n v="0"/>
    <n v="3"/>
    <s v="N5"/>
    <n v="2"/>
  </r>
  <r>
    <m/>
    <x v="38"/>
    <s v="A-570-0100"/>
    <s v="18B7"/>
    <x v="0"/>
    <d v="2026-05-11T00:00:00"/>
    <d v="2026-05-12T00:00:00"/>
    <s v="Funded"/>
    <m/>
    <d v="1899-12-30T08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n v="25"/>
    <n v="0"/>
    <n v="19"/>
    <n v="2"/>
    <n v="5"/>
    <n v="0"/>
    <n v="0"/>
    <s v="Keay, Aaron"/>
    <n v="-18"/>
    <n v="0"/>
    <n v="0"/>
    <n v="1"/>
    <n v="0"/>
    <n v="16"/>
    <n v="20"/>
    <n v="3"/>
    <s v="N8"/>
    <n v="24"/>
  </r>
  <r>
    <s v="Special convening SeaBees"/>
    <x v="54"/>
    <s v="A-493-0021"/>
    <s v="18BN"/>
    <x v="12"/>
    <d v="2026-05-11T00:00:00"/>
    <d v="2026-05-15T00:00:00"/>
    <s v="Funded"/>
    <d v="1899-12-30T08:00:00"/>
    <m/>
    <m/>
    <m/>
    <m/>
    <m/>
    <m/>
    <s v="SOH Contractor"/>
    <m/>
    <m/>
    <n v="35"/>
    <n v="30"/>
    <n v="5"/>
    <n v="8"/>
    <n v="35"/>
    <n v="0"/>
    <n v="13"/>
    <n v="0"/>
    <n v="2"/>
    <n v="0"/>
    <n v="0"/>
    <s v="Benzick, Sue"/>
    <n v="-15"/>
    <n v="0"/>
    <n v="0"/>
    <n v="1"/>
    <n v="0"/>
    <n v="30"/>
    <m/>
    <n v="3"/>
    <s v="N5"/>
    <n v="22"/>
  </r>
  <r>
    <m/>
    <x v="4"/>
    <s v="A-493-0103"/>
    <s v="12JY"/>
    <x v="15"/>
    <d v="2026-05-11T00:00:00"/>
    <d v="2026-05-15T00:00:00"/>
    <s v="Funded"/>
    <d v="1899-12-30T08:00:00"/>
    <m/>
    <m/>
    <m/>
    <m/>
    <m/>
    <m/>
    <s v="SOH Contractor"/>
    <m/>
    <m/>
    <n v="25"/>
    <n v="40"/>
    <n v="5"/>
    <n v="25"/>
    <n v="25"/>
    <n v="3"/>
    <n v="24"/>
    <n v="0"/>
    <n v="5"/>
    <n v="2"/>
    <n v="0"/>
    <s v="Benzick, Sue"/>
    <n v="-15"/>
    <n v="0"/>
    <n v="0"/>
    <n v="1"/>
    <n v="0"/>
    <n v="40"/>
    <n v="0"/>
    <n v="3"/>
    <s v="N5"/>
    <n v="1"/>
  </r>
  <r>
    <m/>
    <x v="3"/>
    <s v="A-493-0072"/>
    <s v="713U"/>
    <x v="9"/>
    <d v="2026-05-11T00:00:00"/>
    <d v="2026-05-15T00:00:00"/>
    <s v="Funded"/>
    <d v="1899-12-30T08:00:00"/>
    <m/>
    <m/>
    <m/>
    <m/>
    <m/>
    <m/>
    <s v="B. Jung"/>
    <s v="D. Hamilton"/>
    <m/>
    <n v="30"/>
    <n v="40"/>
    <n v="5"/>
    <n v="265"/>
    <n v="30"/>
    <n v="4"/>
    <n v="30"/>
    <n v="0"/>
    <n v="6"/>
    <n v="4"/>
    <n v="0"/>
    <s v="Keay, Aaron"/>
    <n v="-15"/>
    <n v="0"/>
    <n v="0"/>
    <n v="1"/>
    <n v="1"/>
    <n v="20"/>
    <n v="0"/>
    <n v="3"/>
    <s v="N3"/>
    <n v="0"/>
  </r>
  <r>
    <s v="USMC-Do not spread quotas"/>
    <x v="3"/>
    <s v="A-493-0072"/>
    <s v="713U"/>
    <x v="45"/>
    <d v="2026-05-11T00:00:00"/>
    <d v="2026-05-15T00:00:00"/>
    <s v="Funded"/>
    <d v="1899-12-30T08:00:00"/>
    <m/>
    <m/>
    <m/>
    <m/>
    <m/>
    <m/>
    <s v="W. Mitchell"/>
    <m/>
    <s v="LSC Kitivi"/>
    <n v="30"/>
    <n v="40"/>
    <n v="5"/>
    <n v="15"/>
    <n v="10"/>
    <n v="0"/>
    <n v="26"/>
    <n v="0"/>
    <n v="0"/>
    <n v="0"/>
    <n v="0"/>
    <s v="Keay, Aaron"/>
    <n v="-15"/>
    <n v="0"/>
    <n v="0"/>
    <n v="1"/>
    <n v="0"/>
    <n v="40"/>
    <n v="20"/>
    <n v="3"/>
    <s v="N3"/>
    <n v="4"/>
  </r>
  <r>
    <m/>
    <x v="1"/>
    <s v="A-493-0099"/>
    <s v="12JW"/>
    <x v="0"/>
    <d v="2026-05-13T00:00:00"/>
    <d v="2026-05-15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n v="22"/>
    <n v="0"/>
    <n v="19"/>
    <n v="0"/>
    <n v="5"/>
    <n v="0"/>
    <n v="0"/>
    <s v="Benzick, Sue"/>
    <n v="-15"/>
    <n v="0"/>
    <n v="0"/>
    <n v="1"/>
    <n v="0"/>
    <n v="24"/>
    <n v="23"/>
    <n v="3"/>
    <s v="N5"/>
    <n v="26"/>
  </r>
  <r>
    <s v="Pilot Course length is 5 days"/>
    <x v="7"/>
    <s v="A-493-0078"/>
    <n v="1228"/>
    <x v="0"/>
    <d v="2026-07-13T00:00:00"/>
    <d v="2026-07-17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40"/>
    <n v="5"/>
    <n v="568"/>
    <n v="14"/>
    <n v="0"/>
    <m/>
    <m/>
    <m/>
    <m/>
    <m/>
    <m/>
    <n v="48"/>
    <n v="1"/>
    <n v="1"/>
    <n v="1"/>
    <n v="0"/>
    <n v="40"/>
    <n v="31"/>
    <n v="4"/>
    <s v="N5"/>
    <n v="45"/>
  </r>
  <r>
    <m/>
    <x v="7"/>
    <s v="A-493-0078"/>
    <n v="1228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T. White"/>
    <m/>
    <m/>
    <n v="45"/>
    <n v="32"/>
    <n v="4"/>
    <n v="568"/>
    <n v="10"/>
    <n v="0"/>
    <m/>
    <m/>
    <m/>
    <m/>
    <m/>
    <m/>
    <n v="61"/>
    <n v="1"/>
    <n v="1"/>
    <n v="1"/>
    <n v="0"/>
    <n v="32"/>
    <n v="35"/>
    <n v="4"/>
    <s v="N5"/>
    <n v="45"/>
  </r>
  <r>
    <m/>
    <x v="36"/>
    <s v="A-493-0665"/>
    <s v="10KW"/>
    <x v="0"/>
    <d v="2026-05-18T00:00:00"/>
    <d v="2026-05-20T00:00:00"/>
    <s v="Funded"/>
    <m/>
    <d v="1899-12-30T08:00:00"/>
    <d v="1899-12-30T05:00:00"/>
    <d v="1899-12-30T15:00:00"/>
    <d v="1899-12-30T13:00:00"/>
    <d v="1899-12-30T02:00:00"/>
    <d v="1899-12-30T21:00:00"/>
    <s v="AC1 Engleking"/>
    <m/>
    <m/>
    <n v="45"/>
    <n v="24"/>
    <n v="3"/>
    <n v="140"/>
    <n v="31"/>
    <n v="0"/>
    <n v="12"/>
    <n v="0"/>
    <n v="5"/>
    <n v="0"/>
    <n v="0"/>
    <s v="AC1 Engleking"/>
    <n v="-10"/>
    <n v="0"/>
    <n v="0"/>
    <n v="1"/>
    <n v="0"/>
    <n v="24"/>
    <n v="14"/>
    <n v="3"/>
    <s v="N8"/>
    <n v="33"/>
  </r>
  <r>
    <m/>
    <x v="7"/>
    <s v="A-493-0078"/>
    <n v="1228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4"/>
    <n v="0"/>
    <m/>
    <m/>
    <m/>
    <m/>
    <m/>
    <m/>
    <n v="75"/>
    <n v="1"/>
    <n v="1"/>
    <n v="1"/>
    <n v="0"/>
    <n v="32"/>
    <n v="41"/>
    <n v="4"/>
    <s v="N5"/>
    <n v="45"/>
  </r>
  <r>
    <m/>
    <x v="40"/>
    <s v="A-493-0335"/>
    <s v="09ND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D. Hamilton"/>
    <s v="A. Harris"/>
    <m/>
    <n v="45"/>
    <n v="32"/>
    <n v="4"/>
    <n v="537"/>
    <n v="32"/>
    <n v="0"/>
    <n v="25"/>
    <n v="1"/>
    <n v="6"/>
    <n v="0"/>
    <n v="0"/>
    <s v="Keay, Aaron"/>
    <n v="-9"/>
    <n v="0"/>
    <n v="0"/>
    <n v="1"/>
    <n v="1"/>
    <n v="16"/>
    <n v="13"/>
    <n v="3"/>
    <s v="N3"/>
    <n v="19"/>
  </r>
  <r>
    <m/>
    <x v="7"/>
    <s v="A-493-0078"/>
    <n v="1228"/>
    <x v="0"/>
    <d v="2026-08-24T00:00:00"/>
    <d v="2026-08-27T00:00:00"/>
    <s v="Funded"/>
    <m/>
    <d v="1899-12-30T19:00:00"/>
    <d v="1899-12-30T16:00:00"/>
    <d v="1899-12-30T02:00:00"/>
    <d v="1899-12-30T00:00:00"/>
    <d v="1899-12-30T13:00:00"/>
    <d v="1899-12-30T08:00:00"/>
    <s v="T. White"/>
    <m/>
    <m/>
    <n v="45"/>
    <n v="32"/>
    <n v="4"/>
    <n v="181"/>
    <n v="3"/>
    <n v="0"/>
    <m/>
    <m/>
    <m/>
    <m/>
    <m/>
    <m/>
    <n v="89"/>
    <n v="1"/>
    <n v="1"/>
    <n v="1"/>
    <n v="0"/>
    <n v="32"/>
    <n v="42"/>
    <n v="4"/>
    <s v="N5"/>
    <n v="45"/>
  </r>
  <r>
    <m/>
    <x v="5"/>
    <s v="A-493-0061"/>
    <s v="288E"/>
    <x v="0"/>
    <d v="2026-05-18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41"/>
    <n v="0"/>
    <n v="35"/>
    <n v="1"/>
    <n v="9"/>
    <n v="0"/>
    <n v="0"/>
    <s v="Benzick, Sue"/>
    <n v="-9"/>
    <n v="0"/>
    <n v="0"/>
    <n v="1"/>
    <n v="0"/>
    <n v="30"/>
    <n v="4"/>
    <n v="3"/>
    <s v="N5"/>
    <n v="9"/>
  </r>
  <r>
    <m/>
    <x v="7"/>
    <s v="A-493-0078"/>
    <n v="1228"/>
    <x v="0"/>
    <d v="2026-09-21T00:00:00"/>
    <d v="2026-09-24T00:00:00"/>
    <s v="Funded"/>
    <m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454"/>
    <n v="6"/>
    <n v="0"/>
    <m/>
    <m/>
    <m/>
    <m/>
    <m/>
    <m/>
    <n v="117"/>
    <n v="1"/>
    <n v="1"/>
    <n v="1"/>
    <n v="0"/>
    <n v="32"/>
    <n v="39"/>
    <n v="4"/>
    <s v="N5"/>
    <n v="45"/>
  </r>
  <r>
    <s v="Evening Class "/>
    <x v="42"/>
    <s v="A-493-0085"/>
    <n v="3555"/>
    <x v="0"/>
    <d v="2026-05-26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28"/>
    <n v="0"/>
    <m/>
    <m/>
    <m/>
    <m/>
    <m/>
    <m/>
    <n v="-1"/>
    <n v="1"/>
    <n v="0"/>
    <n v="1"/>
    <n v="0"/>
    <n v="32"/>
    <n v="17"/>
    <n v="3"/>
    <s v="N3"/>
    <n v="45"/>
  </r>
  <r>
    <m/>
    <x v="42"/>
    <s v="A-493-0085"/>
    <n v="3555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17"/>
    <n v="0"/>
    <m/>
    <m/>
    <m/>
    <m/>
    <m/>
    <m/>
    <n v="26"/>
    <n v="1"/>
    <n v="1"/>
    <n v="1"/>
    <n v="0"/>
    <n v="32"/>
    <n v="28"/>
    <n v="3"/>
    <s v="N3"/>
    <n v="45"/>
  </r>
  <r>
    <m/>
    <x v="4"/>
    <s v="A-493-0103"/>
    <s v="12JY"/>
    <x v="12"/>
    <d v="2026-05-18T00:00:00"/>
    <d v="2025-05-22T00:00:00"/>
    <s v="Funded"/>
    <d v="1899-12-30T08:00:00"/>
    <m/>
    <m/>
    <m/>
    <m/>
    <m/>
    <m/>
    <s v="SOH Contractor"/>
    <m/>
    <m/>
    <n v="25"/>
    <n v="40"/>
    <n v="5"/>
    <n v="75"/>
    <n v="25"/>
    <n v="2"/>
    <n v="27"/>
    <n v="0"/>
    <n v="4"/>
    <n v="6"/>
    <n v="0"/>
    <s v="Benzick, Sue"/>
    <n v="-373"/>
    <n v="0"/>
    <n v="0"/>
    <n v="1"/>
    <n v="0"/>
    <n v="40"/>
    <n v="0"/>
    <n v="3"/>
    <s v="N5"/>
    <n v="-2"/>
  </r>
  <r>
    <m/>
    <x v="4"/>
    <s v="A-493-0103"/>
    <s v="12JY"/>
    <x v="10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25"/>
    <n v="25"/>
    <n v="2"/>
    <n v="25"/>
    <n v="0"/>
    <n v="2"/>
    <n v="0"/>
    <n v="0"/>
    <s v="Benzick, Sue"/>
    <n v="-8"/>
    <n v="0"/>
    <n v="0"/>
    <n v="1"/>
    <n v="0"/>
    <n v="40"/>
    <n v="0"/>
    <n v="3"/>
    <s v="N5"/>
    <n v="0"/>
  </r>
  <r>
    <m/>
    <x v="4"/>
    <s v="A-493-0103"/>
    <s v="12JY"/>
    <x v="22"/>
    <d v="2026-05-18T00:00:00"/>
    <d v="2026-05-22T00:00:00"/>
    <s v="Funded"/>
    <d v="1899-12-30T08:00:00"/>
    <m/>
    <m/>
    <m/>
    <m/>
    <m/>
    <m/>
    <s v="SOH Contractor"/>
    <m/>
    <m/>
    <n v="25"/>
    <n v="40"/>
    <n v="5"/>
    <n v="27"/>
    <n v="25"/>
    <n v="0"/>
    <n v="23"/>
    <n v="0"/>
    <n v="2"/>
    <n v="0"/>
    <n v="9"/>
    <s v="Benzick, Sue"/>
    <n v="-8"/>
    <n v="0"/>
    <n v="0"/>
    <n v="1"/>
    <n v="0"/>
    <n v="40"/>
    <n v="0"/>
    <n v="3"/>
    <s v="N5"/>
    <n v="2"/>
  </r>
  <r>
    <s v="Course Length is 5 Days"/>
    <x v="7"/>
    <s v="A-493-0078"/>
    <n v="1228"/>
    <x v="0"/>
    <d v="2026-05-18T00:00:00"/>
    <d v="2026-05-22T00:00:00"/>
    <s v="Funded"/>
    <d v="1899-12-30T08:00:00"/>
    <d v="1899-12-30T08:00:00"/>
    <d v="1899-12-30T05:00:00"/>
    <d v="1899-12-30T15:00:00"/>
    <d v="1899-12-30T13:00:00"/>
    <d v="1899-12-30T02:00:00"/>
    <d v="1899-12-30T21:00:00"/>
    <s v="T. White"/>
    <m/>
    <m/>
    <n v="45"/>
    <n v="32"/>
    <n v="4"/>
    <n v="568"/>
    <n v="38"/>
    <n v="0"/>
    <n v="22"/>
    <n v="1"/>
    <n v="18"/>
    <n v="0"/>
    <n v="0"/>
    <s v="Benzick, Sue"/>
    <n v="-8"/>
    <n v="0"/>
    <n v="0"/>
    <n v="1"/>
    <n v="0"/>
    <n v="32"/>
    <n v="7"/>
    <n v="3"/>
    <s v="N5"/>
    <n v="22"/>
  </r>
  <r>
    <m/>
    <x v="42"/>
    <s v="A-493-0085"/>
    <n v="3555"/>
    <x v="0"/>
    <d v="2026-07-27T00:00:00"/>
    <d v="2026-07-30T00:00:00"/>
    <s v="Funded"/>
    <m/>
    <d v="1899-12-30T08:00:00"/>
    <d v="1899-12-30T05:00:00"/>
    <d v="1899-12-30T15:00:00"/>
    <d v="1899-12-30T13:00:00"/>
    <d v="1899-12-30T02:00:00"/>
    <d v="1899-12-30T21:00:00"/>
    <s v="D. Hamilton"/>
    <s v="B. Jung"/>
    <m/>
    <n v="45"/>
    <n v="32"/>
    <n v="4"/>
    <n v="397"/>
    <n v="19"/>
    <n v="0"/>
    <m/>
    <m/>
    <m/>
    <m/>
    <m/>
    <m/>
    <n v="61"/>
    <n v="1"/>
    <n v="1"/>
    <n v="1"/>
    <n v="1"/>
    <n v="16"/>
    <n v="26"/>
    <n v="4"/>
    <s v="N3"/>
    <n v="45"/>
  </r>
  <r>
    <m/>
    <x v="0"/>
    <s v="A-493-0550"/>
    <s v="09K5"/>
    <x v="0"/>
    <d v="2026-05-19T00:00:00"/>
    <d v="2026-05-22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39"/>
    <n v="0"/>
    <n v="30"/>
    <n v="0"/>
    <n v="15"/>
    <n v="0"/>
    <n v="0"/>
    <s v="Benzick, Sue"/>
    <n v="-8"/>
    <n v="0"/>
    <n v="0"/>
    <n v="1"/>
    <n v="0"/>
    <n v="32"/>
    <n v="6"/>
    <n v="3"/>
    <s v="N5"/>
    <n v="15"/>
  </r>
  <r>
    <m/>
    <x v="12"/>
    <s v="A-493-0331"/>
    <s v="10UG"/>
    <x v="0"/>
    <d v="2026-05-19T00:00:00"/>
    <d v="2026-05-21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37"/>
    <n v="0"/>
    <n v="32"/>
    <n v="0"/>
    <n v="8"/>
    <n v="0"/>
    <n v="0"/>
    <s v="Keay, Aaron"/>
    <n v="-9"/>
    <n v="0"/>
    <n v="0"/>
    <n v="1"/>
    <n v="0"/>
    <n v="24"/>
    <n v="8"/>
    <n v="3"/>
    <s v="N3"/>
    <n v="13"/>
  </r>
  <r>
    <m/>
    <x v="42"/>
    <s v="A-493-0085"/>
    <n v="3555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B. Jung"/>
    <m/>
    <m/>
    <n v="45"/>
    <n v="32"/>
    <n v="4"/>
    <n v="688"/>
    <n v="5"/>
    <n v="0"/>
    <m/>
    <m/>
    <m/>
    <m/>
    <m/>
    <m/>
    <n v="89"/>
    <n v="1"/>
    <n v="1"/>
    <n v="1"/>
    <n v="0"/>
    <n v="32"/>
    <n v="40"/>
    <n v="4"/>
    <s v="N3"/>
    <n v="45"/>
  </r>
  <r>
    <m/>
    <x v="42"/>
    <s v="A-493-0085"/>
    <n v="3555"/>
    <x v="0"/>
    <d v="2026-09-21T00:00:00"/>
    <d v="2026-09-24T00:00:00"/>
    <s v="Funded"/>
    <m/>
    <d v="1899-12-30T19:00:00"/>
    <d v="1899-12-30T16:00:00"/>
    <d v="1899-12-30T02:00:00"/>
    <d v="1899-12-30T00:00:00"/>
    <d v="1899-12-30T13:00:00"/>
    <d v="1899-12-30T08:00:00"/>
    <s v="W. Mitchell"/>
    <m/>
    <m/>
    <n v="45"/>
    <n v="32"/>
    <n v="4"/>
    <n v="166"/>
    <n v="3"/>
    <n v="0"/>
    <m/>
    <m/>
    <m/>
    <m/>
    <m/>
    <m/>
    <n v="117"/>
    <n v="1"/>
    <n v="1"/>
    <n v="1"/>
    <n v="0"/>
    <n v="32"/>
    <n v="42"/>
    <n v="4"/>
    <s v="N3"/>
    <n v="45"/>
  </r>
  <r>
    <s v="DFSP Hachinohe"/>
    <x v="49"/>
    <s v="A-493-0013"/>
    <n v="3683"/>
    <x v="46"/>
    <d v="2026-05-14T00:00:00"/>
    <d v="2026-05-15T00:00:00"/>
    <s v="Funded"/>
    <d v="1899-12-30T08:00:00"/>
    <m/>
    <m/>
    <m/>
    <m/>
    <m/>
    <m/>
    <s v="G. Jester"/>
    <m/>
    <m/>
    <n v="40"/>
    <n v="24"/>
    <n v="3"/>
    <n v="30"/>
    <n v="24"/>
    <n v="0"/>
    <m/>
    <m/>
    <m/>
    <m/>
    <m/>
    <m/>
    <n v="-15"/>
    <n v="1"/>
    <n v="0"/>
    <n v="1"/>
    <n v="0"/>
    <n v="24"/>
    <n v="16"/>
    <n v="3"/>
    <s v="N4"/>
    <n v="40"/>
  </r>
  <r>
    <m/>
    <x v="49"/>
    <s v="A-493-0013"/>
    <n v="3683"/>
    <x v="19"/>
    <d v="2026-08-04T00:00:00"/>
    <d v="2026-08-06T00:00:00"/>
    <s v="Funded"/>
    <m/>
    <m/>
    <m/>
    <m/>
    <m/>
    <m/>
    <m/>
    <s v="ENV Contractor"/>
    <m/>
    <m/>
    <n v="40"/>
    <n v="24"/>
    <n v="3"/>
    <m/>
    <m/>
    <m/>
    <m/>
    <m/>
    <m/>
    <m/>
    <m/>
    <m/>
    <n v="68"/>
    <n v="1"/>
    <n v="1"/>
    <n v="1"/>
    <n v="0"/>
    <n v="0"/>
    <m/>
    <m/>
    <s v="N4"/>
    <n v="40"/>
  </r>
  <r>
    <m/>
    <x v="46"/>
    <s v="A-493-0015"/>
    <n v="3879"/>
    <x v="0"/>
    <d v="2026-08-13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30"/>
    <n v="4"/>
    <n v="0.5"/>
    <n v="0"/>
    <n v="2"/>
    <n v="0"/>
    <m/>
    <m/>
    <m/>
    <m/>
    <m/>
    <m/>
    <n v="75"/>
    <n v="1"/>
    <n v="1"/>
    <n v="1"/>
    <n v="0"/>
    <n v="4"/>
    <n v="28"/>
    <n v="4"/>
    <s v="N3"/>
    <n v="30"/>
  </r>
  <r>
    <m/>
    <x v="47"/>
    <s v="A-493-0020"/>
    <n v="3888"/>
    <x v="0"/>
    <d v="2026-08-12T00:00:00"/>
    <d v="2026-08-12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30"/>
    <n v="4"/>
    <n v="0.5"/>
    <n v="0"/>
    <n v="1"/>
    <n v="0"/>
    <m/>
    <m/>
    <m/>
    <m/>
    <m/>
    <m/>
    <n v="74"/>
    <n v="1"/>
    <n v="1"/>
    <n v="1"/>
    <n v="0"/>
    <n v="4"/>
    <n v="29"/>
    <n v="4"/>
    <s v="N3"/>
    <n v="30"/>
  </r>
  <r>
    <m/>
    <x v="51"/>
    <s v="A-493-0092"/>
    <n v="5891"/>
    <x v="17"/>
    <d v="2026-06-16T00:00:00"/>
    <d v="2026-06-18T00:00:00"/>
    <s v="Funded"/>
    <d v="1899-12-30T08:00:00"/>
    <m/>
    <m/>
    <m/>
    <m/>
    <m/>
    <m/>
    <s v="W. Mitchell"/>
    <m/>
    <s v="Nicole"/>
    <n v="25"/>
    <n v="24"/>
    <n v="3"/>
    <n v="49"/>
    <n v="12"/>
    <n v="0"/>
    <m/>
    <m/>
    <m/>
    <m/>
    <m/>
    <m/>
    <n v="19"/>
    <n v="1"/>
    <n v="1"/>
    <n v="1"/>
    <n v="0"/>
    <n v="24"/>
    <n v="13"/>
    <n v="3"/>
    <s v="N3"/>
    <n v="25"/>
  </r>
  <r>
    <s v="USMC-Do not spread quotas"/>
    <x v="51"/>
    <s v="A-493-0092"/>
    <n v="5891"/>
    <x v="47"/>
    <d v="2026-08-05T00:00:00"/>
    <d v="2026-08-07T00:00:00"/>
    <s v="Funded"/>
    <d v="1899-12-30T08:00:00"/>
    <m/>
    <m/>
    <m/>
    <m/>
    <m/>
    <m/>
    <s v="B. Jung"/>
    <m/>
    <s v="LSC Kitivi"/>
    <n v="25"/>
    <n v="24"/>
    <n v="3"/>
    <m/>
    <n v="25"/>
    <m/>
    <m/>
    <m/>
    <m/>
    <m/>
    <m/>
    <m/>
    <n v="69"/>
    <n v="1"/>
    <n v="1"/>
    <n v="1"/>
    <n v="0"/>
    <n v="24"/>
    <m/>
    <m/>
    <s v="N3"/>
    <n v="25"/>
  </r>
  <r>
    <m/>
    <x v="51"/>
    <s v="A-493-0092"/>
    <n v="5891"/>
    <x v="2"/>
    <d v="2026-08-11T00:00:00"/>
    <d v="2026-08-13T00:00:00"/>
    <s v="Funded"/>
    <d v="1899-12-30T08:00:00"/>
    <m/>
    <m/>
    <m/>
    <m/>
    <m/>
    <m/>
    <s v="A. Harris"/>
    <m/>
    <m/>
    <n v="25"/>
    <n v="24"/>
    <n v="3"/>
    <n v="138"/>
    <n v="9"/>
    <n v="0"/>
    <m/>
    <m/>
    <m/>
    <m/>
    <m/>
    <m/>
    <n v="75"/>
    <n v="1"/>
    <n v="1"/>
    <n v="1"/>
    <n v="0"/>
    <n v="24"/>
    <n v="16"/>
    <n v="4"/>
    <s v="N3"/>
    <n v="25"/>
  </r>
  <r>
    <m/>
    <x v="51"/>
    <s v="A-493-0092"/>
    <n v="5891"/>
    <x v="13"/>
    <d v="2026-09-09T00:00:00"/>
    <d v="2026-09-11T00:00:00"/>
    <s v="Funded"/>
    <d v="1899-12-30T08:00:00"/>
    <m/>
    <m/>
    <m/>
    <m/>
    <m/>
    <m/>
    <s v="A. Harris"/>
    <m/>
    <s v="T. White"/>
    <n v="25"/>
    <n v="24"/>
    <n v="3"/>
    <n v="63"/>
    <n v="5"/>
    <n v="0"/>
    <m/>
    <m/>
    <m/>
    <m/>
    <m/>
    <m/>
    <n v="104"/>
    <n v="1"/>
    <n v="1"/>
    <n v="1"/>
    <n v="0"/>
    <n v="24"/>
    <n v="20"/>
    <n v="4"/>
    <s v="N3"/>
    <n v="25"/>
  </r>
  <r>
    <m/>
    <x v="43"/>
    <s v="A-4J-0022"/>
    <s v="09ER"/>
    <x v="0"/>
    <d v="2026-06-22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K. Seo"/>
    <m/>
    <m/>
    <n v="45"/>
    <n v="40"/>
    <n v="2"/>
    <n v="141"/>
    <n v="19"/>
    <n v="0"/>
    <m/>
    <m/>
    <m/>
    <m/>
    <m/>
    <m/>
    <n v="27"/>
    <n v="1"/>
    <n v="1"/>
    <n v="1"/>
    <n v="0"/>
    <n v="40"/>
    <n v="26"/>
    <n v="3"/>
    <s v="N4"/>
    <n v="45"/>
  </r>
  <r>
    <m/>
    <x v="43"/>
    <s v="A-4J-0022"/>
    <s v="09ER"/>
    <x v="0"/>
    <d v="2026-07-13T00:00:00"/>
    <d v="2026-07-17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40"/>
    <n v="2"/>
    <n v="130"/>
    <n v="4"/>
    <m/>
    <m/>
    <m/>
    <m/>
    <m/>
    <m/>
    <m/>
    <n v="48"/>
    <n v="1"/>
    <n v="1"/>
    <n v="1"/>
    <n v="0"/>
    <n v="40"/>
    <n v="41"/>
    <n v="4"/>
    <s v="N4"/>
    <n v="45"/>
  </r>
  <r>
    <m/>
    <x v="43"/>
    <s v="A-4J-0022"/>
    <s v="09ER"/>
    <x v="0"/>
    <d v="2026-08-17T00:00:00"/>
    <d v="2026-08-21T00:00:00"/>
    <s v="Funded"/>
    <m/>
    <d v="1899-12-30T12:00:00"/>
    <d v="1899-12-30T09:00:00"/>
    <d v="1899-12-30T19:00:00"/>
    <d v="1899-12-30T18:00:00"/>
    <d v="1899-12-30T06:00:00"/>
    <d v="1899-12-30T01:00:00"/>
    <s v="K. Seo"/>
    <m/>
    <m/>
    <n v="45"/>
    <n v="40"/>
    <n v="2"/>
    <n v="130"/>
    <n v="5"/>
    <m/>
    <m/>
    <m/>
    <m/>
    <m/>
    <m/>
    <m/>
    <n v="83"/>
    <n v="1"/>
    <n v="1"/>
    <n v="1"/>
    <n v="0"/>
    <n v="40"/>
    <n v="40"/>
    <n v="4"/>
    <s v="N4"/>
    <n v="45"/>
  </r>
  <r>
    <s v="Memorial Day"/>
    <x v="11"/>
    <s v="Holiday"/>
    <s v="Holiday"/>
    <x v="5"/>
    <d v="2026-05-25T00:00:00"/>
    <d v="2026-05-25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-5"/>
    <n v="0"/>
    <n v="0"/>
    <n v="1"/>
    <n v="0"/>
    <n v="0"/>
    <m/>
    <n v="3"/>
    <s v="TSD"/>
    <n v="0"/>
  </r>
  <r>
    <m/>
    <x v="43"/>
    <s v="A-4J-0022"/>
    <s v="09ER"/>
    <x v="0"/>
    <d v="2026-09-13T00:00:00"/>
    <d v="2026-09-17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40"/>
    <n v="2"/>
    <n v="63"/>
    <n v="1"/>
    <m/>
    <m/>
    <m/>
    <m/>
    <m/>
    <m/>
    <m/>
    <n v="110"/>
    <n v="1"/>
    <n v="1"/>
    <n v="1"/>
    <n v="0"/>
    <n v="40"/>
    <n v="44"/>
    <n v="4"/>
    <s v="N4"/>
    <n v="45"/>
  </r>
  <r>
    <m/>
    <x v="0"/>
    <s v="A-493-0550"/>
    <s v="09K5"/>
    <x v="0"/>
    <d v="2026-05-26T00:00:00"/>
    <d v="2026-05-29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4"/>
    <n v="0"/>
    <m/>
    <m/>
    <m/>
    <m/>
    <m/>
    <m/>
    <n v="-1"/>
    <n v="1"/>
    <n v="0"/>
    <n v="1"/>
    <n v="0"/>
    <n v="32"/>
    <n v="1"/>
    <n v="3"/>
    <s v="N5"/>
    <n v="45"/>
  </r>
  <r>
    <s v="Seabees convening plus 11 students"/>
    <x v="0"/>
    <s v="A-493-0550"/>
    <s v="09K5"/>
    <x v="0"/>
    <d v="2026-06-15T00:00:00"/>
    <d v="2026-06-18T00:00:00"/>
    <s v="Funded"/>
    <m/>
    <d v="1899-12-30T11:00:00"/>
    <d v="1899-12-30T08:00:00"/>
    <d v="1899-12-30T18:00:00"/>
    <d v="1899-12-30T17:00:00"/>
    <d v="1899-12-30T06:00:00"/>
    <d v="1899-12-30T00:01:00"/>
    <s v="N. DeCastro"/>
    <m/>
    <m/>
    <n v="45"/>
    <n v="32"/>
    <n v="4"/>
    <n v="180"/>
    <n v="45"/>
    <n v="5"/>
    <m/>
    <m/>
    <m/>
    <m/>
    <m/>
    <m/>
    <n v="19"/>
    <n v="1"/>
    <n v="1"/>
    <n v="1"/>
    <n v="0"/>
    <n v="32"/>
    <n v="0"/>
    <n v="3"/>
    <s v="N5"/>
    <n v="45"/>
  </r>
  <r>
    <m/>
    <x v="0"/>
    <s v="A-493-0550"/>
    <s v="09K5"/>
    <x v="0"/>
    <d v="2026-06-29T00:00:00"/>
    <d v="2026-07-02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45"/>
    <n v="0"/>
    <m/>
    <m/>
    <m/>
    <m/>
    <m/>
    <m/>
    <n v="33"/>
    <n v="1"/>
    <n v="1"/>
    <n v="1"/>
    <n v="0"/>
    <n v="32"/>
    <n v="0"/>
    <n v="3"/>
    <s v="N5"/>
    <n v="45"/>
  </r>
  <r>
    <m/>
    <x v="0"/>
    <s v="A-493-0550"/>
    <s v="09K5"/>
    <x v="0"/>
    <d v="2026-07-07T00:00:00"/>
    <d v="2026-07-10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21"/>
    <n v="0"/>
    <m/>
    <m/>
    <m/>
    <m/>
    <m/>
    <m/>
    <n v="41"/>
    <n v="1"/>
    <n v="1"/>
    <n v="1"/>
    <n v="0"/>
    <n v="32"/>
    <n v="24"/>
    <n v="4"/>
    <s v="N5"/>
    <n v="45"/>
  </r>
  <r>
    <m/>
    <x v="0"/>
    <s v="A-493-0550"/>
    <s v="09K5"/>
    <x v="0"/>
    <d v="2026-07-28T00:00:00"/>
    <d v="2026-07-31T00:00:00"/>
    <s v="Funded"/>
    <m/>
    <d v="1899-12-30T08:00:00"/>
    <d v="1899-12-30T05:00:00"/>
    <d v="1899-12-30T15:00:00"/>
    <d v="1899-12-30T13:00:00"/>
    <d v="1899-12-30T02:00:00"/>
    <d v="1899-12-30T21:00:00"/>
    <s v="N. DeCastro"/>
    <m/>
    <m/>
    <n v="45"/>
    <n v="32"/>
    <n v="4"/>
    <n v="455"/>
    <n v="12"/>
    <n v="0"/>
    <m/>
    <m/>
    <m/>
    <m/>
    <m/>
    <m/>
    <n v="62"/>
    <n v="1"/>
    <n v="1"/>
    <n v="1"/>
    <n v="0"/>
    <n v="32"/>
    <n v="33"/>
    <n v="4"/>
    <s v="N5"/>
    <n v="45"/>
  </r>
  <r>
    <m/>
    <x v="0"/>
    <s v="A-493-0550"/>
    <s v="09K5"/>
    <x v="0"/>
    <d v="2026-08-11T00:00:00"/>
    <d v="2026-08-14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4"/>
    <n v="0"/>
    <m/>
    <m/>
    <m/>
    <m/>
    <m/>
    <m/>
    <n v="76"/>
    <n v="1"/>
    <n v="1"/>
    <n v="1"/>
    <n v="0"/>
    <n v="32"/>
    <n v="41"/>
    <n v="4"/>
    <s v="N5"/>
    <n v="45"/>
  </r>
  <r>
    <m/>
    <x v="0"/>
    <s v="A-493-0550"/>
    <s v="09K5"/>
    <x v="0"/>
    <d v="2026-08-24T00:00:00"/>
    <d v="2026-08-27T00:00:00"/>
    <s v="Funded"/>
    <m/>
    <d v="1899-12-30T19:00:00"/>
    <d v="1899-12-30T16:00:00"/>
    <d v="1899-12-30T02:00:00"/>
    <d v="1899-12-30T00:00:00"/>
    <d v="1899-12-30T13:00:00"/>
    <d v="1899-12-30T08:00:00"/>
    <s v="N. DeCastro"/>
    <m/>
    <m/>
    <n v="45"/>
    <n v="32"/>
    <n v="4"/>
    <n v="455"/>
    <n v="1"/>
    <n v="0"/>
    <m/>
    <m/>
    <m/>
    <m/>
    <m/>
    <m/>
    <n v="89"/>
    <n v="1"/>
    <n v="1"/>
    <n v="1"/>
    <n v="0"/>
    <n v="32"/>
    <n v="44"/>
    <n v="4"/>
    <s v="N5"/>
    <n v="45"/>
  </r>
  <r>
    <m/>
    <x v="0"/>
    <s v="A-493-0550"/>
    <s v="09K5"/>
    <x v="0"/>
    <d v="2026-09-14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N. DeCastro"/>
    <m/>
    <m/>
    <n v="45"/>
    <n v="32"/>
    <n v="4"/>
    <n v="864"/>
    <n v="10"/>
    <n v="0"/>
    <m/>
    <m/>
    <m/>
    <m/>
    <m/>
    <m/>
    <n v="110"/>
    <n v="1"/>
    <n v="1"/>
    <n v="1"/>
    <n v="0"/>
    <n v="32"/>
    <n v="35"/>
    <n v="4"/>
    <s v="N5"/>
    <n v="45"/>
  </r>
  <r>
    <m/>
    <x v="40"/>
    <s v="A-493-0335"/>
    <s v="09ND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D. Hamilton"/>
    <m/>
    <m/>
    <n v="45"/>
    <n v="32"/>
    <n v="4"/>
    <n v="119"/>
    <n v="10"/>
    <n v="0"/>
    <m/>
    <m/>
    <m/>
    <m/>
    <m/>
    <m/>
    <n v="5"/>
    <n v="1"/>
    <n v="0"/>
    <n v="1"/>
    <n v="0"/>
    <n v="32"/>
    <n v="35"/>
    <n v="3"/>
    <s v="N3"/>
    <n v="45"/>
  </r>
  <r>
    <m/>
    <x v="40"/>
    <s v="A-493-0335"/>
    <s v="09ND"/>
    <x v="0"/>
    <d v="2026-06-22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D. Hamilton"/>
    <m/>
    <m/>
    <n v="45"/>
    <n v="32"/>
    <n v="4"/>
    <n v="537"/>
    <n v="18"/>
    <n v="0"/>
    <m/>
    <m/>
    <m/>
    <m/>
    <m/>
    <m/>
    <n v="26"/>
    <n v="1"/>
    <n v="1"/>
    <n v="1"/>
    <n v="0"/>
    <n v="32"/>
    <n v="27"/>
    <n v="3"/>
    <s v="N3"/>
    <n v="45"/>
  </r>
  <r>
    <m/>
    <x v="40"/>
    <s v="A-493-0335"/>
    <s v="09ND"/>
    <x v="0"/>
    <d v="2026-08-17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A. Harris"/>
    <m/>
    <m/>
    <n v="45"/>
    <n v="32"/>
    <n v="4"/>
    <n v="537"/>
    <n v="8"/>
    <n v="0"/>
    <m/>
    <m/>
    <m/>
    <m/>
    <m/>
    <m/>
    <n v="82"/>
    <n v="1"/>
    <n v="1"/>
    <n v="1"/>
    <n v="0"/>
    <n v="32"/>
    <n v="37"/>
    <n v="4"/>
    <s v="N3"/>
    <n v="45"/>
  </r>
  <r>
    <m/>
    <x v="40"/>
    <s v="A-493-0335"/>
    <s v="09ND"/>
    <x v="0"/>
    <d v="2026-09-22T00:00:00"/>
    <d v="2026-09-25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45"/>
    <n v="32"/>
    <n v="4"/>
    <n v="301"/>
    <n v="12"/>
    <n v="0"/>
    <m/>
    <m/>
    <m/>
    <m/>
    <m/>
    <m/>
    <n v="118"/>
    <n v="1"/>
    <n v="1"/>
    <n v="1"/>
    <n v="0"/>
    <n v="32"/>
    <n v="33"/>
    <n v="4"/>
    <s v="N3"/>
    <n v="45"/>
  </r>
  <r>
    <m/>
    <x v="8"/>
    <s v="A-493-2098"/>
    <s v="09WW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100"/>
    <n v="0"/>
    <m/>
    <m/>
    <m/>
    <m/>
    <m/>
    <m/>
    <n v="-10"/>
    <n v="1"/>
    <n v="0"/>
    <n v="1"/>
    <n v="0"/>
    <n v="16"/>
    <n v="0"/>
    <n v="3"/>
    <s v="N8"/>
    <n v="100"/>
  </r>
  <r>
    <m/>
    <x v="8"/>
    <s v="A-493-2098"/>
    <s v="09WW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97"/>
    <n v="0"/>
    <m/>
    <m/>
    <m/>
    <m/>
    <m/>
    <m/>
    <n v="4"/>
    <n v="1"/>
    <n v="0"/>
    <n v="1"/>
    <n v="0"/>
    <n v="16"/>
    <n v="3"/>
    <n v="3"/>
    <s v="N8"/>
    <n v="100"/>
  </r>
  <r>
    <m/>
    <x v="8"/>
    <s v="A-493-2098"/>
    <s v="09WW"/>
    <x v="0"/>
    <d v="2026-06-15T00:00:00"/>
    <d v="2026-06-17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100"/>
    <n v="0"/>
    <m/>
    <m/>
    <m/>
    <m/>
    <m/>
    <m/>
    <n v="18"/>
    <n v="1"/>
    <n v="1"/>
    <n v="1"/>
    <n v="0"/>
    <n v="16"/>
    <n v="0"/>
    <n v="3"/>
    <s v="N8"/>
    <n v="100"/>
  </r>
  <r>
    <m/>
    <x v="8"/>
    <s v="A-493-2098"/>
    <s v="09WW"/>
    <x v="0"/>
    <d v="2026-07-13T00:00:00"/>
    <d v="2026-07-15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n v="1882"/>
    <n v="67"/>
    <m/>
    <m/>
    <m/>
    <m/>
    <m/>
    <m/>
    <m/>
    <n v="46"/>
    <n v="1"/>
    <n v="1"/>
    <n v="1"/>
    <n v="0"/>
    <n v="16"/>
    <n v="33"/>
    <n v="4"/>
    <s v="N8"/>
    <n v="100"/>
  </r>
  <r>
    <m/>
    <x v="8"/>
    <s v="A-493-2098"/>
    <s v="09WW"/>
    <x v="0"/>
    <d v="2026-08-10T00:00:00"/>
    <d v="2026-08-12T00:00:00"/>
    <s v="Funded"/>
    <m/>
    <d v="1899-12-30T12:00:00"/>
    <d v="1899-12-30T09:00:00"/>
    <d v="1899-12-30T19:00:00"/>
    <d v="1899-12-30T18:00:00"/>
    <d v="1899-12-30T06:00:00"/>
    <d v="1899-12-30T01:00:00"/>
    <s v="EMC Stroughn"/>
    <m/>
    <m/>
    <n v="100"/>
    <n v="16"/>
    <n v="3"/>
    <m/>
    <n v="44"/>
    <m/>
    <m/>
    <m/>
    <m/>
    <m/>
    <m/>
    <m/>
    <n v="74"/>
    <n v="1"/>
    <n v="1"/>
    <n v="1"/>
    <n v="0"/>
    <n v="16"/>
    <n v="56"/>
    <n v="4"/>
    <s v="N8"/>
    <n v="100"/>
  </r>
  <r>
    <m/>
    <x v="8"/>
    <s v="A-493-2098"/>
    <s v="09WW"/>
    <x v="0"/>
    <d v="2026-09-14T00:00:00"/>
    <d v="2026-09-16T00:00:00"/>
    <s v="Funded"/>
    <m/>
    <d v="1899-12-30T19:00:00"/>
    <d v="1899-12-30T16:00:00"/>
    <d v="1899-12-30T02:00:00"/>
    <d v="1899-12-30T00:00:00"/>
    <d v="1899-12-30T13:00:00"/>
    <d v="1899-12-30T08:00:00"/>
    <s v="EMC Stroughn"/>
    <m/>
    <m/>
    <n v="100"/>
    <n v="16"/>
    <n v="3"/>
    <n v="356"/>
    <n v="5"/>
    <m/>
    <m/>
    <m/>
    <m/>
    <m/>
    <m/>
    <m/>
    <n v="109"/>
    <n v="1"/>
    <n v="1"/>
    <n v="1"/>
    <n v="0"/>
    <n v="16"/>
    <n v="95"/>
    <n v="4"/>
    <s v="N8"/>
    <n v="100"/>
  </r>
  <r>
    <m/>
    <x v="36"/>
    <s v="A-493-0665"/>
    <s v="10KW"/>
    <x v="0"/>
    <d v="2026-06-08T00:00:00"/>
    <d v="2026-06-10T00:00:00"/>
    <s v="Funded"/>
    <m/>
    <d v="1899-12-30T19:00:00"/>
    <d v="1899-12-30T16:00:00"/>
    <d v="1899-12-30T02:00:00"/>
    <d v="1899-12-30T00:00:00"/>
    <d v="1899-12-30T13:00:00"/>
    <d v="1899-12-30T08:00:00"/>
    <s v="AC1 Engleking"/>
    <m/>
    <m/>
    <n v="45"/>
    <n v="24"/>
    <n v="3"/>
    <n v="82"/>
    <n v="35"/>
    <n v="0"/>
    <m/>
    <m/>
    <m/>
    <m/>
    <m/>
    <m/>
    <n v="11"/>
    <n v="1"/>
    <n v="1"/>
    <n v="1"/>
    <n v="0"/>
    <n v="24"/>
    <n v="10"/>
    <n v="3"/>
    <s v="N8"/>
    <n v="45"/>
  </r>
  <r>
    <s v="Pilot Course "/>
    <x v="36"/>
    <s v="A-493-0665"/>
    <s v="10KW"/>
    <x v="0"/>
    <d v="2026-07-06T00:00:00"/>
    <d v="2026-07-08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14"/>
    <m/>
    <m/>
    <m/>
    <m/>
    <m/>
    <m/>
    <m/>
    <n v="39"/>
    <n v="1"/>
    <n v="1"/>
    <n v="1"/>
    <n v="0"/>
    <n v="24"/>
    <n v="31"/>
    <n v="4"/>
    <s v="N8"/>
    <n v="45"/>
  </r>
  <r>
    <m/>
    <x v="36"/>
    <s v="A-493-0665"/>
    <s v="10KW"/>
    <x v="0"/>
    <d v="2026-08-24T00:00:00"/>
    <d v="2026-08-26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337"/>
    <n v="7"/>
    <m/>
    <m/>
    <m/>
    <m/>
    <m/>
    <m/>
    <m/>
    <n v="88"/>
    <n v="1"/>
    <n v="1"/>
    <n v="1"/>
    <n v="0"/>
    <n v="24"/>
    <n v="38"/>
    <n v="4"/>
    <s v="N8"/>
    <n v="45"/>
  </r>
  <r>
    <m/>
    <x v="36"/>
    <s v="A-493-0665"/>
    <s v="10KW"/>
    <x v="0"/>
    <d v="2026-09-14T00:00:00"/>
    <d v="2026-09-16T00:00:00"/>
    <s v="Funded"/>
    <m/>
    <d v="1899-12-30T08:00:00"/>
    <d v="1899-12-30T05:00:00"/>
    <d v="1899-12-30T15:00:00"/>
    <d v="1899-12-30T13:00:00"/>
    <d v="1899-12-30T02:00:00"/>
    <d v="1899-12-30T21:00:00"/>
    <s v="LSC Kitivi"/>
    <m/>
    <m/>
    <n v="45"/>
    <n v="24"/>
    <n v="3"/>
    <m/>
    <n v="0"/>
    <m/>
    <m/>
    <m/>
    <m/>
    <m/>
    <m/>
    <m/>
    <n v="109"/>
    <n v="1"/>
    <n v="1"/>
    <n v="1"/>
    <n v="0"/>
    <n v="0"/>
    <n v="45"/>
    <m/>
    <s v="N8"/>
    <n v="45"/>
  </r>
  <r>
    <m/>
    <x v="12"/>
    <s v="A-493-0331"/>
    <s v="10UG"/>
    <x v="0"/>
    <d v="2026-06-09T00:00:00"/>
    <d v="2026-06-11T00:00:00"/>
    <s v="Funded"/>
    <m/>
    <d v="1899-12-30T08:00:00"/>
    <d v="1899-12-30T05:00:00"/>
    <d v="1899-12-30T15:00:00"/>
    <d v="1899-12-30T13:00:00"/>
    <d v="1899-12-30T02:00:00"/>
    <d v="1899-12-30T21:00:00"/>
    <s v="D. Hamilton"/>
    <m/>
    <m/>
    <n v="45"/>
    <n v="24"/>
    <n v="3"/>
    <n v="470"/>
    <n v="45"/>
    <n v="0"/>
    <m/>
    <m/>
    <m/>
    <m/>
    <m/>
    <m/>
    <n v="12"/>
    <n v="1"/>
    <n v="1"/>
    <n v="1"/>
    <n v="0"/>
    <n v="24"/>
    <n v="0"/>
    <n v="3"/>
    <s v="N3"/>
    <n v="45"/>
  </r>
  <r>
    <m/>
    <x v="12"/>
    <s v="A-493-0331"/>
    <s v="10UG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m/>
    <n v="31"/>
    <n v="0"/>
    <m/>
    <m/>
    <m/>
    <m/>
    <m/>
    <m/>
    <n v="26"/>
    <n v="1"/>
    <n v="1"/>
    <n v="1"/>
    <n v="0"/>
    <n v="24"/>
    <n v="14"/>
    <n v="3"/>
    <s v="N3"/>
    <n v="45"/>
  </r>
  <r>
    <m/>
    <x v="12"/>
    <s v="A-493-0331"/>
    <s v="10UG"/>
    <x v="0"/>
    <d v="2026-07-07T00:00:00"/>
    <d v="2026-07-09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20"/>
    <n v="0"/>
    <m/>
    <m/>
    <m/>
    <m/>
    <m/>
    <m/>
    <n v="40"/>
    <n v="1"/>
    <n v="1"/>
    <n v="1"/>
    <n v="0"/>
    <n v="24"/>
    <n v="25"/>
    <n v="4"/>
    <s v="N3"/>
    <n v="45"/>
  </r>
  <r>
    <m/>
    <x v="12"/>
    <s v="A-493-0331"/>
    <s v="10UG"/>
    <x v="0"/>
    <d v="2026-08-04T00:00:00"/>
    <d v="2026-08-06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"/>
    <n v="0"/>
    <m/>
    <m/>
    <m/>
    <m/>
    <m/>
    <m/>
    <n v="68"/>
    <n v="1"/>
    <n v="1"/>
    <n v="1"/>
    <n v="0"/>
    <n v="24"/>
    <n v="41"/>
    <n v="4"/>
    <s v="N3"/>
    <n v="45"/>
  </r>
  <r>
    <m/>
    <x v="12"/>
    <s v="A-493-0331"/>
    <s v="10UG"/>
    <x v="0"/>
    <d v="2026-08-11T00:00:00"/>
    <d v="2026-08-1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10"/>
    <n v="0"/>
    <m/>
    <m/>
    <m/>
    <m/>
    <m/>
    <m/>
    <n v="75"/>
    <n v="1"/>
    <n v="1"/>
    <n v="1"/>
    <n v="0"/>
    <n v="24"/>
    <n v="35"/>
    <n v="4"/>
    <s v="N3"/>
    <n v="45"/>
  </r>
  <r>
    <m/>
    <x v="12"/>
    <s v="A-493-0331"/>
    <s v="10UG"/>
    <x v="0"/>
    <d v="2026-09-01T00:00:00"/>
    <d v="2026-09-03T00:00:00"/>
    <s v="Funded"/>
    <m/>
    <d v="1899-12-30T19:00:00"/>
    <d v="1899-12-30T16:00:00"/>
    <d v="1899-12-30T02:00:00"/>
    <d v="1899-12-30T00:00:00"/>
    <d v="1899-12-30T13:00:00"/>
    <d v="1899-12-30T08:00:00"/>
    <s v="A. Hardy"/>
    <m/>
    <m/>
    <n v="45"/>
    <n v="24"/>
    <n v="3"/>
    <n v="183"/>
    <n v="9"/>
    <n v="0"/>
    <m/>
    <m/>
    <m/>
    <m/>
    <m/>
    <m/>
    <n v="96"/>
    <n v="1"/>
    <n v="1"/>
    <n v="1"/>
    <n v="0"/>
    <n v="24"/>
    <n v="36"/>
    <n v="4"/>
    <s v="N3"/>
    <n v="45"/>
  </r>
  <r>
    <m/>
    <x v="12"/>
    <s v="A-493-0331"/>
    <s v="10UG"/>
    <x v="0"/>
    <d v="2026-09-15T00:00:00"/>
    <d v="2026-09-17T00:00:00"/>
    <s v="Funded"/>
    <m/>
    <d v="1899-12-30T12:00:00"/>
    <d v="1899-12-30T09:00:00"/>
    <d v="1899-12-30T19:00:00"/>
    <d v="1899-12-30T18:00:00"/>
    <d v="1899-12-30T06:00:00"/>
    <d v="1899-12-30T01:00:00"/>
    <s v="D. Hamilton"/>
    <m/>
    <m/>
    <n v="45"/>
    <n v="24"/>
    <n v="3"/>
    <n v="844"/>
    <n v="2"/>
    <n v="0"/>
    <m/>
    <m/>
    <m/>
    <m/>
    <m/>
    <m/>
    <n v="110"/>
    <n v="1"/>
    <n v="1"/>
    <n v="1"/>
    <n v="0"/>
    <n v="24"/>
    <n v="43"/>
    <n v="4"/>
    <s v="N3"/>
    <n v="45"/>
  </r>
  <r>
    <m/>
    <x v="12"/>
    <s v="A-493-0331"/>
    <s v="10UG"/>
    <x v="0"/>
    <d v="2026-09-28T00:00:00"/>
    <d v="2026-09-30T00:00:00"/>
    <s v="Funded"/>
    <m/>
    <d v="1899-12-30T12:00:00"/>
    <d v="1899-12-30T09:00:00"/>
    <d v="1899-12-30T19:00:00"/>
    <d v="1899-12-30T18:00:00"/>
    <d v="1899-12-30T06:00:00"/>
    <d v="1899-12-30T01:00:00"/>
    <s v="A. Hardy"/>
    <m/>
    <m/>
    <n v="45"/>
    <n v="24"/>
    <n v="3"/>
    <n v="844"/>
    <n v="4"/>
    <n v="0"/>
    <m/>
    <m/>
    <m/>
    <m/>
    <m/>
    <m/>
    <n v="123"/>
    <n v="1"/>
    <n v="1"/>
    <n v="1"/>
    <n v="0"/>
    <n v="24"/>
    <n v="41"/>
    <n v="4"/>
    <s v="N3"/>
    <n v="45"/>
  </r>
  <r>
    <m/>
    <x v="6"/>
    <s v="A-322-2604"/>
    <s v="10ZZ"/>
    <x v="0"/>
    <d v="2026-05-18T00:00:00"/>
    <d v="2026-05-20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5"/>
    <n v="0"/>
    <m/>
    <m/>
    <m/>
    <m/>
    <m/>
    <m/>
    <n v="-10"/>
    <n v="1"/>
    <n v="0"/>
    <n v="1"/>
    <n v="0"/>
    <n v="24"/>
    <n v="0"/>
    <n v="3"/>
    <s v="N8"/>
    <n v="45"/>
  </r>
  <r>
    <m/>
    <x v="6"/>
    <s v="A-322-2604"/>
    <s v="10ZZ"/>
    <x v="0"/>
    <d v="2026-06-01T00:00:00"/>
    <d v="2026-06-03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44"/>
    <n v="0"/>
    <m/>
    <m/>
    <m/>
    <m/>
    <m/>
    <m/>
    <n v="4"/>
    <n v="1"/>
    <n v="0"/>
    <n v="1"/>
    <n v="0"/>
    <n v="24"/>
    <n v="1"/>
    <n v="3"/>
    <s v="N8"/>
    <n v="45"/>
  </r>
  <r>
    <m/>
    <x v="6"/>
    <s v="A-322-2604"/>
    <s v="10ZZ"/>
    <x v="0"/>
    <d v="2026-06-23T00:00:00"/>
    <d v="2026-06-25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35"/>
    <n v="0"/>
    <m/>
    <m/>
    <m/>
    <m/>
    <m/>
    <m/>
    <n v="26"/>
    <n v="1"/>
    <n v="1"/>
    <n v="1"/>
    <n v="0"/>
    <n v="24"/>
    <n v="10"/>
    <n v="3"/>
    <s v="N8"/>
    <n v="45"/>
  </r>
  <r>
    <m/>
    <x v="6"/>
    <s v="A-322-2604"/>
    <s v="10ZZ"/>
    <x v="0"/>
    <d v="2026-06-29T00:00:00"/>
    <d v="2026-07-01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24"/>
    <n v="3"/>
    <n v="621"/>
    <n v="10"/>
    <n v="0"/>
    <m/>
    <m/>
    <m/>
    <m/>
    <m/>
    <m/>
    <n v="32"/>
    <n v="1"/>
    <n v="1"/>
    <n v="1"/>
    <n v="0"/>
    <n v="24"/>
    <n v="35"/>
    <n v="3"/>
    <s v="N8"/>
    <n v="45"/>
  </r>
  <r>
    <m/>
    <x v="6"/>
    <s v="A-322-2604"/>
    <s v="10ZZ"/>
    <x v="0"/>
    <d v="2026-07-13T00:00:00"/>
    <d v="2026-07-15T00:00:00"/>
    <s v="Funded"/>
    <m/>
    <d v="1899-12-30T08:00:00"/>
    <d v="1899-12-30T05:00:00"/>
    <d v="1899-12-30T15:00:00"/>
    <d v="1899-12-30T13:00:00"/>
    <d v="1899-12-30T02:00:00"/>
    <d v="1899-12-30T21:00:00"/>
    <s v="LSC Kitivi"/>
    <m/>
    <m/>
    <n v="45"/>
    <n v="24"/>
    <n v="3"/>
    <n v="316"/>
    <n v="9"/>
    <m/>
    <m/>
    <m/>
    <m/>
    <m/>
    <m/>
    <m/>
    <n v="46"/>
    <n v="1"/>
    <n v="1"/>
    <n v="1"/>
    <n v="0"/>
    <n v="24"/>
    <n v="36"/>
    <n v="4"/>
    <s v="N8"/>
    <n v="45"/>
  </r>
  <r>
    <s v="Juneteenth"/>
    <x v="11"/>
    <s v="Holiday"/>
    <s v="Holiday"/>
    <x v="5"/>
    <d v="2026-06-19T00:00:00"/>
    <d v="2026-06-19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20"/>
    <n v="0"/>
    <n v="1"/>
    <n v="1"/>
    <n v="0"/>
    <n v="0"/>
    <m/>
    <n v="3"/>
    <s v="TSD"/>
    <n v="0"/>
  </r>
  <r>
    <m/>
    <x v="6"/>
    <s v="A-322-2604"/>
    <s v="10ZZ"/>
    <x v="0"/>
    <d v="2026-08-04T00:00:00"/>
    <d v="2026-08-06T00:00:00"/>
    <s v="Funded"/>
    <m/>
    <d v="1899-12-30T19:00:00"/>
    <d v="1899-12-30T16:00:00"/>
    <d v="1899-12-30T02:00:00"/>
    <d v="1899-12-30T00:00:00"/>
    <d v="1899-12-30T13:00:00"/>
    <d v="1899-12-30T08:00:00"/>
    <s v="LSC Kitivi"/>
    <m/>
    <m/>
    <n v="45"/>
    <n v="24"/>
    <n v="3"/>
    <n v="174"/>
    <n v="13"/>
    <m/>
    <m/>
    <m/>
    <m/>
    <m/>
    <m/>
    <m/>
    <n v="68"/>
    <n v="1"/>
    <n v="1"/>
    <n v="1"/>
    <n v="0"/>
    <n v="24"/>
    <n v="32"/>
    <n v="4"/>
    <s v="N8"/>
    <n v="45"/>
  </r>
  <r>
    <m/>
    <x v="6"/>
    <s v="A-322-2604"/>
    <s v="10ZZ"/>
    <x v="0"/>
    <d v="2026-09-08T00:00:00"/>
    <d v="2026-09-10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4"/>
    <m/>
    <m/>
    <m/>
    <m/>
    <m/>
    <m/>
    <m/>
    <n v="103"/>
    <n v="1"/>
    <n v="1"/>
    <n v="1"/>
    <n v="0"/>
    <n v="24"/>
    <n v="41"/>
    <n v="4"/>
    <s v="N8"/>
    <n v="45"/>
  </r>
  <r>
    <m/>
    <x v="6"/>
    <s v="A-322-2604"/>
    <s v="10ZZ"/>
    <x v="0"/>
    <d v="2026-09-21T00:00:00"/>
    <d v="2026-09-23T00:00:00"/>
    <s v="Funded"/>
    <m/>
    <d v="1899-12-30T12:00:00"/>
    <d v="1899-12-30T09:00:00"/>
    <d v="1899-12-30T19:00:00"/>
    <d v="1899-12-30T18:00:00"/>
    <d v="1899-12-30T06:00:00"/>
    <d v="1899-12-30T01:00:00"/>
    <s v="LSC Kitivi"/>
    <m/>
    <m/>
    <n v="45"/>
    <n v="24"/>
    <n v="3"/>
    <n v="621"/>
    <n v="4"/>
    <m/>
    <m/>
    <m/>
    <m/>
    <m/>
    <m/>
    <m/>
    <n v="116"/>
    <n v="1"/>
    <n v="1"/>
    <n v="1"/>
    <n v="0"/>
    <n v="24"/>
    <n v="41"/>
    <n v="4"/>
    <s v="N8"/>
    <n v="45"/>
  </r>
  <r>
    <m/>
    <x v="41"/>
    <s v="F-4J-0023"/>
    <s v="11A2"/>
    <x v="0"/>
    <d v="2026-06-15T00:00:00"/>
    <d v="2026-06-16T00:00:00"/>
    <s v="Funded"/>
    <m/>
    <d v="1899-12-30T12:00:00"/>
    <d v="1899-12-30T09:00:00"/>
    <d v="1899-12-30T19:00:00"/>
    <d v="1899-12-30T18:00:00"/>
    <d v="1899-12-30T06:00:00"/>
    <d v="1899-12-30T01:00:00"/>
    <s v="LT Kasun"/>
    <m/>
    <m/>
    <n v="45"/>
    <n v="16"/>
    <n v="2"/>
    <n v="1882"/>
    <n v="17"/>
    <n v="0"/>
    <m/>
    <m/>
    <m/>
    <m/>
    <m/>
    <m/>
    <n v="17"/>
    <n v="1"/>
    <n v="1"/>
    <n v="1"/>
    <n v="0"/>
    <n v="16"/>
    <n v="28"/>
    <n v="3"/>
    <s v="N8"/>
    <n v="45"/>
  </r>
  <r>
    <m/>
    <x v="41"/>
    <s v="F-4J-0023"/>
    <s v="11A2"/>
    <x v="0"/>
    <d v="2026-09-14T00:00:00"/>
    <d v="2026-09-15T00:00:00"/>
    <s v="Funded"/>
    <m/>
    <d v="1899-12-30T08:00:00"/>
    <d v="1899-12-30T05:00:00"/>
    <d v="1899-12-30T15:00:00"/>
    <d v="1899-12-30T13:00:00"/>
    <d v="1899-12-30T02:00:00"/>
    <d v="1899-12-30T21:00:00"/>
    <s v="LT Kasun"/>
    <m/>
    <m/>
    <n v="45"/>
    <n v="16"/>
    <n v="2"/>
    <n v="28"/>
    <n v="4"/>
    <n v="0"/>
    <m/>
    <m/>
    <m/>
    <m/>
    <m/>
    <m/>
    <n v="108"/>
    <n v="1"/>
    <n v="1"/>
    <n v="1"/>
    <n v="0"/>
    <n v="16"/>
    <n v="41"/>
    <n v="4"/>
    <s v="N8"/>
    <n v="45"/>
  </r>
  <r>
    <m/>
    <x v="1"/>
    <s v="A-493-0099"/>
    <s v="12JW"/>
    <x v="0"/>
    <d v="2026-05-27T00:00:00"/>
    <d v="2026-05-29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28"/>
    <n v="0"/>
    <m/>
    <m/>
    <m/>
    <m/>
    <m/>
    <m/>
    <n v="-1"/>
    <n v="1"/>
    <n v="0"/>
    <n v="1"/>
    <n v="0"/>
    <n v="24"/>
    <n v="17"/>
    <n v="3"/>
    <s v="N5"/>
    <n v="45"/>
  </r>
  <r>
    <m/>
    <x v="1"/>
    <s v="A-493-0099"/>
    <s v="12JW"/>
    <x v="0"/>
    <d v="2026-06-16T00:00:00"/>
    <d v="2026-06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28"/>
    <n v="0"/>
    <m/>
    <m/>
    <m/>
    <m/>
    <m/>
    <m/>
    <n v="19"/>
    <n v="1"/>
    <n v="1"/>
    <n v="1"/>
    <n v="0"/>
    <n v="24"/>
    <n v="17"/>
    <n v="3"/>
    <s v="N5"/>
    <n v="45"/>
  </r>
  <r>
    <m/>
    <x v="1"/>
    <s v="A-493-0099"/>
    <s v="12JW"/>
    <x v="0"/>
    <d v="2026-06-24T00:00:00"/>
    <d v="2026-06-2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406"/>
    <n v="10"/>
    <n v="0"/>
    <m/>
    <m/>
    <m/>
    <m/>
    <m/>
    <m/>
    <n v="27"/>
    <n v="1"/>
    <n v="1"/>
    <n v="1"/>
    <n v="0"/>
    <n v="24"/>
    <n v="35"/>
    <n v="3"/>
    <s v="N5"/>
    <n v="45"/>
  </r>
  <r>
    <m/>
    <x v="1"/>
    <s v="A-493-0099"/>
    <s v="12JW"/>
    <x v="0"/>
    <d v="2026-07-08T00:00:00"/>
    <d v="2026-07-10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334"/>
    <n v="5"/>
    <m/>
    <m/>
    <m/>
    <m/>
    <m/>
    <m/>
    <m/>
    <n v="41"/>
    <n v="1"/>
    <n v="1"/>
    <n v="1"/>
    <n v="0"/>
    <n v="24"/>
    <n v="40"/>
    <n v="4"/>
    <s v="N5"/>
    <n v="45"/>
  </r>
  <r>
    <m/>
    <x v="1"/>
    <s v="A-493-0099"/>
    <s v="12JW"/>
    <x v="0"/>
    <d v="2026-07-22T00:00:00"/>
    <d v="2026-07-24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1041"/>
    <n v="11"/>
    <m/>
    <m/>
    <m/>
    <m/>
    <m/>
    <m/>
    <m/>
    <n v="55"/>
    <n v="1"/>
    <n v="1"/>
    <n v="1"/>
    <n v="0"/>
    <n v="24"/>
    <n v="34"/>
    <n v="4"/>
    <s v="N5"/>
    <n v="45"/>
  </r>
  <r>
    <m/>
    <x v="1"/>
    <s v="A-493-0099"/>
    <s v="12JW"/>
    <x v="0"/>
    <d v="2026-08-04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n v="6"/>
    <m/>
    <m/>
    <m/>
    <m/>
    <m/>
    <m/>
    <m/>
    <n v="68"/>
    <n v="1"/>
    <n v="1"/>
    <n v="1"/>
    <n v="0"/>
    <n v="24"/>
    <n v="39"/>
    <n v="4"/>
    <s v="N5"/>
    <n v="45"/>
  </r>
  <r>
    <m/>
    <x v="1"/>
    <s v="A-493-0099"/>
    <s v="12JW"/>
    <x v="0"/>
    <d v="2026-08-18T00:00:00"/>
    <d v="2026-08-20T00:00:00"/>
    <s v="Funded"/>
    <m/>
    <d v="1899-12-30T12:00:00"/>
    <d v="1899-12-30T09:00:00"/>
    <d v="1899-12-30T19:00:00"/>
    <d v="1899-12-30T18:00:00"/>
    <d v="1899-12-30T06:00:00"/>
    <d v="1899-12-30T01:00:00"/>
    <s v="V. Kentish"/>
    <m/>
    <m/>
    <n v="45"/>
    <n v="24"/>
    <n v="3"/>
    <n v="934"/>
    <n v="1"/>
    <m/>
    <m/>
    <m/>
    <m/>
    <m/>
    <m/>
    <m/>
    <n v="82"/>
    <n v="1"/>
    <n v="1"/>
    <n v="1"/>
    <n v="0"/>
    <n v="24"/>
    <n v="44"/>
    <n v="4"/>
    <s v="N5"/>
    <n v="45"/>
  </r>
  <r>
    <m/>
    <x v="1"/>
    <s v="A-493-0099"/>
    <s v="12JW"/>
    <x v="0"/>
    <d v="2026-09-02T00:00:00"/>
    <d v="2026-09-04T00:00:00"/>
    <s v="Funded"/>
    <m/>
    <d v="1899-12-30T19:00:00"/>
    <d v="1899-12-30T16:00:00"/>
    <d v="1899-12-30T02:00:00"/>
    <d v="1899-12-30T00:00:00"/>
    <d v="1899-12-30T13:00:00"/>
    <d v="1899-12-30T08:00:00"/>
    <s v="V. Kentish"/>
    <m/>
    <m/>
    <n v="45"/>
    <n v="24"/>
    <n v="3"/>
    <n v="224"/>
    <n v="1"/>
    <m/>
    <m/>
    <m/>
    <m/>
    <m/>
    <m/>
    <m/>
    <n v="97"/>
    <n v="1"/>
    <n v="1"/>
    <n v="1"/>
    <n v="0"/>
    <n v="24"/>
    <n v="44"/>
    <n v="4"/>
    <s v="N5"/>
    <n v="45"/>
  </r>
  <r>
    <m/>
    <x v="1"/>
    <s v="A-493-0099"/>
    <s v="12JW"/>
    <x v="0"/>
    <d v="2026-09-16T00:00:00"/>
    <d v="2026-09-18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334"/>
    <n v="0"/>
    <m/>
    <m/>
    <m/>
    <m/>
    <m/>
    <m/>
    <m/>
    <n v="111"/>
    <n v="1"/>
    <n v="1"/>
    <n v="1"/>
    <n v="0"/>
    <n v="24"/>
    <n v="45"/>
    <n v="4"/>
    <s v="N5"/>
    <n v="45"/>
  </r>
  <r>
    <m/>
    <x v="1"/>
    <s v="A-493-0099"/>
    <s v="12JW"/>
    <x v="0"/>
    <d v="2026-09-28T00:00:00"/>
    <d v="2026-09-30T00:00:00"/>
    <s v="Funded"/>
    <m/>
    <d v="1899-12-30T08:00:00"/>
    <d v="1899-12-30T05:00:00"/>
    <d v="1899-12-30T15:00:00"/>
    <d v="1899-12-30T13:00:00"/>
    <d v="1899-12-30T02:00:00"/>
    <d v="1899-12-30T21:00:00"/>
    <s v="V. Kentish"/>
    <m/>
    <m/>
    <n v="45"/>
    <n v="24"/>
    <n v="3"/>
    <n v="934"/>
    <n v="1"/>
    <n v="0"/>
    <m/>
    <m/>
    <m/>
    <m/>
    <m/>
    <m/>
    <n v="123"/>
    <n v="1"/>
    <n v="1"/>
    <n v="1"/>
    <n v="0"/>
    <n v="24"/>
    <n v="44"/>
    <n v="3"/>
    <s v="N5"/>
    <n v="45"/>
  </r>
  <r>
    <m/>
    <x v="4"/>
    <s v="A-493-0103"/>
    <s v="12JY"/>
    <x v="19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39"/>
    <n v="14"/>
    <n v="0"/>
    <m/>
    <m/>
    <m/>
    <m/>
    <m/>
    <m/>
    <n v="6"/>
    <n v="1"/>
    <n v="0"/>
    <n v="1"/>
    <n v="0"/>
    <n v="40"/>
    <n v="11"/>
    <n v="3"/>
    <s v="N5"/>
    <n v="25"/>
  </r>
  <r>
    <m/>
    <x v="4"/>
    <s v="A-493-0103"/>
    <s v="12JY"/>
    <x v="4"/>
    <d v="2026-06-01T00:00:00"/>
    <d v="2026-06-05T00:00:00"/>
    <s v="Funded"/>
    <d v="1899-12-30T08:00:00"/>
    <m/>
    <m/>
    <m/>
    <m/>
    <m/>
    <m/>
    <s v="SOH Contractor"/>
    <m/>
    <m/>
    <n v="25"/>
    <n v="40"/>
    <n v="5"/>
    <n v="512"/>
    <n v="21"/>
    <n v="3"/>
    <m/>
    <m/>
    <m/>
    <m/>
    <m/>
    <m/>
    <n v="6"/>
    <n v="1"/>
    <n v="0"/>
    <n v="1"/>
    <n v="0"/>
    <n v="40"/>
    <n v="4"/>
    <n v="3"/>
    <s v="N5"/>
    <n v="25"/>
  </r>
  <r>
    <s v="July 4th Function"/>
    <x v="44"/>
    <s v="Function"/>
    <s v="Function"/>
    <x v="2"/>
    <d v="2026-06-30T00:00:00"/>
    <d v="2026-06-30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31"/>
    <n v="0"/>
    <n v="1"/>
    <n v="1"/>
    <n v="0"/>
    <n v="0"/>
    <n v="0"/>
    <n v="3"/>
    <s v="TSD"/>
    <n v="0"/>
  </r>
  <r>
    <s v="Independence Day"/>
    <x v="11"/>
    <s v="Holiday"/>
    <s v="Holiday"/>
    <x v="5"/>
    <d v="2026-07-03T00:00:00"/>
    <d v="2026-07-0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34"/>
    <n v="0"/>
    <n v="1"/>
    <n v="1"/>
    <n v="0"/>
    <n v="0"/>
    <m/>
    <n v="4"/>
    <s v="TSD"/>
    <n v="0"/>
  </r>
  <r>
    <m/>
    <x v="4"/>
    <s v="A-493-0103"/>
    <s v="12JY"/>
    <x v="4"/>
    <d v="2026-06-08T00:00:00"/>
    <d v="2026-06-12T00:00:00"/>
    <s v="Funded"/>
    <d v="1899-12-30T08:00:00"/>
    <m/>
    <m/>
    <m/>
    <m/>
    <m/>
    <m/>
    <s v="SOH Contractor"/>
    <m/>
    <m/>
    <n v="25"/>
    <n v="40"/>
    <n v="5"/>
    <n v="512"/>
    <n v="25"/>
    <n v="1"/>
    <m/>
    <m/>
    <m/>
    <m/>
    <m/>
    <m/>
    <n v="13"/>
    <n v="1"/>
    <n v="1"/>
    <n v="1"/>
    <n v="0"/>
    <n v="40"/>
    <n v="0"/>
    <n v="3"/>
    <s v="N5"/>
    <n v="25"/>
  </r>
  <r>
    <m/>
    <x v="4"/>
    <s v="A-493-0103"/>
    <s v="12JY"/>
    <x v="48"/>
    <d v="2026-06-08T00:00:00"/>
    <d v="2026-06-12T00:00:00"/>
    <s v="Funded"/>
    <d v="1899-12-30T08:00:00"/>
    <m/>
    <m/>
    <m/>
    <m/>
    <m/>
    <m/>
    <s v="SOH Contractor"/>
    <m/>
    <m/>
    <n v="25"/>
    <n v="40"/>
    <n v="5"/>
    <m/>
    <n v="11"/>
    <n v="0"/>
    <m/>
    <m/>
    <m/>
    <m/>
    <m/>
    <m/>
    <n v="13"/>
    <n v="1"/>
    <n v="1"/>
    <n v="1"/>
    <n v="0"/>
    <n v="40"/>
    <n v="14"/>
    <n v="3"/>
    <s v="N5"/>
    <n v="25"/>
  </r>
  <r>
    <m/>
    <x v="4"/>
    <s v="A-493-0103"/>
    <s v="12JY"/>
    <x v="10"/>
    <d v="2026-06-15T00:00:00"/>
    <d v="2026-06-19T00:00:00"/>
    <s v="Funded"/>
    <d v="1899-12-30T08:00:00"/>
    <m/>
    <m/>
    <m/>
    <m/>
    <m/>
    <m/>
    <s v="SOH Contractor"/>
    <m/>
    <m/>
    <n v="25"/>
    <n v="40"/>
    <n v="5"/>
    <n v="225"/>
    <n v="25"/>
    <n v="0"/>
    <m/>
    <m/>
    <m/>
    <m/>
    <m/>
    <m/>
    <n v="20"/>
    <n v="1"/>
    <n v="1"/>
    <n v="1"/>
    <n v="0"/>
    <n v="40"/>
    <n v="0"/>
    <n v="3"/>
    <s v="N5"/>
    <n v="25"/>
  </r>
  <r>
    <m/>
    <x v="4"/>
    <s v="A-493-0103"/>
    <s v="12JY"/>
    <x v="49"/>
    <d v="2026-07-13T00:00:00"/>
    <d v="2026-07-17T00:00:00"/>
    <s v="Funded"/>
    <d v="1899-12-30T08:00:00"/>
    <m/>
    <m/>
    <m/>
    <m/>
    <m/>
    <m/>
    <s v="SOH Contractor"/>
    <m/>
    <m/>
    <n v="25"/>
    <n v="40"/>
    <n v="5"/>
    <n v="55"/>
    <n v="5"/>
    <n v="0"/>
    <m/>
    <m/>
    <m/>
    <m/>
    <m/>
    <m/>
    <n v="48"/>
    <n v="1"/>
    <n v="1"/>
    <n v="1"/>
    <n v="0"/>
    <n v="40"/>
    <n v="20"/>
    <n v="4"/>
    <s v="N5"/>
    <n v="25"/>
  </r>
  <r>
    <m/>
    <x v="4"/>
    <s v="A-493-0103"/>
    <s v="12JY"/>
    <x v="43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67"/>
    <n v="7"/>
    <n v="0"/>
    <m/>
    <m/>
    <m/>
    <m/>
    <m/>
    <m/>
    <n v="55"/>
    <n v="1"/>
    <n v="1"/>
    <n v="1"/>
    <n v="0"/>
    <n v="40"/>
    <n v="18"/>
    <n v="4"/>
    <s v="N5"/>
    <n v="25"/>
  </r>
  <r>
    <m/>
    <x v="4"/>
    <s v="A-493-0103"/>
    <s v="12JY"/>
    <x v="49"/>
    <d v="2026-07-20T00:00:00"/>
    <d v="2026-07-24T00:00:00"/>
    <s v="Funded"/>
    <d v="1899-12-30T08:00:00"/>
    <m/>
    <m/>
    <m/>
    <m/>
    <m/>
    <m/>
    <s v="SOH Contractor"/>
    <m/>
    <m/>
    <n v="25"/>
    <n v="40"/>
    <n v="5"/>
    <n v="55"/>
    <n v="3"/>
    <n v="0"/>
    <m/>
    <m/>
    <m/>
    <m/>
    <m/>
    <m/>
    <n v="55"/>
    <n v="1"/>
    <n v="1"/>
    <n v="1"/>
    <n v="0"/>
    <n v="40"/>
    <n v="22"/>
    <n v="4"/>
    <s v="N5"/>
    <n v="25"/>
  </r>
  <r>
    <m/>
    <x v="4"/>
    <s v="A-493-0103"/>
    <s v="12JY"/>
    <x v="43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67"/>
    <n v="4"/>
    <n v="0"/>
    <m/>
    <m/>
    <m/>
    <m/>
    <m/>
    <m/>
    <n v="62"/>
    <n v="1"/>
    <n v="1"/>
    <n v="1"/>
    <n v="0"/>
    <n v="40"/>
    <n v="21"/>
    <n v="4"/>
    <s v="N5"/>
    <n v="25"/>
  </r>
  <r>
    <m/>
    <x v="4"/>
    <s v="A-493-0103"/>
    <s v="12JY"/>
    <x v="10"/>
    <d v="2026-07-27T00:00:00"/>
    <d v="2026-07-31T00:00:00"/>
    <s v="Funded"/>
    <d v="1899-12-30T08:00:00"/>
    <m/>
    <m/>
    <m/>
    <m/>
    <m/>
    <m/>
    <s v="SOH Contractor"/>
    <m/>
    <m/>
    <n v="25"/>
    <n v="40"/>
    <n v="5"/>
    <n v="225"/>
    <n v="17"/>
    <n v="0"/>
    <m/>
    <m/>
    <m/>
    <m/>
    <m/>
    <m/>
    <n v="62"/>
    <n v="1"/>
    <n v="1"/>
    <n v="1"/>
    <n v="0"/>
    <n v="40"/>
    <n v="8"/>
    <n v="4"/>
    <s v="N5"/>
    <n v="25"/>
  </r>
  <r>
    <m/>
    <x v="4"/>
    <s v="A-493-0103"/>
    <s v="12JY"/>
    <x v="30"/>
    <d v="2026-08-03T00:00:00"/>
    <d v="2026-08-07T00:00:00"/>
    <s v="Funded"/>
    <d v="1899-12-30T08:00:00"/>
    <m/>
    <m/>
    <m/>
    <m/>
    <m/>
    <m/>
    <s v="SOH Contractor"/>
    <m/>
    <m/>
    <n v="25"/>
    <n v="40"/>
    <n v="5"/>
    <n v="25"/>
    <n v="11"/>
    <n v="0"/>
    <m/>
    <m/>
    <m/>
    <m/>
    <m/>
    <m/>
    <n v="69"/>
    <n v="1"/>
    <n v="1"/>
    <n v="1"/>
    <n v="0"/>
    <n v="40"/>
    <n v="14"/>
    <n v="4"/>
    <s v="N5"/>
    <n v="25"/>
  </r>
  <r>
    <m/>
    <x v="4"/>
    <s v="A-493-0103"/>
    <s v="12JY"/>
    <x v="14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90"/>
    <n v="4"/>
    <n v="0"/>
    <m/>
    <m/>
    <m/>
    <m/>
    <m/>
    <m/>
    <n v="76"/>
    <n v="1"/>
    <n v="1"/>
    <n v="1"/>
    <n v="0"/>
    <n v="40"/>
    <n v="21"/>
    <n v="4"/>
    <s v="N5"/>
    <n v="25"/>
  </r>
  <r>
    <m/>
    <x v="4"/>
    <s v="A-493-0103"/>
    <s v="12JY"/>
    <x v="13"/>
    <d v="2026-08-10T00:00:00"/>
    <d v="2026-08-14T00:00:00"/>
    <s v="Funded"/>
    <d v="1899-12-30T08:00:00"/>
    <m/>
    <m/>
    <m/>
    <m/>
    <m/>
    <m/>
    <s v="SOH Contractor"/>
    <m/>
    <m/>
    <n v="25"/>
    <n v="40"/>
    <n v="5"/>
    <n v="84"/>
    <n v="3"/>
    <n v="0"/>
    <m/>
    <m/>
    <m/>
    <m/>
    <m/>
    <m/>
    <n v="76"/>
    <n v="1"/>
    <n v="1"/>
    <n v="1"/>
    <n v="0"/>
    <n v="40"/>
    <n v="22"/>
    <n v="4"/>
    <s v="N5"/>
    <n v="25"/>
  </r>
  <r>
    <m/>
    <x v="4"/>
    <s v="A-493-0103"/>
    <s v="12JY"/>
    <x v="50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28"/>
    <n v="2"/>
    <n v="0"/>
    <m/>
    <m/>
    <m/>
    <m/>
    <m/>
    <m/>
    <n v="83"/>
    <n v="1"/>
    <n v="1"/>
    <n v="1"/>
    <n v="0"/>
    <n v="40"/>
    <n v="23"/>
    <n v="4"/>
    <s v="N5"/>
    <n v="25"/>
  </r>
  <r>
    <m/>
    <x v="4"/>
    <s v="A-493-0103"/>
    <s v="12JY"/>
    <x v="13"/>
    <d v="2026-08-17T00:00:00"/>
    <d v="2026-08-21T00:00:00"/>
    <s v="Funded"/>
    <d v="1899-12-30T08:00:00"/>
    <m/>
    <m/>
    <m/>
    <m/>
    <m/>
    <m/>
    <s v="SOH Contractor"/>
    <m/>
    <m/>
    <n v="25"/>
    <n v="40"/>
    <n v="5"/>
    <n v="84"/>
    <n v="0"/>
    <n v="0"/>
    <m/>
    <m/>
    <m/>
    <m/>
    <m/>
    <m/>
    <n v="83"/>
    <n v="1"/>
    <n v="1"/>
    <n v="1"/>
    <n v="0"/>
    <n v="40"/>
    <n v="25"/>
    <n v="4"/>
    <s v="N5"/>
    <n v="25"/>
  </r>
  <r>
    <m/>
    <x v="4"/>
    <s v="A-493-0103"/>
    <s v="12JY"/>
    <x v="25"/>
    <d v="2026-08-24T00:00:00"/>
    <d v="2026-08-28T00:00:00"/>
    <s v="Funded"/>
    <d v="1899-12-30T08:00:00"/>
    <m/>
    <m/>
    <m/>
    <m/>
    <m/>
    <m/>
    <s v="SOH Contractor"/>
    <m/>
    <m/>
    <n v="25"/>
    <n v="40"/>
    <n v="5"/>
    <n v="107"/>
    <n v="19"/>
    <n v="0"/>
    <m/>
    <m/>
    <m/>
    <m/>
    <m/>
    <m/>
    <n v="90"/>
    <n v="1"/>
    <n v="1"/>
    <n v="1"/>
    <n v="0"/>
    <n v="40"/>
    <n v="6"/>
    <n v="3"/>
    <s v="N5"/>
    <n v="25"/>
  </r>
  <r>
    <m/>
    <x v="4"/>
    <s v="A-493-0103"/>
    <s v="12JY"/>
    <x v="2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512"/>
    <n v="25"/>
    <n v="0"/>
    <m/>
    <m/>
    <m/>
    <m/>
    <m/>
    <m/>
    <n v="111"/>
    <n v="1"/>
    <n v="1"/>
    <n v="1"/>
    <n v="0"/>
    <n v="40"/>
    <n v="0"/>
    <n v="4"/>
    <s v="N5"/>
    <n v="25"/>
  </r>
  <r>
    <m/>
    <x v="4"/>
    <s v="A-493-0103"/>
    <s v="12JY"/>
    <x v="25"/>
    <d v="2026-09-14T00:00:00"/>
    <d v="2026-09-18T00:00:00"/>
    <s v="Funded"/>
    <d v="1899-12-30T08:00:00"/>
    <m/>
    <m/>
    <m/>
    <m/>
    <m/>
    <m/>
    <s v="SOH Contractor"/>
    <m/>
    <m/>
    <n v="25"/>
    <n v="40"/>
    <n v="5"/>
    <n v="107"/>
    <n v="4"/>
    <n v="0"/>
    <m/>
    <m/>
    <m/>
    <m/>
    <m/>
    <m/>
    <n v="111"/>
    <n v="1"/>
    <n v="1"/>
    <n v="1"/>
    <n v="0"/>
    <n v="40"/>
    <n v="21"/>
    <n v="4"/>
    <s v="N5"/>
    <n v="25"/>
  </r>
  <r>
    <m/>
    <x v="4"/>
    <s v="A-493-0103"/>
    <s v="12JY"/>
    <x v="25"/>
    <d v="2026-09-21T00:00:00"/>
    <d v="2026-09-25T00:00:00"/>
    <s v="Funded"/>
    <d v="1899-12-30T08:00:00"/>
    <m/>
    <m/>
    <m/>
    <m/>
    <m/>
    <m/>
    <s v="SOH Contractor"/>
    <m/>
    <m/>
    <n v="25"/>
    <n v="40"/>
    <n v="5"/>
    <n v="107"/>
    <n v="1"/>
    <n v="0"/>
    <m/>
    <m/>
    <m/>
    <m/>
    <m/>
    <m/>
    <n v="118"/>
    <n v="1"/>
    <n v="1"/>
    <n v="1"/>
    <n v="0"/>
    <n v="40"/>
    <n v="24"/>
    <n v="4"/>
    <s v="N5"/>
    <n v="25"/>
  </r>
  <r>
    <m/>
    <x v="4"/>
    <s v="A-493-0103"/>
    <s v="12JY"/>
    <x v="10"/>
    <d v="2026-09-28T00:00:00"/>
    <d v="2026-10-02T00:00:00"/>
    <s v="Funded"/>
    <d v="1899-12-30T08:00:00"/>
    <m/>
    <m/>
    <m/>
    <m/>
    <m/>
    <m/>
    <s v="SOH Contractor"/>
    <m/>
    <m/>
    <n v="25"/>
    <n v="40"/>
    <n v="5"/>
    <n v="225"/>
    <n v="5"/>
    <n v="0"/>
    <m/>
    <m/>
    <m/>
    <m/>
    <m/>
    <m/>
    <n v="125"/>
    <n v="1"/>
    <n v="1"/>
    <n v="1"/>
    <n v="0"/>
    <n v="40"/>
    <n v="20"/>
    <n v="4"/>
    <s v="N5"/>
    <n v="25"/>
  </r>
  <r>
    <s v="AIRFORCE SPECIAL CONVENING Tank Managers – U.S. Funded Course, Quota will not be open"/>
    <x v="53"/>
    <s v="A-493-2017"/>
    <s v="12x3"/>
    <x v="51"/>
    <d v="2026-08-10T00:00:00"/>
    <d v="2026-08-14T00:00:00"/>
    <s v="Funded"/>
    <m/>
    <m/>
    <m/>
    <m/>
    <m/>
    <m/>
    <m/>
    <s v="ENV Contractor"/>
    <m/>
    <m/>
    <n v="25"/>
    <n v="40"/>
    <n v="5"/>
    <m/>
    <n v="25"/>
    <m/>
    <m/>
    <m/>
    <m/>
    <m/>
    <m/>
    <m/>
    <n v="76"/>
    <n v="1"/>
    <n v="1"/>
    <n v="1"/>
    <n v="0"/>
    <n v="40"/>
    <n v="0"/>
    <n v="4"/>
    <s v="N4"/>
    <n v="25"/>
  </r>
  <r>
    <m/>
    <x v="38"/>
    <s v="A-570-0100"/>
    <s v="18B7"/>
    <x v="0"/>
    <d v="2026-06-08T00:00:00"/>
    <d v="2026-06-09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31"/>
    <n v="0"/>
    <m/>
    <m/>
    <m/>
    <m/>
    <m/>
    <m/>
    <n v="10"/>
    <n v="1"/>
    <n v="1"/>
    <n v="1"/>
    <n v="0"/>
    <n v="16"/>
    <n v="14"/>
    <n v="3"/>
    <s v="N8"/>
    <n v="45"/>
  </r>
  <r>
    <m/>
    <x v="38"/>
    <s v="A-570-0100"/>
    <s v="18B7"/>
    <x v="0"/>
    <d v="2026-07-06T00:00:00"/>
    <d v="2026-07-07T00:00:00"/>
    <s v="Funded"/>
    <m/>
    <d v="1899-12-30T08:00:00"/>
    <d v="1899-12-30T05:00:00"/>
    <d v="1899-12-30T15:00:00"/>
    <d v="1899-12-30T13:00:00"/>
    <d v="1899-12-30T02:00:00"/>
    <d v="1899-12-30T21:00:00"/>
    <s v="LS1 Scoggins"/>
    <m/>
    <m/>
    <n v="45"/>
    <n v="16"/>
    <n v="2"/>
    <n v="326"/>
    <n v="11"/>
    <n v="0"/>
    <m/>
    <m/>
    <m/>
    <m/>
    <m/>
    <m/>
    <n v="38"/>
    <n v="1"/>
    <n v="1"/>
    <n v="1"/>
    <n v="0"/>
    <n v="16"/>
    <n v="34"/>
    <n v="4"/>
    <s v="N8"/>
    <n v="45"/>
  </r>
  <r>
    <m/>
    <x v="38"/>
    <s v="A-570-0100"/>
    <s v="18B7"/>
    <x v="0"/>
    <d v="2026-08-10T00:00:00"/>
    <d v="2026-08-11T00:00:00"/>
    <s v="Funded"/>
    <m/>
    <d v="1899-12-30T19:00:00"/>
    <d v="1899-12-30T16:00:00"/>
    <d v="1899-12-30T02:00:00"/>
    <d v="1899-12-30T00:00:00"/>
    <d v="1899-12-30T13:00:00"/>
    <d v="1899-12-30T08:00:00"/>
    <s v="LS1 Scoggins"/>
    <m/>
    <m/>
    <n v="45"/>
    <n v="16"/>
    <n v="2"/>
    <n v="126"/>
    <n v="4"/>
    <n v="0"/>
    <m/>
    <m/>
    <m/>
    <m/>
    <m/>
    <m/>
    <n v="73"/>
    <n v="1"/>
    <n v="1"/>
    <n v="1"/>
    <n v="0"/>
    <n v="16"/>
    <n v="41"/>
    <n v="4"/>
    <s v="N8"/>
    <n v="45"/>
  </r>
  <r>
    <m/>
    <x v="38"/>
    <s v="A-570-0100"/>
    <s v="18B7"/>
    <x v="0"/>
    <d v="2026-08-24T00:00:00"/>
    <d v="2026-08-2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2"/>
    <n v="0"/>
    <m/>
    <m/>
    <m/>
    <m/>
    <m/>
    <m/>
    <n v="87"/>
    <n v="1"/>
    <n v="1"/>
    <n v="1"/>
    <n v="0"/>
    <n v="16"/>
    <n v="43"/>
    <n v="4"/>
    <s v="N8"/>
    <n v="45"/>
  </r>
  <r>
    <m/>
    <x v="38"/>
    <s v="A-570-0100"/>
    <s v="18B7"/>
    <x v="0"/>
    <d v="2026-09-14T00:00:00"/>
    <d v="2026-09-15T00:00:00"/>
    <s v="Funded"/>
    <m/>
    <d v="1899-12-30T12:00:00"/>
    <d v="1899-12-30T09:00:00"/>
    <d v="1899-12-30T19:00:00"/>
    <d v="1899-12-30T18:00:00"/>
    <d v="1899-12-30T06:00:00"/>
    <d v="1899-12-30T01:00:00"/>
    <s v="LS1 Scoggins"/>
    <m/>
    <m/>
    <n v="45"/>
    <n v="16"/>
    <n v="2"/>
    <n v="663"/>
    <n v="0"/>
    <n v="0"/>
    <m/>
    <m/>
    <m/>
    <m/>
    <m/>
    <m/>
    <n v="108"/>
    <n v="1"/>
    <n v="1"/>
    <n v="1"/>
    <n v="0"/>
    <n v="16"/>
    <n v="45"/>
    <n v="4"/>
    <s v="N8"/>
    <n v="45"/>
  </r>
  <r>
    <s v="Special convening SeaBees"/>
    <x v="54"/>
    <s v="A-493-0021"/>
    <s v="18BN"/>
    <x v="10"/>
    <d v="2026-06-22T00:00:00"/>
    <d v="2026-06-26T00:00:00"/>
    <s v="Funded"/>
    <d v="1899-12-30T08:00:00"/>
    <m/>
    <m/>
    <m/>
    <m/>
    <m/>
    <m/>
    <s v="SOH Contractor"/>
    <m/>
    <m/>
    <n v="35"/>
    <n v="30"/>
    <n v="5"/>
    <n v="20"/>
    <n v="35"/>
    <n v="0"/>
    <m/>
    <m/>
    <m/>
    <m/>
    <m/>
    <m/>
    <n v="27"/>
    <n v="1"/>
    <n v="1"/>
    <n v="1"/>
    <n v="0"/>
    <n v="30"/>
    <m/>
    <n v="3"/>
    <s v="N5"/>
    <n v="35"/>
  </r>
  <r>
    <m/>
    <x v="54"/>
    <s v="A-493-0021"/>
    <s v="18BN"/>
    <x v="9"/>
    <d v="2026-07-20T00:00:00"/>
    <d v="2026-07-24T00:00:00"/>
    <s v="Funded"/>
    <d v="1899-12-30T08:00:00"/>
    <m/>
    <m/>
    <m/>
    <m/>
    <m/>
    <m/>
    <s v="SOH Contractor"/>
    <m/>
    <m/>
    <n v="35"/>
    <n v="30"/>
    <n v="5"/>
    <n v="11"/>
    <n v="12"/>
    <m/>
    <m/>
    <m/>
    <m/>
    <m/>
    <m/>
    <m/>
    <n v="55"/>
    <n v="1"/>
    <n v="1"/>
    <n v="1"/>
    <n v="0"/>
    <n v="30"/>
    <n v="23"/>
    <n v="4"/>
    <s v="N5"/>
    <n v="35"/>
  </r>
  <r>
    <m/>
    <x v="54"/>
    <s v="A-493-0021"/>
    <s v="18BN"/>
    <x v="4"/>
    <d v="2026-09-14T00:00:00"/>
    <d v="2026-09-18T00:00:00"/>
    <s v="Funded"/>
    <d v="1899-12-30T08:00:00"/>
    <m/>
    <m/>
    <m/>
    <m/>
    <m/>
    <m/>
    <s v="SOH Contractor"/>
    <m/>
    <m/>
    <n v="35"/>
    <n v="30"/>
    <n v="5"/>
    <n v="33"/>
    <n v="9"/>
    <m/>
    <m/>
    <m/>
    <m/>
    <m/>
    <m/>
    <m/>
    <n v="111"/>
    <n v="1"/>
    <n v="1"/>
    <n v="1"/>
    <n v="0"/>
    <n v="30"/>
    <n v="26"/>
    <n v="4"/>
    <s v="N5"/>
    <n v="35"/>
  </r>
  <r>
    <m/>
    <x v="15"/>
    <s v="A-493-0030"/>
    <s v="286X"/>
    <x v="14"/>
    <d v="2026-08-03T00:00:00"/>
    <d v="2026-08-07T00:00:00"/>
    <s v="Funded"/>
    <d v="1899-12-30T08:00:00"/>
    <m/>
    <m/>
    <m/>
    <m/>
    <m/>
    <m/>
    <s v="OH Contractor"/>
    <m/>
    <m/>
    <n v="25"/>
    <n v="40"/>
    <n v="5"/>
    <n v="94"/>
    <n v="16"/>
    <n v="0"/>
    <m/>
    <m/>
    <m/>
    <m/>
    <m/>
    <m/>
    <n v="69"/>
    <n v="1"/>
    <n v="1"/>
    <n v="1"/>
    <n v="0"/>
    <n v="40"/>
    <n v="9"/>
    <n v="4"/>
    <s v="N3"/>
    <n v="25"/>
  </r>
  <r>
    <m/>
    <x v="15"/>
    <s v="A-493-0030"/>
    <s v="286X"/>
    <x v="9"/>
    <d v="2026-08-10T00:00:00"/>
    <d v="2026-08-14T00:00:00"/>
    <s v="Funded"/>
    <d v="1899-12-30T08:00:00"/>
    <m/>
    <m/>
    <m/>
    <m/>
    <m/>
    <m/>
    <s v="OH Contractor"/>
    <m/>
    <m/>
    <n v="25"/>
    <n v="40"/>
    <n v="5"/>
    <n v="85"/>
    <n v="13"/>
    <n v="0"/>
    <m/>
    <m/>
    <m/>
    <m/>
    <m/>
    <m/>
    <n v="76"/>
    <n v="1"/>
    <n v="1"/>
    <n v="1"/>
    <n v="0"/>
    <n v="40"/>
    <n v="12"/>
    <n v="4"/>
    <s v="N3"/>
    <n v="25"/>
  </r>
  <r>
    <m/>
    <x v="5"/>
    <s v="A-493-0061"/>
    <s v="288E"/>
    <x v="0"/>
    <d v="2026-06-01T00:00:00"/>
    <d v="2026-06-04T00:00:00"/>
    <s v="Funded"/>
    <m/>
    <d v="1899-12-30T19:00:00"/>
    <d v="1899-12-30T16:00:00"/>
    <d v="1899-12-30T02:00:00"/>
    <d v="1899-12-30T00:00:00"/>
    <d v="1899-12-30T13:00:00"/>
    <d v="1899-12-30T08:00:00"/>
    <s v="S. Griffin"/>
    <m/>
    <m/>
    <n v="45"/>
    <n v="30"/>
    <n v="4"/>
    <n v="187"/>
    <n v="29"/>
    <n v="0"/>
    <m/>
    <m/>
    <m/>
    <m/>
    <m/>
    <m/>
    <n v="5"/>
    <n v="1"/>
    <n v="0"/>
    <n v="1"/>
    <n v="0"/>
    <n v="30"/>
    <n v="16"/>
    <n v="3"/>
    <s v="N5"/>
    <n v="45"/>
  </r>
  <r>
    <m/>
    <x v="5"/>
    <s v="A-493-0061"/>
    <s v="288E"/>
    <x v="0"/>
    <d v="2026-06-22T00:00:00"/>
    <d v="2026-06-25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30"/>
    <n v="0"/>
    <m/>
    <m/>
    <m/>
    <m/>
    <m/>
    <m/>
    <n v="26"/>
    <n v="1"/>
    <n v="1"/>
    <n v="1"/>
    <n v="0"/>
    <n v="30"/>
    <n v="15"/>
    <n v="3"/>
    <s v="N5"/>
    <n v="45"/>
  </r>
  <r>
    <m/>
    <x v="5"/>
    <s v="A-493-0061"/>
    <s v="288E"/>
    <x v="0"/>
    <d v="2026-07-27T00:00:00"/>
    <d v="2026-07-30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13"/>
    <m/>
    <m/>
    <m/>
    <m/>
    <m/>
    <m/>
    <m/>
    <n v="61"/>
    <n v="1"/>
    <n v="1"/>
    <n v="1"/>
    <n v="0"/>
    <n v="30"/>
    <n v="32"/>
    <n v="4"/>
    <s v="N5"/>
    <n v="45"/>
  </r>
  <r>
    <m/>
    <x v="5"/>
    <s v="A-493-0061"/>
    <s v="288E"/>
    <x v="0"/>
    <d v="2026-08-10T00:00:00"/>
    <d v="2026-08-1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3"/>
    <m/>
    <m/>
    <m/>
    <m/>
    <m/>
    <m/>
    <m/>
    <n v="75"/>
    <n v="1"/>
    <n v="1"/>
    <n v="1"/>
    <n v="0"/>
    <n v="30"/>
    <n v="42"/>
    <n v="4"/>
    <s v="N5"/>
    <n v="45"/>
  </r>
  <r>
    <m/>
    <x v="5"/>
    <s v="A-493-0061"/>
    <s v="288E"/>
    <x v="0"/>
    <d v="2026-08-24T00:00:00"/>
    <d v="2026-08-27T00:00:00"/>
    <s v="Funded"/>
    <m/>
    <d v="1899-12-30T12:00:00"/>
    <d v="1899-12-30T09:00:00"/>
    <d v="1899-12-30T19:00:00"/>
    <d v="1899-12-30T18:00:00"/>
    <d v="1899-12-30T06:00:00"/>
    <d v="1899-12-30T01:00:00"/>
    <s v="S. Griffin"/>
    <m/>
    <m/>
    <n v="45"/>
    <n v="30"/>
    <n v="4"/>
    <n v="620"/>
    <n v="6"/>
    <m/>
    <m/>
    <m/>
    <m/>
    <m/>
    <m/>
    <m/>
    <n v="89"/>
    <n v="1"/>
    <n v="1"/>
    <n v="1"/>
    <n v="0"/>
    <n v="30"/>
    <n v="39"/>
    <n v="4"/>
    <s v="N5"/>
    <n v="45"/>
  </r>
  <r>
    <m/>
    <x v="5"/>
    <s v="A-493-0061"/>
    <s v="288E"/>
    <x v="0"/>
    <d v="2026-09-14T00:00:00"/>
    <d v="2026-09-17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45"/>
    <n v="30"/>
    <n v="4"/>
    <n v="366"/>
    <n v="1"/>
    <m/>
    <m/>
    <m/>
    <m/>
    <m/>
    <m/>
    <m/>
    <n v="110"/>
    <n v="1"/>
    <n v="1"/>
    <n v="1"/>
    <n v="0"/>
    <n v="30"/>
    <n v="44"/>
    <n v="4"/>
    <s v="N5"/>
    <n v="45"/>
  </r>
  <r>
    <m/>
    <x v="16"/>
    <s v="A-4J-0019"/>
    <s v="28SL/285M"/>
    <x v="8"/>
    <d v="2026-08-17T00:00:00"/>
    <d v="2026-08-21T00:00:00"/>
    <s v="Funded"/>
    <d v="1899-12-30T07:30:00"/>
    <m/>
    <m/>
    <m/>
    <m/>
    <m/>
    <m/>
    <s v="J. Wilson"/>
    <s v="M. Bailey"/>
    <m/>
    <n v="20"/>
    <n v="40"/>
    <n v="5"/>
    <n v="148"/>
    <n v="20"/>
    <n v="28"/>
    <m/>
    <m/>
    <m/>
    <m/>
    <m/>
    <m/>
    <n v="83"/>
    <n v="1"/>
    <n v="1"/>
    <n v="1"/>
    <n v="1"/>
    <n v="20"/>
    <n v="0"/>
    <n v="4"/>
    <s v="N8"/>
    <n v="20"/>
  </r>
  <r>
    <m/>
    <x v="26"/>
    <s v="A-493-3001"/>
    <s v="31V3"/>
    <x v="0"/>
    <d v="2026-05-20T00:00:00"/>
    <d v="2026-05-20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2"/>
    <n v="0.25"/>
    <m/>
    <n v="87"/>
    <n v="0"/>
    <m/>
    <m/>
    <m/>
    <m/>
    <m/>
    <m/>
    <n v="-10"/>
    <n v="1"/>
    <n v="0"/>
    <n v="1"/>
    <n v="0"/>
    <n v="0"/>
    <n v="913"/>
    <n v="3"/>
    <s v="N8"/>
    <n v="1000"/>
  </r>
  <r>
    <m/>
    <x v="26"/>
    <s v="A-493-3001"/>
    <s v="31V3"/>
    <x v="0"/>
    <d v="2026-06-17T00:00:00"/>
    <d v="2026-06-17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2"/>
    <n v="0.25"/>
    <m/>
    <n v="74"/>
    <n v="0"/>
    <m/>
    <m/>
    <m/>
    <m/>
    <m/>
    <m/>
    <n v="18"/>
    <n v="1"/>
    <n v="1"/>
    <n v="1"/>
    <n v="0"/>
    <n v="0"/>
    <n v="926"/>
    <n v="3"/>
    <s v="N8"/>
    <n v="1000"/>
  </r>
  <r>
    <m/>
    <x v="18"/>
    <s v="A-493-3002"/>
    <s v="31V4"/>
    <x v="0"/>
    <d v="2026-05-18T00:00:00"/>
    <d v="2026-05-18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4"/>
    <n v="0.5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18"/>
    <s v="A-493-3002"/>
    <s v="31V4"/>
    <x v="0"/>
    <d v="2026-06-15T00:00:00"/>
    <d v="2026-06-15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4"/>
    <n v="0.5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19"/>
    <s v="A-493-3003"/>
    <s v="31V5"/>
    <x v="0"/>
    <d v="2026-05-18T00:00:00"/>
    <d v="2026-05-18T00:00:00"/>
    <s v="Funded"/>
    <m/>
    <d v="1899-12-30T18:00:00"/>
    <d v="1899-12-30T15:00:00"/>
    <d v="1899-12-30T01:00:00"/>
    <d v="1899-12-30T00:01:00"/>
    <d v="1899-12-30T13:00:00"/>
    <d v="1899-12-30T07:00:00"/>
    <s v="C. Gum"/>
    <m/>
    <m/>
    <n v="1000"/>
    <n v="0.75"/>
    <n v="0.1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19"/>
    <s v="A-493-3003"/>
    <s v="31V5"/>
    <x v="0"/>
    <d v="2026-06-15T00:00:00"/>
    <d v="2026-06-15T00:00:00"/>
    <s v="Funded"/>
    <m/>
    <d v="1899-12-30T21:00:00"/>
    <d v="1899-12-30T18:00:00"/>
    <d v="1899-12-30T04:00:00"/>
    <d v="1899-12-30T03:00:00"/>
    <d v="1899-12-30T16:00:00"/>
    <d v="1899-12-30T10:00:00"/>
    <s v="C. Gum"/>
    <m/>
    <m/>
    <n v="1000"/>
    <n v="0.75"/>
    <n v="0.1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25"/>
    <s v="A-493-3004"/>
    <s v="31V6"/>
    <x v="0"/>
    <d v="2026-05-20T00:00:00"/>
    <d v="2026-05-20T00:00:00"/>
    <s v="Funded"/>
    <m/>
    <d v="1899-12-30T15:30:00"/>
    <d v="1899-12-30T12:30:00"/>
    <d v="1899-12-30T22:30:00"/>
    <d v="1899-12-30T21:30:00"/>
    <d v="1899-12-30T10:30:00"/>
    <d v="1899-12-30T04:30:00"/>
    <s v="C. Gum"/>
    <m/>
    <m/>
    <n v="1000"/>
    <n v="1.5"/>
    <n v="0.2"/>
    <m/>
    <n v="87"/>
    <n v="0"/>
    <m/>
    <m/>
    <m/>
    <m/>
    <m/>
    <m/>
    <n v="-10"/>
    <n v="1"/>
    <n v="0"/>
    <n v="1"/>
    <n v="0"/>
    <n v="0"/>
    <n v="913"/>
    <n v="3"/>
    <s v="N8"/>
    <n v="1000"/>
  </r>
  <r>
    <m/>
    <x v="25"/>
    <s v="A-493-3004"/>
    <s v="31V6"/>
    <x v="0"/>
    <d v="2026-06-17T00:00:00"/>
    <d v="2026-06-17T00:00:00"/>
    <s v="Funded"/>
    <m/>
    <d v="1899-12-30T18:30:00"/>
    <d v="1899-12-30T15:30:00"/>
    <d v="1899-12-30T01:30:00"/>
    <d v="1899-12-30T00:30:00"/>
    <d v="1899-12-30T13:30:00"/>
    <d v="1899-12-30T07:30:00"/>
    <s v="C. Gum"/>
    <m/>
    <m/>
    <n v="1000"/>
    <n v="1.5"/>
    <n v="0.2"/>
    <m/>
    <n v="74"/>
    <n v="0"/>
    <m/>
    <m/>
    <m/>
    <m/>
    <m/>
    <m/>
    <n v="18"/>
    <n v="1"/>
    <n v="1"/>
    <n v="1"/>
    <n v="0"/>
    <n v="0"/>
    <n v="926"/>
    <n v="3"/>
    <s v="N8"/>
    <n v="1000"/>
  </r>
  <r>
    <m/>
    <x v="32"/>
    <s v="A-493-3005"/>
    <s v="31V7"/>
    <x v="0"/>
    <d v="2026-05-22T00:00:00"/>
    <d v="2026-05-22T00:00:00"/>
    <s v="Funded"/>
    <m/>
    <d v="1899-12-30T14:45:00"/>
    <d v="1899-12-30T11:45:00"/>
    <d v="1899-12-30T21:45:00"/>
    <d v="1899-12-30T20:45:00"/>
    <d v="1899-12-30T09:45:00"/>
    <d v="1899-12-30T03:45:00"/>
    <s v="C. Gum"/>
    <m/>
    <m/>
    <n v="1000"/>
    <n v="2"/>
    <n v="0.25"/>
    <m/>
    <n v="87"/>
    <n v="0"/>
    <m/>
    <m/>
    <m/>
    <m/>
    <m/>
    <m/>
    <n v="-8"/>
    <n v="1"/>
    <n v="0"/>
    <n v="1"/>
    <n v="0"/>
    <n v="0"/>
    <n v="913"/>
    <n v="3"/>
    <s v="N8"/>
    <n v="1000"/>
  </r>
  <r>
    <s v="QTR 4 All Hands @0900"/>
    <x v="44"/>
    <s v="Function"/>
    <s v="Function"/>
    <x v="4"/>
    <d v="2026-08-13T00:00:00"/>
    <d v="2026-08-13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75"/>
    <n v="0"/>
    <n v="1"/>
    <n v="1"/>
    <n v="0"/>
    <n v="0"/>
    <m/>
    <n v="4"/>
    <s v="TSD"/>
    <n v="0"/>
  </r>
  <r>
    <m/>
    <x v="32"/>
    <s v="A-493-3005"/>
    <s v="31V7"/>
    <x v="0"/>
    <d v="2026-06-22T00:00:00"/>
    <d v="2026-06-22T00:00:00"/>
    <s v="Funded"/>
    <m/>
    <d v="1899-12-30T17:45:00"/>
    <d v="1899-12-30T14:45:00"/>
    <d v="1899-12-30T00:45:00"/>
    <d v="1899-12-30T23:45:00"/>
    <d v="1899-12-30T12:45:00"/>
    <d v="1899-12-30T06:45:00"/>
    <s v="C. Gum"/>
    <m/>
    <m/>
    <n v="1000"/>
    <n v="2"/>
    <n v="0.25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0"/>
    <s v="A-493-3006"/>
    <s v="31V8"/>
    <x v="0"/>
    <d v="2026-05-18T00:00:00"/>
    <d v="2026-05-18T00:00:00"/>
    <s v="Funded"/>
    <m/>
    <d v="1899-12-30T16:00:00"/>
    <d v="1899-12-30T13:00:00"/>
    <d v="1899-12-30T23:00:00"/>
    <d v="1899-12-30T22:00:00"/>
    <d v="1899-12-30T11:00:00"/>
    <d v="1899-12-30T05:00:00"/>
    <s v="C. Gum"/>
    <m/>
    <m/>
    <n v="1000"/>
    <n v="0.75"/>
    <n v="0.1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20"/>
    <s v="A-493-3006"/>
    <s v="31V8"/>
    <x v="0"/>
    <d v="2026-06-15T00:00:00"/>
    <d v="2026-06-15T00:00:00"/>
    <s v="Funded"/>
    <m/>
    <d v="1899-12-30T19:00:00"/>
    <d v="1899-12-30T16:00:00"/>
    <d v="1899-12-30T02:00:00"/>
    <d v="1899-12-30T01:00:00"/>
    <d v="1899-12-30T14:00:00"/>
    <d v="1899-12-30T08:00:00"/>
    <s v="C. Gum"/>
    <m/>
    <m/>
    <n v="1000"/>
    <n v="0.75"/>
    <n v="0.1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21"/>
    <s v="A-493-3007"/>
    <s v="31V9"/>
    <x v="0"/>
    <d v="2026-05-18T00:00:00"/>
    <d v="2026-05-18T00:00:00"/>
    <s v="Funded"/>
    <m/>
    <d v="1899-12-30T17:00:00"/>
    <d v="1899-12-30T14:00:00"/>
    <d v="1899-12-30T00:01:00"/>
    <d v="1899-12-30T23:00:00"/>
    <d v="1899-12-30T12:00:00"/>
    <d v="1899-12-30T06:00:00"/>
    <s v="C. Gum"/>
    <m/>
    <m/>
    <n v="1000"/>
    <n v="0.75"/>
    <n v="0.1"/>
    <m/>
    <n v="87"/>
    <n v="0"/>
    <m/>
    <m/>
    <m/>
    <m/>
    <m/>
    <m/>
    <n v="-12"/>
    <n v="1"/>
    <n v="0"/>
    <n v="1"/>
    <n v="0"/>
    <n v="0"/>
    <n v="913"/>
    <n v="3"/>
    <s v="N8"/>
    <n v="1000"/>
  </r>
  <r>
    <m/>
    <x v="21"/>
    <s v="A-493-3007"/>
    <s v="31V9"/>
    <x v="0"/>
    <d v="2026-06-15T00:00:00"/>
    <d v="2026-06-15T00:00:00"/>
    <s v="Funded"/>
    <m/>
    <d v="1899-12-30T20:00:00"/>
    <d v="1899-12-30T17:00:00"/>
    <d v="1899-12-30T03:00:00"/>
    <d v="1899-12-30T02:00:00"/>
    <d v="1899-12-30T15:00:00"/>
    <d v="1899-12-30T09:00:00"/>
    <s v="C. Gum"/>
    <m/>
    <m/>
    <n v="1000"/>
    <n v="0.75"/>
    <n v="0.1"/>
    <m/>
    <n v="74"/>
    <n v="0"/>
    <m/>
    <m/>
    <m/>
    <m/>
    <m/>
    <m/>
    <n v="16"/>
    <n v="1"/>
    <n v="1"/>
    <n v="1"/>
    <n v="0"/>
    <n v="0"/>
    <n v="926"/>
    <n v="3"/>
    <s v="N8"/>
    <n v="1000"/>
  </r>
  <r>
    <m/>
    <x v="34"/>
    <s v="A-493-3008"/>
    <s v="31VA"/>
    <x v="0"/>
    <d v="2026-05-22T00:00:00"/>
    <d v="2026-05-22T00:00:00"/>
    <s v="Funded"/>
    <m/>
    <d v="1899-12-30T12:00:00"/>
    <d v="1899-12-30T09:00:00"/>
    <d v="1899-12-30T19:00:00"/>
    <d v="1899-12-30T18:00:00"/>
    <d v="1899-12-30T07:00:00"/>
    <d v="1899-12-30T01:00:00"/>
    <s v="C. Gum"/>
    <m/>
    <m/>
    <n v="1000"/>
    <n v="1"/>
    <n v="0.1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4"/>
    <s v="A-493-3008"/>
    <s v="31VA"/>
    <x v="0"/>
    <d v="2026-06-22T00:00:00"/>
    <d v="2026-06-22T00:00:00"/>
    <s v="Funded"/>
    <m/>
    <d v="1899-12-30T15:00:00"/>
    <d v="1899-12-30T12:00:00"/>
    <d v="1899-12-30T22:00:00"/>
    <d v="1899-12-30T21:00:00"/>
    <d v="1899-12-30T10:00:00"/>
    <d v="1899-12-30T04:00:00"/>
    <s v="C. Gum"/>
    <m/>
    <m/>
    <n v="1000"/>
    <n v="1"/>
    <n v="0.1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35"/>
    <s v="A-493-3009"/>
    <s v="31VB"/>
    <x v="0"/>
    <d v="2026-05-22T00:00:00"/>
    <d v="2026-05-22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5"/>
    <s v="A-493-3009"/>
    <s v="31VB"/>
    <x v="0"/>
    <d v="2026-06-22T00:00:00"/>
    <d v="2026-06-22T00:00:00"/>
    <s v="Funded"/>
    <m/>
    <d v="1899-12-30T16:30:00"/>
    <d v="1899-12-30T13:30:00"/>
    <d v="1899-12-30T23:30:00"/>
    <d v="1899-12-30T22:30:00"/>
    <d v="1899-12-30T11:30:00"/>
    <d v="1899-12-30T05:30:00"/>
    <s v="C. Gum"/>
    <m/>
    <m/>
    <n v="1000"/>
    <n v="1"/>
    <n v="0.1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3"/>
    <s v="A-493-3010"/>
    <s v="31VC"/>
    <x v="0"/>
    <d v="2026-05-19T00:00:00"/>
    <d v="2026-05-19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3.5"/>
    <n v="0.4"/>
    <m/>
    <n v="87"/>
    <n v="0"/>
    <m/>
    <m/>
    <m/>
    <m/>
    <m/>
    <m/>
    <n v="-11"/>
    <n v="1"/>
    <n v="0"/>
    <n v="1"/>
    <n v="0"/>
    <n v="0"/>
    <n v="913"/>
    <n v="3"/>
    <s v="N8"/>
    <n v="1000"/>
  </r>
  <r>
    <m/>
    <x v="23"/>
    <s v="A-493-3010"/>
    <s v="31VC"/>
    <x v="0"/>
    <d v="2026-06-16T00:00:00"/>
    <d v="2026-06-16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3.5"/>
    <n v="0.4"/>
    <m/>
    <n v="74"/>
    <n v="0"/>
    <m/>
    <m/>
    <m/>
    <m/>
    <m/>
    <m/>
    <n v="17"/>
    <n v="1"/>
    <n v="1"/>
    <n v="1"/>
    <n v="0"/>
    <n v="0"/>
    <n v="926"/>
    <n v="3"/>
    <s v="N8"/>
    <n v="1000"/>
  </r>
  <r>
    <m/>
    <x v="22"/>
    <s v="A-493-3011"/>
    <s v="31VD"/>
    <x v="0"/>
    <d v="2026-05-19T00:00:00"/>
    <d v="2026-05-19T00:00:00"/>
    <s v="Funded"/>
    <m/>
    <d v="1899-12-30T16:00:00"/>
    <d v="1899-12-30T13:00:00"/>
    <d v="1899-12-30T23:00:00"/>
    <d v="1899-12-30T22:00:00"/>
    <d v="1899-12-30T11:00:00"/>
    <d v="1899-12-30T05:00:00"/>
    <s v="C. Gum"/>
    <m/>
    <m/>
    <n v="1000"/>
    <n v="2.5"/>
    <n v="0.3"/>
    <m/>
    <n v="87"/>
    <n v="0"/>
    <m/>
    <m/>
    <m/>
    <m/>
    <m/>
    <m/>
    <n v="-11"/>
    <n v="1"/>
    <n v="0"/>
    <n v="1"/>
    <n v="0"/>
    <n v="0"/>
    <n v="913"/>
    <n v="3"/>
    <s v="N8"/>
    <n v="1000"/>
  </r>
  <r>
    <m/>
    <x v="22"/>
    <s v="A-493-3011"/>
    <s v="31VD"/>
    <x v="0"/>
    <d v="2026-06-16T00:00:00"/>
    <d v="2026-06-16T00:00:00"/>
    <s v="Funded"/>
    <m/>
    <d v="1899-12-30T19:00:00"/>
    <d v="1899-12-30T16:00:00"/>
    <d v="1899-12-30T02:00:00"/>
    <d v="1899-12-30T01:00:00"/>
    <d v="1899-12-30T14:00:00"/>
    <d v="1899-12-30T08:00:00"/>
    <s v="C. Gum"/>
    <m/>
    <m/>
    <n v="1000"/>
    <n v="2.5"/>
    <n v="0.3"/>
    <m/>
    <n v="74"/>
    <n v="0"/>
    <m/>
    <m/>
    <m/>
    <m/>
    <m/>
    <m/>
    <n v="17"/>
    <n v="1"/>
    <n v="1"/>
    <n v="1"/>
    <n v="0"/>
    <n v="0"/>
    <n v="926"/>
    <n v="3"/>
    <s v="N8"/>
    <n v="1000"/>
  </r>
  <r>
    <m/>
    <x v="31"/>
    <s v="A-493-3012"/>
    <s v="31YF"/>
    <x v="0"/>
    <d v="2026-05-22T00:00:00"/>
    <d v="2026-05-22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1"/>
    <n v="0.1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1"/>
    <s v="A-493-3012"/>
    <s v="31YF"/>
    <x v="0"/>
    <d v="2026-06-22T00:00:00"/>
    <d v="2026-06-22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1"/>
    <n v="0.1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7"/>
    <s v="A-493-3013"/>
    <s v="31YG"/>
    <x v="0"/>
    <d v="2026-05-21T00:00:00"/>
    <d v="2026-05-21T00:00:00"/>
    <s v="Funded"/>
    <m/>
    <d v="1899-12-30T13:30:00"/>
    <d v="1899-12-30T10:30:00"/>
    <d v="1899-12-30T20:30:00"/>
    <d v="1899-12-30T19:30:00"/>
    <d v="1899-12-30T08:30:00"/>
    <d v="1899-12-30T02:30:00"/>
    <s v="C. Gum"/>
    <m/>
    <m/>
    <n v="1000"/>
    <n v="1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27"/>
    <s v="A-493-3013"/>
    <s v="31YG"/>
    <x v="0"/>
    <d v="2026-06-18T00:00:00"/>
    <d v="2026-06-18T00:00:00"/>
    <s v="Funded"/>
    <m/>
    <d v="1899-12-30T16:30:00"/>
    <d v="1899-12-30T13:30:00"/>
    <d v="1899-12-30T23:30:00"/>
    <d v="1899-12-30T22:30:00"/>
    <d v="1899-12-30T11:30:00"/>
    <d v="1899-12-30T05:30:00"/>
    <s v="C. Gum"/>
    <m/>
    <m/>
    <n v="1000"/>
    <n v="1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m/>
    <x v="28"/>
    <s v="A-493-3014"/>
    <s v="31Yh"/>
    <x v="0"/>
    <d v="2026-05-21T00:00:00"/>
    <d v="2026-05-21T00:00:00"/>
    <s v="Funded"/>
    <m/>
    <d v="1899-12-30T15:30:00"/>
    <d v="1899-12-30T12:30:00"/>
    <d v="1899-12-30T22:30:00"/>
    <d v="1899-12-30T21:30:00"/>
    <d v="1899-12-30T10:30:00"/>
    <d v="1899-12-30T04:30:00"/>
    <s v="C. Gum"/>
    <m/>
    <m/>
    <n v="1000"/>
    <n v="0.75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28"/>
    <s v="A-493-3014"/>
    <s v="31Yh"/>
    <x v="0"/>
    <d v="2026-06-18T00:00:00"/>
    <d v="2026-06-18T00:00:00"/>
    <s v="Funded"/>
    <m/>
    <d v="1899-12-30T18:30:00"/>
    <d v="1899-12-30T15:30:00"/>
    <d v="1899-12-30T01:30:00"/>
    <d v="1899-12-30T00:30:00"/>
    <d v="1899-12-30T13:30:00"/>
    <d v="1899-12-30T07:30:00"/>
    <s v="C. Gum"/>
    <m/>
    <m/>
    <n v="1000"/>
    <n v="0.75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s v="Labor Day"/>
    <x v="11"/>
    <s v="Holiday"/>
    <s v="Holiday"/>
    <x v="5"/>
    <d v="2026-09-07T00:00:00"/>
    <d v="2026-09-07T00:00:00"/>
    <s v="N/A"/>
    <m/>
    <m/>
    <m/>
    <m/>
    <m/>
    <m/>
    <m/>
    <s v="All Hands"/>
    <m/>
    <m/>
    <n v="0"/>
    <n v="0"/>
    <n v="0"/>
    <n v="0"/>
    <n v="0"/>
    <n v="0"/>
    <n v="0"/>
    <n v="0"/>
    <n v="0"/>
    <n v="0"/>
    <n v="0"/>
    <s v="Carter, Amanda"/>
    <n v="100"/>
    <n v="0"/>
    <n v="1"/>
    <n v="1"/>
    <n v="0"/>
    <n v="0"/>
    <m/>
    <n v="4"/>
    <s v="TSD"/>
    <n v="0"/>
  </r>
  <r>
    <m/>
    <x v="29"/>
    <s v="A-493-3015"/>
    <s v="31YJ"/>
    <x v="0"/>
    <d v="2026-05-21T00:00:00"/>
    <d v="2026-05-21T00:00:00"/>
    <s v="Funded"/>
    <m/>
    <d v="1899-12-30T11:00:00"/>
    <d v="1899-12-30T08:00:00"/>
    <d v="1899-12-30T18:00:00"/>
    <d v="1899-12-30T17:00:00"/>
    <d v="1899-12-30T06:00:00"/>
    <d v="1899-12-30T00:01:00"/>
    <s v="C. Gum"/>
    <m/>
    <m/>
    <n v="1000"/>
    <n v="1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29"/>
    <s v="A-493-3015"/>
    <s v="31YJ"/>
    <x v="0"/>
    <d v="2026-06-18T00:00:00"/>
    <d v="2026-06-18T00:00:00"/>
    <s v="Funded"/>
    <m/>
    <d v="1899-12-30T14:00:00"/>
    <d v="1899-12-30T11:00:00"/>
    <d v="1899-12-30T21:00:00"/>
    <d v="1899-12-30T20:00:00"/>
    <d v="1899-12-30T09:00:00"/>
    <d v="1899-12-30T03:00:00"/>
    <s v="C. Gum"/>
    <m/>
    <m/>
    <n v="1000"/>
    <n v="1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m/>
    <x v="30"/>
    <s v="A-493-3016"/>
    <s v="31Yk"/>
    <x v="0"/>
    <d v="2026-05-21T00:00:00"/>
    <d v="2026-05-21T00:00:00"/>
    <s v="Funded"/>
    <m/>
    <d v="1899-12-30T17:30:00"/>
    <d v="1899-12-30T14:30:00"/>
    <d v="1899-12-30T00:30:00"/>
    <d v="1899-12-30T23:30:00"/>
    <d v="1899-12-30T12:30:00"/>
    <d v="1899-12-30T06:30:00"/>
    <s v="C. Gum"/>
    <m/>
    <m/>
    <n v="1000"/>
    <n v="1"/>
    <n v="0.1"/>
    <m/>
    <n v="87"/>
    <n v="0"/>
    <m/>
    <m/>
    <m/>
    <m/>
    <m/>
    <m/>
    <n v="-9"/>
    <n v="1"/>
    <n v="0"/>
    <n v="1"/>
    <n v="0"/>
    <n v="0"/>
    <n v="913"/>
    <n v="3"/>
    <s v="N8"/>
    <n v="1000"/>
  </r>
  <r>
    <m/>
    <x v="30"/>
    <s v="A-493-3016"/>
    <s v="31Yk"/>
    <x v="0"/>
    <d v="2026-06-18T00:00:00"/>
    <d v="2026-06-18T00:00:00"/>
    <s v="Funded"/>
    <m/>
    <d v="1899-12-30T20:30:00"/>
    <d v="1899-12-30T17:30:00"/>
    <d v="1899-12-30T03:30:00"/>
    <d v="1899-12-30T02:30:00"/>
    <d v="1899-12-30T15:30:00"/>
    <d v="1899-12-30T09:30:00"/>
    <s v="C. Gum"/>
    <m/>
    <m/>
    <n v="1000"/>
    <n v="1"/>
    <n v="0.1"/>
    <m/>
    <n v="74"/>
    <n v="0"/>
    <m/>
    <m/>
    <m/>
    <m/>
    <m/>
    <m/>
    <n v="19"/>
    <n v="1"/>
    <n v="1"/>
    <n v="1"/>
    <n v="0"/>
    <n v="0"/>
    <n v="926"/>
    <n v="3"/>
    <s v="N8"/>
    <n v="1000"/>
  </r>
  <r>
    <m/>
    <x v="33"/>
    <s v="A-493-3017"/>
    <s v="31YL"/>
    <x v="0"/>
    <d v="2026-05-22T00:00:00"/>
    <d v="2026-05-22T00:00:00"/>
    <s v="Funded"/>
    <m/>
    <d v="1899-12-30T15:45:00"/>
    <d v="1899-12-30T12:45:00"/>
    <d v="1899-12-30T22:45:00"/>
    <d v="1899-12-30T21:45:00"/>
    <d v="1899-12-30T10:45:00"/>
    <d v="1899-12-30T04:45:00"/>
    <s v="C. Gum"/>
    <m/>
    <m/>
    <n v="1000"/>
    <n v="2.5"/>
    <n v="0.3"/>
    <m/>
    <n v="87"/>
    <n v="0"/>
    <m/>
    <m/>
    <m/>
    <m/>
    <m/>
    <m/>
    <n v="-8"/>
    <n v="1"/>
    <n v="0"/>
    <n v="1"/>
    <n v="0"/>
    <n v="0"/>
    <n v="913"/>
    <n v="3"/>
    <s v="N8"/>
    <n v="1000"/>
  </r>
  <r>
    <m/>
    <x v="33"/>
    <s v="A-493-3017"/>
    <s v="31YL"/>
    <x v="0"/>
    <d v="2026-06-22T00:00:00"/>
    <d v="2026-06-22T00:00:00"/>
    <s v="Funded"/>
    <m/>
    <d v="1899-12-30T18:45:00"/>
    <d v="1899-12-30T15:45:00"/>
    <d v="1899-12-30T01:45:00"/>
    <d v="1899-12-30T00:45:00"/>
    <d v="1899-12-30T13:45:00"/>
    <d v="1899-12-30T07:45:00"/>
    <s v="C. Gum"/>
    <m/>
    <m/>
    <n v="1000"/>
    <n v="2.5"/>
    <n v="0.3"/>
    <m/>
    <n v="74"/>
    <n v="0"/>
    <m/>
    <m/>
    <m/>
    <m/>
    <m/>
    <m/>
    <n v="23"/>
    <n v="1"/>
    <n v="1"/>
    <n v="1"/>
    <n v="0"/>
    <n v="0"/>
    <n v="926"/>
    <n v="3"/>
    <s v="N8"/>
    <n v="1000"/>
  </r>
  <r>
    <m/>
    <x v="24"/>
    <s v="A-493-3018"/>
    <s v="31YM"/>
    <x v="0"/>
    <d v="2026-05-20T00:00:00"/>
    <d v="2026-05-20T00:00:00"/>
    <s v="Funded"/>
    <m/>
    <d v="1899-12-30T17:30:00"/>
    <d v="1899-12-30T14:30:00"/>
    <d v="1899-12-30T00:30:00"/>
    <d v="1899-12-30T23:30:00"/>
    <d v="1899-12-30T12:30:00"/>
    <d v="1899-12-30T06:30:00"/>
    <s v="C. Gum"/>
    <m/>
    <m/>
    <n v="1000"/>
    <n v="2.5"/>
    <n v="0.3"/>
    <m/>
    <n v="87"/>
    <n v="0"/>
    <m/>
    <m/>
    <m/>
    <m/>
    <m/>
    <m/>
    <n v="-10"/>
    <n v="1"/>
    <n v="0"/>
    <n v="1"/>
    <n v="0"/>
    <n v="0"/>
    <n v="913"/>
    <n v="3"/>
    <s v="N8"/>
    <n v="1000"/>
  </r>
  <r>
    <m/>
    <x v="24"/>
    <s v="A-493-3018"/>
    <s v="31YM"/>
    <x v="0"/>
    <d v="2026-06-17T00:00:00"/>
    <d v="2026-06-17T00:00:00"/>
    <s v="Funded"/>
    <m/>
    <d v="1899-12-30T20:30:00"/>
    <d v="1899-12-30T17:30:00"/>
    <d v="1899-12-30T03:30:00"/>
    <d v="1899-12-30T02:30:00"/>
    <d v="1899-12-30T15:30:00"/>
    <d v="1899-12-30T09:30:00"/>
    <s v="C. Gum"/>
    <m/>
    <m/>
    <n v="1000"/>
    <n v="2.5"/>
    <n v="0.3"/>
    <m/>
    <n v="74"/>
    <n v="0"/>
    <m/>
    <m/>
    <m/>
    <m/>
    <m/>
    <m/>
    <n v="18"/>
    <n v="1"/>
    <n v="1"/>
    <n v="1"/>
    <n v="0"/>
    <n v="0"/>
    <n v="926"/>
    <n v="3"/>
    <s v="N8"/>
    <n v="1000"/>
  </r>
  <r>
    <s v="Do not spread quotas. CCA approval required"/>
    <x v="56"/>
    <s v="A-493-0078"/>
    <s v="32FJ"/>
    <x v="13"/>
    <d v="2026-09-14T00:00:00"/>
    <d v="2026-09-18T00:00:00"/>
    <s v="Funded"/>
    <d v="1899-12-30T08:00:00"/>
    <m/>
    <m/>
    <m/>
    <m/>
    <m/>
    <m/>
    <s v="T. White"/>
    <m/>
    <m/>
    <n v="30"/>
    <n v="32"/>
    <n v="4"/>
    <n v="0"/>
    <n v="30"/>
    <m/>
    <m/>
    <m/>
    <m/>
    <m/>
    <m/>
    <m/>
    <n v="111"/>
    <n v="1"/>
    <n v="1"/>
    <n v="1"/>
    <n v="0"/>
    <n v="32"/>
    <m/>
    <n v="4"/>
    <s v="N5"/>
    <n v="30"/>
  </r>
  <r>
    <s v="Pilot Course "/>
    <x v="9"/>
    <s v="A-493-2099"/>
    <s v="438G"/>
    <x v="4"/>
    <d v="2026-08-03T00:00:00"/>
    <d v="2026-08-04T00:00:00"/>
    <s v="Funded"/>
    <d v="1899-12-30T08:00:00"/>
    <m/>
    <m/>
    <m/>
    <m/>
    <m/>
    <m/>
    <s v="EMC Stroughn"/>
    <m/>
    <m/>
    <n v="30"/>
    <n v="16"/>
    <n v="2"/>
    <n v="0"/>
    <n v="19"/>
    <m/>
    <m/>
    <m/>
    <m/>
    <m/>
    <m/>
    <m/>
    <n v="66"/>
    <n v="1"/>
    <n v="1"/>
    <n v="1"/>
    <n v="0"/>
    <n v="16"/>
    <n v="11"/>
    <n v="4"/>
    <s v="N8"/>
    <n v="30"/>
  </r>
  <r>
    <m/>
    <x v="45"/>
    <s v="A-493-0070"/>
    <s v="450V"/>
    <x v="0"/>
    <d v="2026-08-10T00:00:00"/>
    <d v="2026-08-11T00:00:00"/>
    <s v="Funded"/>
    <m/>
    <d v="1899-12-30T08:00:00"/>
    <d v="1899-12-30T05:00:00"/>
    <d v="1899-12-30T15:00:00"/>
    <d v="1899-12-30T13:00:00"/>
    <d v="1899-12-30T02:00:00"/>
    <d v="1899-12-30T21:00:00"/>
    <s v="A. Harris"/>
    <m/>
    <m/>
    <n v="30"/>
    <n v="8"/>
    <n v="1"/>
    <n v="0"/>
    <n v="3"/>
    <n v="0"/>
    <m/>
    <m/>
    <m/>
    <m/>
    <m/>
    <m/>
    <n v="73"/>
    <n v="1"/>
    <n v="1"/>
    <n v="1"/>
    <n v="0"/>
    <n v="8"/>
    <n v="27"/>
    <n v="4"/>
    <s v="N3"/>
    <n v="30"/>
  </r>
  <r>
    <m/>
    <x v="3"/>
    <s v="A-493-0072"/>
    <s v="713U"/>
    <x v="2"/>
    <d v="2026-06-08T00:00:00"/>
    <d v="2026-06-12T00:00:00"/>
    <s v="Funded"/>
    <d v="1899-12-30T08:00:00"/>
    <m/>
    <m/>
    <m/>
    <m/>
    <m/>
    <m/>
    <s v="K. Seo"/>
    <s v="T. White"/>
    <m/>
    <n v="30"/>
    <n v="40"/>
    <n v="5"/>
    <n v="178"/>
    <n v="28"/>
    <n v="0"/>
    <m/>
    <m/>
    <m/>
    <m/>
    <m/>
    <m/>
    <n v="13"/>
    <n v="1"/>
    <n v="1"/>
    <n v="1"/>
    <n v="1"/>
    <n v="20"/>
    <n v="2"/>
    <n v="3"/>
    <s v="N3"/>
    <n v="30"/>
  </r>
  <r>
    <m/>
    <x v="3"/>
    <s v="A-493-0072"/>
    <s v="713U"/>
    <x v="17"/>
    <d v="2026-06-22T00:00:00"/>
    <d v="2026-06-26T00:00:00"/>
    <s v="Funded"/>
    <d v="1899-12-30T08:00:00"/>
    <m/>
    <m/>
    <m/>
    <m/>
    <m/>
    <m/>
    <s v="W. Mitchell"/>
    <m/>
    <s v="Nicole"/>
    <n v="30"/>
    <n v="40"/>
    <n v="5"/>
    <n v="56"/>
    <n v="30"/>
    <n v="5"/>
    <m/>
    <m/>
    <m/>
    <m/>
    <m/>
    <m/>
    <n v="27"/>
    <n v="1"/>
    <n v="1"/>
    <n v="1"/>
    <n v="0"/>
    <n v="40"/>
    <n v="0"/>
    <n v="3"/>
    <s v="N3"/>
    <n v="30"/>
  </r>
  <r>
    <m/>
    <x v="3"/>
    <s v="A-493-0072"/>
    <s v="713U"/>
    <x v="9"/>
    <d v="2026-08-03T00:00:00"/>
    <d v="2026-08-07T00:00:00"/>
    <s v="Funded"/>
    <d v="1899-12-30T08:00:00"/>
    <m/>
    <m/>
    <m/>
    <m/>
    <m/>
    <m/>
    <s v="W. Mitchell"/>
    <s v="D. Hamilton"/>
    <m/>
    <n v="30"/>
    <n v="40"/>
    <n v="5"/>
    <n v="265"/>
    <n v="30"/>
    <n v="1"/>
    <m/>
    <m/>
    <m/>
    <m/>
    <m/>
    <m/>
    <n v="69"/>
    <n v="1"/>
    <n v="1"/>
    <n v="1"/>
    <n v="1"/>
    <n v="20"/>
    <n v="0"/>
    <n v="4"/>
    <s v="N3"/>
    <n v="30"/>
  </r>
  <r>
    <m/>
    <x v="3"/>
    <s v="A-493-0072"/>
    <s v="713U"/>
    <x v="25"/>
    <d v="2026-08-10T00:00:00"/>
    <d v="2026-08-14T00:00:00"/>
    <s v="Funded"/>
    <d v="1899-12-30T08:00:00"/>
    <m/>
    <m/>
    <m/>
    <m/>
    <m/>
    <m/>
    <s v="W. Mitchell"/>
    <s v="D. Hamilton"/>
    <m/>
    <n v="30"/>
    <n v="40"/>
    <n v="5"/>
    <n v="78"/>
    <n v="19"/>
    <n v="0"/>
    <m/>
    <m/>
    <m/>
    <m/>
    <m/>
    <m/>
    <n v="76"/>
    <n v="1"/>
    <n v="1"/>
    <n v="1"/>
    <n v="1"/>
    <n v="20"/>
    <n v="11"/>
    <n v="4"/>
    <s v="N3"/>
    <n v="30"/>
  </r>
  <r>
    <s v="USMC-Do not spread quotas"/>
    <x v="3"/>
    <s v="A-493-0072"/>
    <s v="713U"/>
    <x v="24"/>
    <d v="2026-08-10T00:00:00"/>
    <d v="2026-08-14T00:00:00"/>
    <s v="Funded"/>
    <d v="1899-12-30T08:00:00"/>
    <m/>
    <m/>
    <m/>
    <m/>
    <m/>
    <m/>
    <s v="B. Jung"/>
    <m/>
    <s v="LSC Kitivi"/>
    <n v="30"/>
    <n v="40"/>
    <n v="5"/>
    <n v="33"/>
    <n v="30"/>
    <m/>
    <m/>
    <m/>
    <m/>
    <m/>
    <m/>
    <m/>
    <n v="76"/>
    <n v="1"/>
    <n v="1"/>
    <n v="1"/>
    <n v="0"/>
    <n v="40"/>
    <m/>
    <n v="4"/>
    <s v="N3"/>
    <n v="30"/>
  </r>
  <r>
    <m/>
    <x v="3"/>
    <s v="A-493-0072"/>
    <s v="713U"/>
    <x v="28"/>
    <d v="2026-08-24T00:00:00"/>
    <d v="2026-08-28T00:00:00"/>
    <s v="Funded"/>
    <d v="1899-12-30T08:00:00"/>
    <m/>
    <m/>
    <m/>
    <m/>
    <m/>
    <m/>
    <s v="W. Mitchell"/>
    <m/>
    <s v="LS1 Scoggins"/>
    <n v="30"/>
    <n v="40"/>
    <n v="5"/>
    <n v="66"/>
    <n v="4"/>
    <n v="0"/>
    <m/>
    <m/>
    <m/>
    <m/>
    <m/>
    <m/>
    <n v="90"/>
    <n v="1"/>
    <n v="1"/>
    <n v="1"/>
    <n v="0"/>
    <n v="40"/>
    <n v="26"/>
    <n v="4"/>
    <s v="N3"/>
    <n v="30"/>
  </r>
  <r>
    <m/>
    <x v="3"/>
    <s v="A-493-0072"/>
    <s v="713U"/>
    <x v="14"/>
    <d v="2026-08-31T00:00:00"/>
    <d v="2026-09-04T00:00:00"/>
    <s v="Funded"/>
    <d v="1899-12-30T08:00:00"/>
    <m/>
    <m/>
    <m/>
    <m/>
    <m/>
    <m/>
    <s v="W. Mitchell"/>
    <m/>
    <s v="LS1 Scoggins"/>
    <n v="30"/>
    <n v="40"/>
    <n v="5"/>
    <n v="67"/>
    <n v="10"/>
    <n v="0"/>
    <m/>
    <m/>
    <m/>
    <m/>
    <m/>
    <m/>
    <n v="97"/>
    <n v="1"/>
    <n v="1"/>
    <n v="1"/>
    <n v="0"/>
    <n v="40"/>
    <n v="20"/>
    <n v="4"/>
    <s v="N3"/>
    <n v="30"/>
  </r>
  <r>
    <m/>
    <x v="3"/>
    <s v="A-493-0072"/>
    <s v="713U"/>
    <x v="13"/>
    <d v="2026-09-14T00:00:00"/>
    <d v="2026-09-18T00:00:00"/>
    <s v="Funded"/>
    <d v="1899-12-30T08:00:00"/>
    <m/>
    <m/>
    <m/>
    <m/>
    <m/>
    <m/>
    <s v="A. Harris"/>
    <s v="T. White"/>
    <m/>
    <n v="30"/>
    <n v="40"/>
    <n v="5"/>
    <n v="99"/>
    <n v="5"/>
    <n v="0"/>
    <m/>
    <m/>
    <m/>
    <m/>
    <m/>
    <m/>
    <n v="111"/>
    <n v="1"/>
    <n v="1"/>
    <n v="1"/>
    <n v="1"/>
    <n v="20"/>
    <n v="25"/>
    <n v="4"/>
    <s v="N3"/>
    <n v="30"/>
  </r>
  <r>
    <m/>
    <x v="3"/>
    <s v="A-493-0072"/>
    <s v="713U"/>
    <x v="52"/>
    <d v="2026-09-14T00:00:00"/>
    <d v="2026-09-18T00:00:00"/>
    <s v="Funded"/>
    <d v="1899-12-30T08:00:00"/>
    <m/>
    <m/>
    <m/>
    <m/>
    <m/>
    <m/>
    <s v="W. Mitchell"/>
    <m/>
    <s v="LSC Kitivi"/>
    <n v="30"/>
    <n v="40"/>
    <n v="5"/>
    <n v="69"/>
    <n v="13"/>
    <n v="0"/>
    <m/>
    <m/>
    <m/>
    <m/>
    <m/>
    <m/>
    <n v="111"/>
    <n v="1"/>
    <n v="1"/>
    <n v="1"/>
    <n v="0"/>
    <n v="40"/>
    <n v="17"/>
    <n v="4"/>
    <s v="N3"/>
    <n v="30"/>
  </r>
  <r>
    <m/>
    <x v="3"/>
    <s v="A-493-0072"/>
    <s v="713U"/>
    <x v="2"/>
    <d v="2026-09-21T00:00:00"/>
    <d v="2026-09-25T00:00:00"/>
    <s v="Funded"/>
    <d v="1899-12-30T08:00:00"/>
    <m/>
    <m/>
    <m/>
    <m/>
    <m/>
    <m/>
    <s v="K. Seo"/>
    <s v="V. Kentish"/>
    <m/>
    <n v="30"/>
    <n v="40"/>
    <n v="5"/>
    <n v="178"/>
    <n v="12"/>
    <n v="0"/>
    <m/>
    <m/>
    <m/>
    <m/>
    <m/>
    <m/>
    <n v="118"/>
    <n v="1"/>
    <n v="1"/>
    <n v="1"/>
    <n v="1"/>
    <n v="20"/>
    <n v="18"/>
    <n v="4"/>
    <s v="N3"/>
    <n v="30"/>
  </r>
  <r>
    <s v="USS PATRICK HENRY (DDG-127) SRF-B"/>
    <x v="50"/>
    <s v="Reserved"/>
    <s v="Reserved "/>
    <x v="4"/>
    <d v="2026-04-06T00:00:00"/>
    <d v="2026-04-10T00:00:00"/>
    <s v="N/A"/>
    <d v="1899-12-30T08:00:00"/>
    <m/>
    <m/>
    <m/>
    <m/>
    <m/>
    <m/>
    <s v="AC1 Engleking"/>
    <m/>
    <m/>
    <n v="0"/>
    <n v="0"/>
    <n v="0"/>
    <m/>
    <m/>
    <m/>
    <m/>
    <m/>
    <m/>
    <m/>
    <m/>
    <m/>
    <n v="-50"/>
    <n v="1"/>
    <n v="0"/>
    <n v="1"/>
    <n v="0"/>
    <n v="0"/>
    <m/>
    <m/>
    <s v="TSD"/>
    <n v="0"/>
  </r>
  <r>
    <s v="NSN-PWD-ENV Training POC: kathryn.f.sklat.civ@us.navy.mil"/>
    <x v="50"/>
    <s v="Reserved"/>
    <s v="Reserved "/>
    <x v="2"/>
    <d v="2026-04-28T00:00:00"/>
    <d v="2026-04-30T00:00:00"/>
    <s v="N/A"/>
    <m/>
    <m/>
    <m/>
    <m/>
    <m/>
    <m/>
    <m/>
    <m/>
    <m/>
    <m/>
    <n v="0"/>
    <n v="0"/>
    <n v="0"/>
    <m/>
    <m/>
    <m/>
    <m/>
    <m/>
    <m/>
    <m/>
    <m/>
    <m/>
    <n v="-30"/>
    <n v="1"/>
    <n v="0"/>
    <n v="0"/>
    <n v="0"/>
    <e v="#DIV/0!"/>
    <m/>
    <m/>
    <s v="TSD"/>
    <n v="0"/>
  </r>
  <r>
    <s v="Naval Safety Command ED"/>
    <x v="50"/>
    <s v="Reserved"/>
    <s v="Reserved "/>
    <x v="2"/>
    <d v="2026-05-26T00:00:00"/>
    <d v="2026-06-05T00:00:00"/>
    <s v="N/A"/>
    <m/>
    <m/>
    <m/>
    <m/>
    <m/>
    <m/>
    <m/>
    <m/>
    <m/>
    <m/>
    <n v="0"/>
    <n v="0"/>
    <n v="0"/>
    <m/>
    <m/>
    <m/>
    <m/>
    <m/>
    <m/>
    <m/>
    <m/>
    <m/>
    <n v="6"/>
    <n v="1"/>
    <n v="0"/>
    <n v="0"/>
    <n v="0"/>
    <n v="0"/>
    <m/>
    <m/>
    <s v="TSD"/>
    <n v="0"/>
  </r>
  <r>
    <s v="Pilot #1"/>
    <x v="57"/>
    <s v="TBD"/>
    <s v="TBD"/>
    <x v="0"/>
    <d v="2026-08-03T00:00:00"/>
    <d v="2026-08-06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n v="0"/>
    <m/>
    <m/>
    <m/>
    <m/>
    <m/>
    <m/>
    <m/>
    <n v="68"/>
    <n v="1"/>
    <n v="1"/>
    <n v="1"/>
    <n v="0"/>
    <n v="0"/>
    <m/>
    <n v="4"/>
    <s v="N5"/>
    <n v="0"/>
  </r>
  <r>
    <s v="Pilot #2"/>
    <x v="57"/>
    <s v="TBD"/>
    <s v="TBD"/>
    <x v="0"/>
    <d v="2026-08-31T00:00:00"/>
    <d v="2026-09-03T00:00:00"/>
    <s v="Funded"/>
    <m/>
    <d v="1899-12-30T08:00:00"/>
    <d v="1899-12-30T05:00:00"/>
    <d v="1899-12-30T15:00:00"/>
    <d v="1899-12-30T13:00:00"/>
    <d v="1899-12-30T02:00:00"/>
    <d v="1899-12-30T21:00:00"/>
    <s v="S. Griffin"/>
    <m/>
    <m/>
    <n v="0"/>
    <n v="0"/>
    <n v="0"/>
    <n v="0"/>
    <n v="0"/>
    <m/>
    <m/>
    <m/>
    <m/>
    <m/>
    <m/>
    <m/>
    <n v="96"/>
    <n v="1"/>
    <n v="1"/>
    <n v="1"/>
    <n v="0"/>
    <n v="0"/>
    <m/>
    <n v="4"/>
    <s v="N5"/>
    <n v="0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23">
  <r>
    <x v="0"/>
    <x v="0"/>
    <n v="1"/>
    <m/>
    <m/>
    <m/>
    <m/>
    <m/>
    <m/>
    <m/>
  </r>
  <r>
    <x v="0"/>
    <x v="1"/>
    <n v="7"/>
    <m/>
    <m/>
    <m/>
    <m/>
    <m/>
    <m/>
    <m/>
  </r>
  <r>
    <x v="0"/>
    <x v="2"/>
    <n v="5"/>
    <m/>
    <m/>
    <m/>
    <m/>
    <m/>
    <m/>
    <m/>
  </r>
  <r>
    <x v="0"/>
    <x v="3"/>
    <n v="44"/>
    <m/>
    <m/>
    <m/>
    <m/>
    <m/>
    <m/>
    <m/>
  </r>
  <r>
    <x v="0"/>
    <x v="4"/>
    <n v="11"/>
    <m/>
    <m/>
    <m/>
    <m/>
    <m/>
    <m/>
    <m/>
  </r>
  <r>
    <x v="0"/>
    <x v="5"/>
    <n v="4"/>
    <m/>
    <m/>
    <m/>
    <m/>
    <m/>
    <m/>
    <m/>
  </r>
  <r>
    <x v="0"/>
    <x v="6"/>
    <n v="7"/>
    <m/>
    <m/>
    <m/>
    <m/>
    <m/>
    <m/>
    <m/>
  </r>
  <r>
    <x v="0"/>
    <x v="7"/>
    <n v="2"/>
    <m/>
    <m/>
    <m/>
    <m/>
    <m/>
    <m/>
    <m/>
  </r>
  <r>
    <x v="0"/>
    <x v="8"/>
    <n v="3"/>
    <m/>
    <m/>
    <m/>
    <m/>
    <m/>
    <m/>
    <m/>
  </r>
  <r>
    <x v="0"/>
    <x v="9"/>
    <n v="1"/>
    <m/>
    <m/>
    <m/>
    <m/>
    <m/>
    <m/>
    <m/>
  </r>
  <r>
    <x v="0"/>
    <x v="3"/>
    <n v="1"/>
    <m/>
    <m/>
    <m/>
    <m/>
    <m/>
    <m/>
    <m/>
  </r>
  <r>
    <x v="0"/>
    <x v="10"/>
    <n v="1"/>
    <m/>
    <m/>
    <m/>
    <m/>
    <m/>
    <m/>
    <m/>
  </r>
  <r>
    <x v="0"/>
    <x v="11"/>
    <n v="1"/>
    <m/>
    <m/>
    <m/>
    <m/>
    <m/>
    <m/>
    <m/>
  </r>
  <r>
    <x v="0"/>
    <x v="2"/>
    <n v="5"/>
    <m/>
    <m/>
    <m/>
    <m/>
    <m/>
    <m/>
    <m/>
  </r>
  <r>
    <x v="0"/>
    <x v="3"/>
    <n v="44"/>
    <m/>
    <m/>
    <m/>
    <m/>
    <m/>
    <m/>
    <m/>
  </r>
  <r>
    <x v="0"/>
    <x v="5"/>
    <n v="4"/>
    <m/>
    <m/>
    <m/>
    <m/>
    <m/>
    <m/>
    <m/>
  </r>
  <r>
    <x v="0"/>
    <x v="6"/>
    <n v="3"/>
    <m/>
    <m/>
    <m/>
    <m/>
    <m/>
    <m/>
    <m/>
  </r>
  <r>
    <x v="0"/>
    <x v="0"/>
    <n v="1"/>
    <m/>
    <m/>
    <m/>
    <m/>
    <m/>
    <m/>
    <m/>
  </r>
  <r>
    <x v="0"/>
    <x v="1"/>
    <n v="7"/>
    <m/>
    <m/>
    <m/>
    <m/>
    <m/>
    <m/>
    <m/>
  </r>
  <r>
    <x v="0"/>
    <x v="4"/>
    <n v="11"/>
    <m/>
    <m/>
    <m/>
    <m/>
    <m/>
    <m/>
    <m/>
  </r>
  <r>
    <x v="0"/>
    <x v="6"/>
    <n v="4"/>
    <m/>
    <m/>
    <m/>
    <m/>
    <m/>
    <m/>
    <m/>
  </r>
  <r>
    <x v="0"/>
    <x v="7"/>
    <n v="2"/>
    <m/>
    <m/>
    <m/>
    <m/>
    <m/>
    <m/>
    <m/>
  </r>
  <r>
    <x v="0"/>
    <x v="8"/>
    <n v="3"/>
    <m/>
    <m/>
    <m/>
    <m/>
    <m/>
    <m/>
    <m/>
  </r>
  <r>
    <x v="0"/>
    <x v="2"/>
    <n v="5"/>
    <m/>
    <m/>
    <m/>
    <m/>
    <m/>
    <m/>
    <m/>
  </r>
  <r>
    <x v="0"/>
    <x v="5"/>
    <n v="4"/>
    <m/>
    <m/>
    <m/>
    <m/>
    <m/>
    <m/>
    <m/>
  </r>
  <r>
    <x v="0"/>
    <x v="3"/>
    <n v="42"/>
    <m/>
    <m/>
    <m/>
    <m/>
    <m/>
    <m/>
    <m/>
  </r>
  <r>
    <x v="0"/>
    <x v="12"/>
    <n v="1"/>
    <m/>
    <m/>
    <m/>
    <m/>
    <m/>
    <m/>
    <m/>
  </r>
  <r>
    <x v="0"/>
    <x v="13"/>
    <n v="1"/>
    <m/>
    <m/>
    <m/>
    <m/>
    <m/>
    <m/>
    <m/>
  </r>
  <r>
    <x v="0"/>
    <x v="14"/>
    <n v="1"/>
    <m/>
    <m/>
    <m/>
    <m/>
    <m/>
    <m/>
    <m/>
  </r>
  <r>
    <x v="0"/>
    <x v="15"/>
    <n v="1"/>
    <m/>
    <m/>
    <m/>
    <m/>
    <m/>
    <m/>
    <m/>
  </r>
  <r>
    <x v="0"/>
    <x v="16"/>
    <n v="1"/>
    <m/>
    <m/>
    <m/>
    <m/>
    <m/>
    <m/>
    <m/>
  </r>
  <r>
    <x v="0"/>
    <x v="17"/>
    <n v="1"/>
    <m/>
    <m/>
    <m/>
    <m/>
    <m/>
    <m/>
    <m/>
  </r>
  <r>
    <x v="0"/>
    <x v="18"/>
    <n v="1"/>
    <m/>
    <m/>
    <m/>
    <m/>
    <m/>
    <m/>
    <m/>
  </r>
  <r>
    <x v="0"/>
    <x v="19"/>
    <n v="1"/>
    <m/>
    <m/>
    <m/>
    <m/>
    <m/>
    <m/>
    <m/>
  </r>
  <r>
    <x v="0"/>
    <x v="20"/>
    <n v="1"/>
    <m/>
    <m/>
    <m/>
    <m/>
    <m/>
    <m/>
    <m/>
  </r>
  <r>
    <x v="0"/>
    <x v="21"/>
    <n v="1"/>
    <m/>
    <m/>
    <m/>
    <m/>
    <m/>
    <m/>
    <m/>
  </r>
  <r>
    <x v="0"/>
    <x v="15"/>
    <n v="1"/>
    <m/>
    <m/>
    <m/>
    <m/>
    <m/>
    <m/>
    <m/>
  </r>
  <r>
    <x v="0"/>
    <x v="4"/>
    <n v="10"/>
    <m/>
    <m/>
    <m/>
    <m/>
    <m/>
    <m/>
    <m/>
  </r>
  <r>
    <x v="0"/>
    <x v="22"/>
    <n v="8"/>
    <m/>
    <m/>
    <m/>
    <m/>
    <m/>
    <m/>
    <m/>
  </r>
  <r>
    <x v="0"/>
    <x v="23"/>
    <n v="5"/>
    <m/>
    <m/>
    <m/>
    <m/>
    <m/>
    <m/>
    <m/>
  </r>
  <r>
    <x v="0"/>
    <x v="24"/>
    <n v="3"/>
    <m/>
    <m/>
    <m/>
    <m/>
    <m/>
    <m/>
    <m/>
  </r>
  <r>
    <x v="0"/>
    <x v="25"/>
    <n v="1"/>
    <m/>
    <m/>
    <m/>
    <m/>
    <m/>
    <m/>
    <m/>
  </r>
  <r>
    <x v="0"/>
    <x v="26"/>
    <n v="30"/>
    <m/>
    <m/>
    <m/>
    <m/>
    <m/>
    <m/>
    <m/>
  </r>
  <r>
    <x v="0"/>
    <x v="27"/>
    <n v="1"/>
    <m/>
    <m/>
    <m/>
    <m/>
    <m/>
    <m/>
    <m/>
  </r>
  <r>
    <x v="0"/>
    <x v="12"/>
    <n v="1"/>
    <m/>
    <m/>
    <m/>
    <m/>
    <m/>
    <m/>
    <m/>
  </r>
  <r>
    <x v="0"/>
    <x v="13"/>
    <n v="1"/>
    <m/>
    <m/>
    <m/>
    <m/>
    <m/>
    <m/>
    <m/>
  </r>
  <r>
    <x v="0"/>
    <x v="14"/>
    <n v="1"/>
    <m/>
    <m/>
    <m/>
    <m/>
    <m/>
    <m/>
    <m/>
  </r>
  <r>
    <x v="0"/>
    <x v="15"/>
    <n v="1"/>
    <m/>
    <m/>
    <m/>
    <m/>
    <m/>
    <m/>
    <m/>
  </r>
  <r>
    <x v="0"/>
    <x v="16"/>
    <n v="1"/>
    <m/>
    <m/>
    <m/>
    <m/>
    <m/>
    <m/>
    <m/>
  </r>
  <r>
    <x v="0"/>
    <x v="17"/>
    <n v="1"/>
    <m/>
    <m/>
    <m/>
    <m/>
    <m/>
    <m/>
    <m/>
  </r>
  <r>
    <x v="0"/>
    <x v="18"/>
    <n v="1"/>
    <m/>
    <m/>
    <m/>
    <m/>
    <m/>
    <m/>
    <m/>
  </r>
  <r>
    <x v="0"/>
    <x v="9"/>
    <n v="1"/>
    <m/>
    <m/>
    <m/>
    <m/>
    <m/>
    <m/>
    <m/>
  </r>
  <r>
    <x v="0"/>
    <x v="3"/>
    <n v="1"/>
    <m/>
    <m/>
    <m/>
    <m/>
    <m/>
    <m/>
    <m/>
  </r>
  <r>
    <x v="0"/>
    <x v="19"/>
    <n v="1"/>
    <m/>
    <m/>
    <m/>
    <m/>
    <m/>
    <m/>
    <m/>
  </r>
  <r>
    <x v="0"/>
    <x v="20"/>
    <n v="1"/>
    <m/>
    <m/>
    <m/>
    <m/>
    <m/>
    <m/>
    <m/>
  </r>
  <r>
    <x v="0"/>
    <x v="10"/>
    <n v="1"/>
    <m/>
    <m/>
    <m/>
    <m/>
    <m/>
    <m/>
    <m/>
  </r>
  <r>
    <x v="0"/>
    <x v="11"/>
    <n v="1"/>
    <m/>
    <m/>
    <m/>
    <m/>
    <m/>
    <m/>
    <m/>
  </r>
  <r>
    <x v="0"/>
    <x v="27"/>
    <n v="1"/>
    <m/>
    <m/>
    <m/>
    <m/>
    <m/>
    <m/>
    <m/>
  </r>
  <r>
    <x v="0"/>
    <x v="28"/>
    <n v="4"/>
    <m/>
    <m/>
    <m/>
    <m/>
    <m/>
    <m/>
    <m/>
  </r>
  <r>
    <x v="0"/>
    <x v="29"/>
    <n v="2"/>
    <m/>
    <m/>
    <m/>
    <m/>
    <m/>
    <m/>
    <m/>
  </r>
  <r>
    <x v="0"/>
    <x v="30"/>
    <n v="1"/>
    <m/>
    <m/>
    <m/>
    <m/>
    <m/>
    <m/>
    <m/>
  </r>
  <r>
    <x v="0"/>
    <x v="6"/>
    <n v="2"/>
    <m/>
    <m/>
    <m/>
    <m/>
    <m/>
    <m/>
    <m/>
  </r>
  <r>
    <x v="0"/>
    <x v="23"/>
    <n v="2"/>
    <m/>
    <m/>
    <m/>
    <m/>
    <m/>
    <m/>
    <m/>
  </r>
  <r>
    <x v="0"/>
    <x v="31"/>
    <n v="1"/>
    <m/>
    <m/>
    <m/>
    <m/>
    <m/>
    <m/>
    <m/>
  </r>
  <r>
    <x v="0"/>
    <x v="28"/>
    <n v="4"/>
    <m/>
    <m/>
    <m/>
    <m/>
    <m/>
    <m/>
    <m/>
  </r>
  <r>
    <x v="0"/>
    <x v="32"/>
    <n v="3"/>
    <m/>
    <m/>
    <m/>
    <m/>
    <m/>
    <m/>
    <m/>
  </r>
  <r>
    <x v="0"/>
    <x v="6"/>
    <n v="4"/>
    <m/>
    <m/>
    <m/>
    <m/>
    <m/>
    <m/>
    <m/>
  </r>
  <r>
    <x v="0"/>
    <x v="33"/>
    <n v="35"/>
    <m/>
    <m/>
    <m/>
    <m/>
    <m/>
    <m/>
    <m/>
  </r>
  <r>
    <x v="0"/>
    <x v="8"/>
    <n v="4"/>
    <m/>
    <m/>
    <m/>
    <m/>
    <m/>
    <m/>
    <m/>
  </r>
  <r>
    <x v="0"/>
    <x v="3"/>
    <n v="11"/>
    <m/>
    <m/>
    <m/>
    <m/>
    <m/>
    <m/>
    <m/>
  </r>
  <r>
    <x v="0"/>
    <x v="3"/>
    <n v="1"/>
    <m/>
    <m/>
    <m/>
    <m/>
    <m/>
    <m/>
    <m/>
  </r>
  <r>
    <x v="0"/>
    <x v="6"/>
    <n v="3"/>
    <m/>
    <m/>
    <m/>
    <m/>
    <m/>
    <m/>
    <m/>
  </r>
  <r>
    <x v="0"/>
    <x v="33"/>
    <n v="35"/>
    <m/>
    <m/>
    <m/>
    <m/>
    <m/>
    <m/>
    <m/>
  </r>
  <r>
    <x v="0"/>
    <x v="34"/>
    <n v="1"/>
    <m/>
    <m/>
    <m/>
    <m/>
    <m/>
    <m/>
    <m/>
  </r>
  <r>
    <x v="0"/>
    <x v="35"/>
    <n v="1"/>
    <m/>
    <m/>
    <m/>
    <m/>
    <m/>
    <m/>
    <m/>
  </r>
  <r>
    <x v="0"/>
    <x v="15"/>
    <n v="2"/>
    <m/>
    <m/>
    <m/>
    <m/>
    <m/>
    <m/>
    <m/>
  </r>
  <r>
    <x v="0"/>
    <x v="36"/>
    <n v="1"/>
    <m/>
    <m/>
    <m/>
    <m/>
    <m/>
    <m/>
    <m/>
  </r>
  <r>
    <x v="0"/>
    <x v="37"/>
    <n v="2"/>
    <m/>
    <m/>
    <m/>
    <m/>
    <m/>
    <m/>
    <m/>
  </r>
  <r>
    <x v="0"/>
    <x v="30"/>
    <n v="1"/>
    <m/>
    <m/>
    <m/>
    <m/>
    <m/>
    <m/>
    <m/>
  </r>
  <r>
    <x v="0"/>
    <x v="3"/>
    <n v="5"/>
    <m/>
    <m/>
    <m/>
    <m/>
    <m/>
    <m/>
    <m/>
  </r>
  <r>
    <x v="0"/>
    <x v="6"/>
    <n v="12"/>
    <m/>
    <m/>
    <m/>
    <m/>
    <m/>
    <m/>
    <m/>
  </r>
  <r>
    <x v="0"/>
    <x v="38"/>
    <n v="1"/>
    <m/>
    <m/>
    <m/>
    <m/>
    <m/>
    <m/>
    <m/>
  </r>
  <r>
    <x v="0"/>
    <x v="11"/>
    <n v="2"/>
    <m/>
    <m/>
    <m/>
    <m/>
    <m/>
    <m/>
    <m/>
  </r>
  <r>
    <x v="0"/>
    <x v="33"/>
    <n v="1"/>
    <m/>
    <m/>
    <m/>
    <m/>
    <m/>
    <m/>
    <m/>
  </r>
  <r>
    <x v="0"/>
    <x v="7"/>
    <n v="1"/>
    <m/>
    <m/>
    <m/>
    <m/>
    <m/>
    <m/>
    <m/>
  </r>
  <r>
    <x v="0"/>
    <x v="39"/>
    <n v="1"/>
    <m/>
    <m/>
    <m/>
    <m/>
    <m/>
    <m/>
    <m/>
  </r>
  <r>
    <x v="0"/>
    <x v="40"/>
    <n v="1"/>
    <m/>
    <m/>
    <m/>
    <m/>
    <m/>
    <m/>
    <m/>
  </r>
  <r>
    <x v="0"/>
    <x v="41"/>
    <n v="4"/>
    <m/>
    <m/>
    <m/>
    <m/>
    <m/>
    <m/>
    <m/>
  </r>
  <r>
    <x v="0"/>
    <x v="42"/>
    <n v="3"/>
    <m/>
    <m/>
    <m/>
    <m/>
    <m/>
    <m/>
    <m/>
  </r>
  <r>
    <x v="0"/>
    <x v="43"/>
    <n v="3"/>
    <m/>
    <m/>
    <m/>
    <m/>
    <m/>
    <m/>
    <m/>
  </r>
  <r>
    <x v="0"/>
    <x v="10"/>
    <n v="2"/>
    <m/>
    <m/>
    <m/>
    <m/>
    <m/>
    <m/>
    <m/>
  </r>
  <r>
    <x v="0"/>
    <x v="44"/>
    <n v="1"/>
    <m/>
    <m/>
    <m/>
    <m/>
    <m/>
    <m/>
    <m/>
  </r>
  <r>
    <x v="0"/>
    <x v="45"/>
    <n v="1"/>
    <m/>
    <m/>
    <m/>
    <m/>
    <m/>
    <m/>
    <m/>
  </r>
  <r>
    <x v="0"/>
    <x v="46"/>
    <n v="1"/>
    <m/>
    <m/>
    <m/>
    <m/>
    <m/>
    <m/>
    <m/>
  </r>
  <r>
    <x v="0"/>
    <x v="32"/>
    <n v="3"/>
    <m/>
    <m/>
    <m/>
    <m/>
    <m/>
    <m/>
    <m/>
  </r>
  <r>
    <x v="0"/>
    <x v="8"/>
    <n v="2"/>
    <m/>
    <m/>
    <m/>
    <m/>
    <m/>
    <m/>
    <m/>
  </r>
  <r>
    <x v="0"/>
    <x v="8"/>
    <n v="2"/>
    <m/>
    <m/>
    <m/>
    <m/>
    <m/>
    <m/>
    <m/>
  </r>
  <r>
    <x v="1"/>
    <x v="4"/>
    <n v="11"/>
    <m/>
    <m/>
    <m/>
    <m/>
    <m/>
    <m/>
    <m/>
  </r>
  <r>
    <x v="1"/>
    <x v="6"/>
    <n v="11"/>
    <m/>
    <m/>
    <m/>
    <m/>
    <m/>
    <m/>
    <m/>
  </r>
  <r>
    <x v="1"/>
    <x v="47"/>
    <n v="1"/>
    <m/>
    <m/>
    <m/>
    <m/>
    <m/>
    <m/>
    <m/>
  </r>
  <r>
    <x v="1"/>
    <x v="3"/>
    <n v="3"/>
    <m/>
    <m/>
    <m/>
    <m/>
    <m/>
    <m/>
    <m/>
  </r>
  <r>
    <x v="1"/>
    <x v="10"/>
    <n v="2"/>
    <m/>
    <m/>
    <m/>
    <m/>
    <m/>
    <m/>
    <m/>
  </r>
  <r>
    <x v="1"/>
    <x v="4"/>
    <n v="11"/>
    <m/>
    <m/>
    <m/>
    <m/>
    <m/>
    <m/>
    <m/>
  </r>
  <r>
    <x v="1"/>
    <x v="6"/>
    <n v="11"/>
    <m/>
    <m/>
    <m/>
    <m/>
    <m/>
    <m/>
    <m/>
  </r>
  <r>
    <x v="1"/>
    <x v="15"/>
    <n v="1"/>
    <m/>
    <m/>
    <m/>
    <m/>
    <m/>
    <m/>
    <m/>
  </r>
  <r>
    <x v="1"/>
    <x v="16"/>
    <n v="1"/>
    <m/>
    <m/>
    <m/>
    <m/>
    <m/>
    <m/>
    <m/>
  </r>
  <r>
    <x v="1"/>
    <x v="48"/>
    <n v="1"/>
    <m/>
    <m/>
    <m/>
    <m/>
    <m/>
    <m/>
    <m/>
  </r>
  <r>
    <x v="1"/>
    <x v="20"/>
    <n v="1"/>
    <m/>
    <m/>
    <m/>
    <m/>
    <m/>
    <m/>
    <m/>
  </r>
  <r>
    <x v="1"/>
    <x v="21"/>
    <n v="1"/>
    <m/>
    <m/>
    <m/>
    <m/>
    <m/>
    <m/>
    <m/>
  </r>
  <r>
    <x v="1"/>
    <x v="4"/>
    <n v="2"/>
    <m/>
    <m/>
    <m/>
    <m/>
    <m/>
    <m/>
    <m/>
  </r>
  <r>
    <x v="1"/>
    <x v="22"/>
    <n v="3"/>
    <m/>
    <m/>
    <m/>
    <m/>
    <m/>
    <m/>
    <m/>
  </r>
  <r>
    <x v="1"/>
    <x v="23"/>
    <n v="1"/>
    <m/>
    <m/>
    <m/>
    <m/>
    <m/>
    <m/>
    <m/>
  </r>
  <r>
    <x v="1"/>
    <x v="25"/>
    <n v="2"/>
    <m/>
    <m/>
    <m/>
    <m/>
    <m/>
    <m/>
    <m/>
  </r>
  <r>
    <x v="1"/>
    <x v="49"/>
    <n v="1"/>
    <m/>
    <m/>
    <m/>
    <m/>
    <m/>
    <m/>
    <m/>
  </r>
  <r>
    <x v="1"/>
    <x v="50"/>
    <n v="1"/>
    <m/>
    <m/>
    <m/>
    <m/>
    <m/>
    <m/>
    <m/>
  </r>
  <r>
    <x v="1"/>
    <x v="2"/>
    <n v="1"/>
    <m/>
    <m/>
    <m/>
    <m/>
    <m/>
    <m/>
    <m/>
  </r>
  <r>
    <x v="1"/>
    <x v="5"/>
    <n v="1"/>
    <m/>
    <m/>
    <m/>
    <m/>
    <m/>
    <m/>
    <m/>
  </r>
  <r>
    <x v="1"/>
    <x v="27"/>
    <n v="1"/>
    <m/>
    <m/>
    <m/>
    <m/>
    <m/>
    <m/>
    <m/>
  </r>
  <r>
    <x v="1"/>
    <x v="50"/>
    <n v="1"/>
    <m/>
    <m/>
    <m/>
    <m/>
    <m/>
    <m/>
    <m/>
  </r>
  <r>
    <x v="1"/>
    <x v="47"/>
    <n v="1"/>
    <m/>
    <m/>
    <m/>
    <m/>
    <m/>
    <m/>
    <m/>
  </r>
  <r>
    <x v="1"/>
    <x v="2"/>
    <n v="1"/>
    <m/>
    <m/>
    <m/>
    <m/>
    <m/>
    <m/>
    <m/>
  </r>
  <r>
    <x v="1"/>
    <x v="15"/>
    <n v="1"/>
    <m/>
    <m/>
    <m/>
    <m/>
    <m/>
    <m/>
    <m/>
  </r>
  <r>
    <x v="1"/>
    <x v="16"/>
    <n v="1"/>
    <m/>
    <m/>
    <m/>
    <m/>
    <m/>
    <m/>
    <m/>
  </r>
  <r>
    <x v="1"/>
    <x v="48"/>
    <n v="1"/>
    <m/>
    <m/>
    <m/>
    <m/>
    <m/>
    <m/>
    <m/>
  </r>
  <r>
    <x v="1"/>
    <x v="51"/>
    <n v="2"/>
    <m/>
    <m/>
    <m/>
    <m/>
    <m/>
    <m/>
    <m/>
  </r>
  <r>
    <x v="1"/>
    <x v="3"/>
    <n v="3"/>
    <m/>
    <m/>
    <m/>
    <m/>
    <m/>
    <m/>
    <m/>
  </r>
  <r>
    <x v="1"/>
    <x v="5"/>
    <n v="1"/>
    <m/>
    <m/>
    <m/>
    <m/>
    <m/>
    <m/>
    <m/>
  </r>
  <r>
    <x v="1"/>
    <x v="20"/>
    <n v="1"/>
    <m/>
    <m/>
    <m/>
    <m/>
    <m/>
    <m/>
    <m/>
  </r>
  <r>
    <x v="1"/>
    <x v="10"/>
    <n v="2"/>
    <m/>
    <m/>
    <m/>
    <m/>
    <m/>
    <m/>
    <m/>
  </r>
  <r>
    <x v="1"/>
    <x v="52"/>
    <n v="3"/>
    <m/>
    <m/>
    <m/>
    <m/>
    <m/>
    <m/>
    <m/>
  </r>
  <r>
    <x v="1"/>
    <x v="53"/>
    <n v="2"/>
    <m/>
    <m/>
    <m/>
    <m/>
    <m/>
    <m/>
    <m/>
  </r>
  <r>
    <x v="1"/>
    <x v="54"/>
    <n v="2"/>
    <m/>
    <m/>
    <m/>
    <m/>
    <m/>
    <m/>
    <m/>
  </r>
  <r>
    <x v="1"/>
    <x v="27"/>
    <n v="1"/>
    <m/>
    <m/>
    <m/>
    <m/>
    <m/>
    <m/>
    <m/>
  </r>
  <r>
    <x v="1"/>
    <x v="8"/>
    <n v="1"/>
    <m/>
    <m/>
    <m/>
    <m/>
    <m/>
    <m/>
    <m/>
  </r>
  <r>
    <x v="1"/>
    <x v="28"/>
    <n v="6"/>
    <m/>
    <m/>
    <m/>
    <m/>
    <m/>
    <m/>
    <m/>
  </r>
  <r>
    <x v="1"/>
    <x v="30"/>
    <n v="2"/>
    <m/>
    <m/>
    <m/>
    <m/>
    <m/>
    <m/>
    <m/>
  </r>
  <r>
    <x v="1"/>
    <x v="3"/>
    <n v="2"/>
    <m/>
    <m/>
    <m/>
    <m/>
    <m/>
    <m/>
    <m/>
  </r>
  <r>
    <x v="1"/>
    <x v="6"/>
    <n v="5"/>
    <m/>
    <m/>
    <m/>
    <m/>
    <m/>
    <m/>
    <m/>
  </r>
  <r>
    <x v="1"/>
    <x v="8"/>
    <n v="1"/>
    <m/>
    <m/>
    <m/>
    <m/>
    <m/>
    <m/>
    <m/>
  </r>
  <r>
    <x v="1"/>
    <x v="8"/>
    <n v="1"/>
    <m/>
    <m/>
    <m/>
    <m/>
    <m/>
    <m/>
    <m/>
  </r>
  <r>
    <x v="1"/>
    <x v="31"/>
    <n v="2"/>
    <m/>
    <m/>
    <m/>
    <m/>
    <m/>
    <m/>
    <m/>
  </r>
  <r>
    <x v="1"/>
    <x v="28"/>
    <n v="2"/>
    <m/>
    <m/>
    <m/>
    <m/>
    <m/>
    <m/>
    <m/>
  </r>
  <r>
    <x v="1"/>
    <x v="32"/>
    <n v="1"/>
    <m/>
    <m/>
    <m/>
    <m/>
    <m/>
    <m/>
    <m/>
  </r>
  <r>
    <x v="1"/>
    <x v="6"/>
    <n v="6"/>
    <m/>
    <m/>
    <m/>
    <m/>
    <m/>
    <m/>
    <m/>
  </r>
  <r>
    <x v="1"/>
    <x v="33"/>
    <n v="30"/>
    <m/>
    <m/>
    <m/>
    <m/>
    <m/>
    <m/>
    <m/>
  </r>
  <r>
    <x v="1"/>
    <x v="8"/>
    <n v="4"/>
    <m/>
    <m/>
    <m/>
    <m/>
    <m/>
    <m/>
    <m/>
  </r>
  <r>
    <x v="1"/>
    <x v="15"/>
    <n v="6"/>
    <m/>
    <m/>
    <m/>
    <m/>
    <m/>
    <m/>
    <m/>
  </r>
  <r>
    <x v="1"/>
    <x v="3"/>
    <n v="5"/>
    <m/>
    <m/>
    <m/>
    <m/>
    <m/>
    <m/>
    <m/>
  </r>
  <r>
    <x v="1"/>
    <x v="50"/>
    <n v="1"/>
    <m/>
    <m/>
    <m/>
    <m/>
    <m/>
    <m/>
    <m/>
  </r>
  <r>
    <x v="1"/>
    <x v="33"/>
    <n v="30"/>
    <m/>
    <m/>
    <m/>
    <m/>
    <m/>
    <m/>
    <m/>
  </r>
  <r>
    <x v="1"/>
    <x v="37"/>
    <n v="2"/>
    <m/>
    <m/>
    <m/>
    <m/>
    <m/>
    <m/>
    <m/>
  </r>
  <r>
    <x v="1"/>
    <x v="30"/>
    <n v="1"/>
    <m/>
    <m/>
    <m/>
    <m/>
    <m/>
    <m/>
    <m/>
  </r>
  <r>
    <x v="1"/>
    <x v="3"/>
    <n v="4"/>
    <m/>
    <m/>
    <m/>
    <m/>
    <m/>
    <m/>
    <m/>
  </r>
  <r>
    <x v="1"/>
    <x v="11"/>
    <n v="2"/>
    <m/>
    <m/>
    <m/>
    <m/>
    <m/>
    <m/>
    <m/>
  </r>
  <r>
    <x v="1"/>
    <x v="41"/>
    <n v="4"/>
    <m/>
    <m/>
    <m/>
    <m/>
    <m/>
    <m/>
    <m/>
  </r>
  <r>
    <x v="1"/>
    <x v="43"/>
    <n v="3"/>
    <m/>
    <m/>
    <m/>
    <m/>
    <m/>
    <m/>
    <m/>
  </r>
  <r>
    <x v="1"/>
    <x v="10"/>
    <n v="1"/>
    <m/>
    <m/>
    <m/>
    <m/>
    <m/>
    <m/>
    <m/>
  </r>
  <r>
    <x v="1"/>
    <x v="32"/>
    <n v="1"/>
    <m/>
    <m/>
    <m/>
    <m/>
    <m/>
    <m/>
    <m/>
  </r>
  <r>
    <x v="1"/>
    <x v="8"/>
    <n v="2"/>
    <m/>
    <m/>
    <m/>
    <m/>
    <m/>
    <m/>
    <m/>
  </r>
  <r>
    <x v="2"/>
    <x v="0"/>
    <n v="1"/>
    <m/>
    <m/>
    <m/>
    <m/>
    <m/>
    <m/>
    <m/>
  </r>
  <r>
    <x v="2"/>
    <x v="1"/>
    <n v="5"/>
    <m/>
    <m/>
    <m/>
    <m/>
    <m/>
    <m/>
    <m/>
  </r>
  <r>
    <x v="2"/>
    <x v="3"/>
    <n v="1"/>
    <m/>
    <m/>
    <m/>
    <m/>
    <m/>
    <m/>
    <m/>
  </r>
  <r>
    <x v="2"/>
    <x v="4"/>
    <n v="11"/>
    <m/>
    <m/>
    <m/>
    <m/>
    <m/>
    <m/>
    <m/>
  </r>
  <r>
    <x v="2"/>
    <x v="6"/>
    <n v="2"/>
    <m/>
    <m/>
    <m/>
    <m/>
    <m/>
    <m/>
    <m/>
  </r>
  <r>
    <x v="2"/>
    <x v="7"/>
    <n v="2"/>
    <m/>
    <m/>
    <m/>
    <m/>
    <m/>
    <m/>
    <m/>
  </r>
  <r>
    <x v="2"/>
    <x v="8"/>
    <n v="3"/>
    <m/>
    <m/>
    <m/>
    <m/>
    <m/>
    <m/>
    <m/>
  </r>
  <r>
    <x v="2"/>
    <x v="9"/>
    <n v="1"/>
    <m/>
    <m/>
    <m/>
    <m/>
    <m/>
    <m/>
    <m/>
  </r>
  <r>
    <x v="2"/>
    <x v="3"/>
    <n v="1"/>
    <m/>
    <m/>
    <m/>
    <m/>
    <m/>
    <m/>
    <m/>
  </r>
  <r>
    <x v="2"/>
    <x v="11"/>
    <n v="1"/>
    <m/>
    <m/>
    <m/>
    <m/>
    <m/>
    <m/>
    <m/>
  </r>
  <r>
    <x v="2"/>
    <x v="3"/>
    <n v="1"/>
    <m/>
    <m/>
    <m/>
    <m/>
    <m/>
    <m/>
    <m/>
  </r>
  <r>
    <x v="2"/>
    <x v="0"/>
    <n v="1"/>
    <m/>
    <m/>
    <m/>
    <m/>
    <m/>
    <m/>
    <m/>
  </r>
  <r>
    <x v="2"/>
    <x v="1"/>
    <n v="5"/>
    <m/>
    <m/>
    <m/>
    <m/>
    <m/>
    <m/>
    <m/>
  </r>
  <r>
    <x v="2"/>
    <x v="4"/>
    <n v="11"/>
    <m/>
    <m/>
    <m/>
    <m/>
    <m/>
    <m/>
    <m/>
  </r>
  <r>
    <x v="2"/>
    <x v="6"/>
    <n v="2"/>
    <m/>
    <m/>
    <m/>
    <m/>
    <m/>
    <m/>
    <m/>
  </r>
  <r>
    <x v="2"/>
    <x v="7"/>
    <n v="2"/>
    <m/>
    <m/>
    <m/>
    <m/>
    <m/>
    <m/>
    <m/>
  </r>
  <r>
    <x v="2"/>
    <x v="8"/>
    <n v="3"/>
    <m/>
    <m/>
    <m/>
    <m/>
    <m/>
    <m/>
    <m/>
  </r>
  <r>
    <x v="2"/>
    <x v="12"/>
    <n v="1"/>
    <m/>
    <m/>
    <m/>
    <m/>
    <m/>
    <m/>
    <m/>
  </r>
  <r>
    <x v="2"/>
    <x v="13"/>
    <n v="1"/>
    <m/>
    <m/>
    <m/>
    <m/>
    <m/>
    <m/>
    <m/>
  </r>
  <r>
    <x v="2"/>
    <x v="14"/>
    <n v="1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17"/>
    <n v="1"/>
    <m/>
    <m/>
    <m/>
    <m/>
    <m/>
    <m/>
    <m/>
  </r>
  <r>
    <x v="2"/>
    <x v="18"/>
    <n v="1"/>
    <m/>
    <m/>
    <m/>
    <m/>
    <m/>
    <m/>
    <m/>
  </r>
  <r>
    <x v="2"/>
    <x v="19"/>
    <n v="1"/>
    <m/>
    <m/>
    <m/>
    <m/>
    <m/>
    <m/>
    <m/>
  </r>
  <r>
    <x v="2"/>
    <x v="20"/>
    <n v="1"/>
    <m/>
    <m/>
    <m/>
    <m/>
    <m/>
    <m/>
    <m/>
  </r>
  <r>
    <x v="2"/>
    <x v="21"/>
    <n v="1"/>
    <m/>
    <m/>
    <m/>
    <m/>
    <m/>
    <m/>
    <m/>
  </r>
  <r>
    <x v="2"/>
    <x v="15"/>
    <n v="1"/>
    <m/>
    <m/>
    <m/>
    <m/>
    <m/>
    <m/>
    <m/>
  </r>
  <r>
    <x v="2"/>
    <x v="22"/>
    <n v="4"/>
    <m/>
    <m/>
    <m/>
    <m/>
    <m/>
    <m/>
    <m/>
  </r>
  <r>
    <x v="2"/>
    <x v="23"/>
    <n v="1"/>
    <m/>
    <m/>
    <m/>
    <m/>
    <m/>
    <m/>
    <m/>
  </r>
  <r>
    <x v="2"/>
    <x v="2"/>
    <n v="1"/>
    <m/>
    <m/>
    <m/>
    <m/>
    <m/>
    <m/>
    <m/>
  </r>
  <r>
    <x v="2"/>
    <x v="27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"/>
    <n v="3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2"/>
    <n v="1"/>
    <m/>
    <m/>
    <m/>
    <m/>
    <m/>
    <m/>
    <m/>
  </r>
  <r>
    <x v="2"/>
    <x v="1"/>
    <n v="3"/>
    <m/>
    <m/>
    <m/>
    <m/>
    <m/>
    <m/>
    <m/>
  </r>
  <r>
    <x v="2"/>
    <x v="13"/>
    <n v="1"/>
    <m/>
    <m/>
    <m/>
    <m/>
    <m/>
    <m/>
    <m/>
  </r>
  <r>
    <x v="2"/>
    <x v="14"/>
    <n v="1"/>
    <m/>
    <m/>
    <m/>
    <m/>
    <m/>
    <m/>
    <m/>
  </r>
  <r>
    <x v="2"/>
    <x v="2"/>
    <n v="13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17"/>
    <n v="1"/>
    <m/>
    <m/>
    <m/>
    <m/>
    <m/>
    <m/>
    <m/>
  </r>
  <r>
    <x v="2"/>
    <x v="18"/>
    <n v="1"/>
    <m/>
    <m/>
    <m/>
    <m/>
    <m/>
    <m/>
    <m/>
  </r>
  <r>
    <x v="2"/>
    <x v="9"/>
    <n v="1"/>
    <m/>
    <m/>
    <m/>
    <m/>
    <m/>
    <m/>
    <m/>
  </r>
  <r>
    <x v="2"/>
    <x v="3"/>
    <n v="1"/>
    <m/>
    <m/>
    <m/>
    <m/>
    <m/>
    <m/>
    <m/>
  </r>
  <r>
    <x v="2"/>
    <x v="19"/>
    <n v="1"/>
    <m/>
    <m/>
    <m/>
    <m/>
    <m/>
    <m/>
    <m/>
  </r>
  <r>
    <x v="2"/>
    <x v="20"/>
    <n v="1"/>
    <m/>
    <m/>
    <m/>
    <m/>
    <m/>
    <m/>
    <m/>
  </r>
  <r>
    <x v="2"/>
    <x v="11"/>
    <n v="1"/>
    <m/>
    <m/>
    <m/>
    <m/>
    <m/>
    <m/>
    <m/>
  </r>
  <r>
    <x v="2"/>
    <x v="27"/>
    <n v="1"/>
    <m/>
    <m/>
    <m/>
    <m/>
    <m/>
    <m/>
    <m/>
  </r>
  <r>
    <x v="2"/>
    <x v="29"/>
    <n v="2"/>
    <m/>
    <m/>
    <m/>
    <m/>
    <m/>
    <m/>
    <m/>
  </r>
  <r>
    <x v="2"/>
    <x v="6"/>
    <n v="2"/>
    <m/>
    <m/>
    <m/>
    <m/>
    <m/>
    <m/>
    <m/>
  </r>
  <r>
    <x v="2"/>
    <x v="33"/>
    <n v="1"/>
    <m/>
    <m/>
    <m/>
    <m/>
    <m/>
    <m/>
    <m/>
  </r>
  <r>
    <x v="2"/>
    <x v="28"/>
    <n v="3"/>
    <m/>
    <m/>
    <m/>
    <m/>
    <m/>
    <m/>
    <m/>
  </r>
  <r>
    <x v="2"/>
    <x v="32"/>
    <n v="2"/>
    <m/>
    <m/>
    <m/>
    <m/>
    <m/>
    <m/>
    <m/>
  </r>
  <r>
    <x v="2"/>
    <x v="6"/>
    <n v="3"/>
    <m/>
    <m/>
    <m/>
    <m/>
    <m/>
    <m/>
    <m/>
  </r>
  <r>
    <x v="2"/>
    <x v="33"/>
    <n v="15"/>
    <m/>
    <m/>
    <m/>
    <m/>
    <m/>
    <m/>
    <m/>
  </r>
  <r>
    <x v="2"/>
    <x v="8"/>
    <n v="4"/>
    <m/>
    <m/>
    <m/>
    <m/>
    <m/>
    <m/>
    <m/>
  </r>
  <r>
    <x v="2"/>
    <x v="3"/>
    <n v="4"/>
    <m/>
    <m/>
    <m/>
    <m/>
    <m/>
    <m/>
    <m/>
  </r>
  <r>
    <x v="2"/>
    <x v="3"/>
    <n v="1"/>
    <m/>
    <m/>
    <m/>
    <m/>
    <m/>
    <m/>
    <m/>
  </r>
  <r>
    <x v="2"/>
    <x v="33"/>
    <n v="15"/>
    <m/>
    <m/>
    <m/>
    <m/>
    <m/>
    <m/>
    <m/>
  </r>
  <r>
    <x v="2"/>
    <x v="37"/>
    <n v="2"/>
    <m/>
    <m/>
    <m/>
    <m/>
    <m/>
    <m/>
    <m/>
  </r>
  <r>
    <x v="2"/>
    <x v="30"/>
    <n v="1"/>
    <m/>
    <m/>
    <m/>
    <m/>
    <m/>
    <m/>
    <m/>
  </r>
  <r>
    <x v="2"/>
    <x v="3"/>
    <n v="5"/>
    <m/>
    <m/>
    <m/>
    <m/>
    <m/>
    <m/>
    <m/>
  </r>
  <r>
    <x v="2"/>
    <x v="11"/>
    <n v="2"/>
    <m/>
    <m/>
    <m/>
    <m/>
    <m/>
    <m/>
    <m/>
  </r>
  <r>
    <x v="2"/>
    <x v="7"/>
    <n v="1"/>
    <m/>
    <m/>
    <m/>
    <m/>
    <m/>
    <m/>
    <m/>
  </r>
  <r>
    <x v="2"/>
    <x v="41"/>
    <n v="3"/>
    <m/>
    <m/>
    <m/>
    <m/>
    <m/>
    <m/>
    <m/>
  </r>
  <r>
    <x v="2"/>
    <x v="43"/>
    <n v="3"/>
    <m/>
    <m/>
    <m/>
    <m/>
    <m/>
    <m/>
    <m/>
  </r>
  <r>
    <x v="2"/>
    <x v="10"/>
    <n v="1"/>
    <m/>
    <m/>
    <m/>
    <m/>
    <m/>
    <m/>
    <m/>
  </r>
  <r>
    <x v="2"/>
    <x v="32"/>
    <n v="2"/>
    <m/>
    <m/>
    <m/>
    <m/>
    <m/>
    <m/>
    <m/>
  </r>
  <r>
    <x v="2"/>
    <x v="8"/>
    <n v="2"/>
    <m/>
    <m/>
    <m/>
    <m/>
    <m/>
    <m/>
    <m/>
  </r>
  <r>
    <x v="2"/>
    <x v="4"/>
    <n v="11"/>
    <m/>
    <m/>
    <m/>
    <m/>
    <m/>
    <m/>
    <m/>
  </r>
  <r>
    <x v="2"/>
    <x v="6"/>
    <n v="10"/>
    <m/>
    <m/>
    <m/>
    <m/>
    <m/>
    <m/>
    <m/>
  </r>
  <r>
    <x v="2"/>
    <x v="47"/>
    <n v="1"/>
    <m/>
    <m/>
    <m/>
    <m/>
    <m/>
    <m/>
    <m/>
  </r>
  <r>
    <x v="2"/>
    <x v="3"/>
    <n v="2"/>
    <m/>
    <m/>
    <m/>
    <m/>
    <m/>
    <m/>
    <m/>
  </r>
  <r>
    <x v="2"/>
    <x v="10"/>
    <n v="1"/>
    <m/>
    <m/>
    <m/>
    <m/>
    <m/>
    <m/>
    <m/>
  </r>
  <r>
    <x v="2"/>
    <x v="4"/>
    <n v="11"/>
    <m/>
    <m/>
    <m/>
    <m/>
    <m/>
    <m/>
    <m/>
  </r>
  <r>
    <x v="2"/>
    <x v="6"/>
    <n v="10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48"/>
    <n v="1"/>
    <m/>
    <m/>
    <m/>
    <m/>
    <m/>
    <m/>
    <m/>
  </r>
  <r>
    <x v="2"/>
    <x v="20"/>
    <n v="1"/>
    <m/>
    <m/>
    <m/>
    <m/>
    <m/>
    <m/>
    <m/>
  </r>
  <r>
    <x v="2"/>
    <x v="21"/>
    <n v="1"/>
    <m/>
    <m/>
    <m/>
    <m/>
    <m/>
    <m/>
    <m/>
  </r>
  <r>
    <x v="2"/>
    <x v="22"/>
    <n v="3"/>
    <m/>
    <m/>
    <m/>
    <m/>
    <m/>
    <m/>
    <m/>
  </r>
  <r>
    <x v="2"/>
    <x v="23"/>
    <n v="1"/>
    <m/>
    <m/>
    <m/>
    <m/>
    <m/>
    <m/>
    <m/>
  </r>
  <r>
    <x v="2"/>
    <x v="25"/>
    <n v="2"/>
    <m/>
    <m/>
    <m/>
    <m/>
    <m/>
    <m/>
    <m/>
  </r>
  <r>
    <x v="2"/>
    <x v="49"/>
    <n v="1"/>
    <m/>
    <m/>
    <m/>
    <m/>
    <m/>
    <m/>
    <m/>
  </r>
  <r>
    <x v="2"/>
    <x v="50"/>
    <n v="1"/>
    <m/>
    <m/>
    <m/>
    <m/>
    <m/>
    <m/>
    <m/>
  </r>
  <r>
    <x v="2"/>
    <x v="5"/>
    <n v="1"/>
    <m/>
    <m/>
    <m/>
    <m/>
    <m/>
    <m/>
    <m/>
  </r>
  <r>
    <x v="2"/>
    <x v="27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1"/>
    <n v="3"/>
    <m/>
    <m/>
    <m/>
    <m/>
    <m/>
    <m/>
    <m/>
  </r>
  <r>
    <x v="2"/>
    <x v="50"/>
    <n v="1"/>
    <m/>
    <m/>
    <m/>
    <m/>
    <m/>
    <m/>
    <m/>
  </r>
  <r>
    <x v="2"/>
    <x v="28"/>
    <n v="1"/>
    <m/>
    <m/>
    <m/>
    <m/>
    <m/>
    <m/>
    <m/>
  </r>
  <r>
    <x v="2"/>
    <x v="32"/>
    <n v="1"/>
    <m/>
    <m/>
    <m/>
    <m/>
    <m/>
    <m/>
    <m/>
  </r>
  <r>
    <x v="2"/>
    <x v="47"/>
    <n v="1"/>
    <m/>
    <m/>
    <m/>
    <m/>
    <m/>
    <m/>
    <m/>
  </r>
  <r>
    <x v="2"/>
    <x v="1"/>
    <n v="3"/>
    <m/>
    <m/>
    <m/>
    <m/>
    <m/>
    <m/>
    <m/>
  </r>
  <r>
    <x v="2"/>
    <x v="2"/>
    <n v="3"/>
    <m/>
    <m/>
    <m/>
    <m/>
    <m/>
    <m/>
    <m/>
  </r>
  <r>
    <x v="2"/>
    <x v="15"/>
    <n v="1"/>
    <m/>
    <m/>
    <m/>
    <m/>
    <m/>
    <m/>
    <m/>
  </r>
  <r>
    <x v="2"/>
    <x v="16"/>
    <n v="1"/>
    <m/>
    <m/>
    <m/>
    <m/>
    <m/>
    <m/>
    <m/>
  </r>
  <r>
    <x v="2"/>
    <x v="48"/>
    <n v="1"/>
    <m/>
    <m/>
    <m/>
    <m/>
    <m/>
    <m/>
    <m/>
  </r>
  <r>
    <x v="2"/>
    <x v="51"/>
    <n v="1"/>
    <m/>
    <m/>
    <m/>
    <m/>
    <m/>
    <m/>
    <m/>
  </r>
  <r>
    <x v="2"/>
    <x v="3"/>
    <n v="2"/>
    <m/>
    <m/>
    <m/>
    <m/>
    <m/>
    <m/>
    <m/>
  </r>
  <r>
    <x v="2"/>
    <x v="5"/>
    <n v="1"/>
    <m/>
    <m/>
    <m/>
    <m/>
    <m/>
    <m/>
    <m/>
  </r>
  <r>
    <x v="2"/>
    <x v="6"/>
    <n v="6"/>
    <m/>
    <m/>
    <m/>
    <m/>
    <m/>
    <m/>
    <m/>
  </r>
  <r>
    <x v="2"/>
    <x v="20"/>
    <n v="1"/>
    <m/>
    <m/>
    <m/>
    <m/>
    <m/>
    <m/>
    <m/>
  </r>
  <r>
    <x v="2"/>
    <x v="10"/>
    <n v="1"/>
    <m/>
    <m/>
    <m/>
    <m/>
    <m/>
    <m/>
    <m/>
  </r>
  <r>
    <x v="2"/>
    <x v="7"/>
    <n v="1"/>
    <m/>
    <m/>
    <m/>
    <m/>
    <m/>
    <m/>
    <m/>
  </r>
  <r>
    <x v="2"/>
    <x v="27"/>
    <n v="1"/>
    <m/>
    <m/>
    <m/>
    <m/>
    <m/>
    <m/>
    <m/>
  </r>
  <r>
    <x v="2"/>
    <x v="30"/>
    <n v="1"/>
    <m/>
    <m/>
    <m/>
    <m/>
    <m/>
    <m/>
    <m/>
  </r>
  <r>
    <x v="2"/>
    <x v="3"/>
    <n v="2"/>
    <m/>
    <m/>
    <m/>
    <m/>
    <m/>
    <m/>
    <m/>
  </r>
  <r>
    <x v="2"/>
    <x v="6"/>
    <n v="5"/>
    <m/>
    <m/>
    <m/>
    <m/>
    <m/>
    <m/>
    <m/>
  </r>
  <r>
    <x v="2"/>
    <x v="7"/>
    <n v="1"/>
    <m/>
    <m/>
    <m/>
    <m/>
    <m/>
    <m/>
    <m/>
  </r>
  <r>
    <x v="2"/>
    <x v="28"/>
    <n v="2"/>
    <m/>
    <m/>
    <m/>
    <m/>
    <m/>
    <m/>
    <m/>
  </r>
  <r>
    <x v="2"/>
    <x v="32"/>
    <n v="1"/>
    <m/>
    <m/>
    <m/>
    <m/>
    <m/>
    <m/>
    <m/>
  </r>
  <r>
    <x v="2"/>
    <x v="6"/>
    <n v="5"/>
    <m/>
    <m/>
    <m/>
    <m/>
    <m/>
    <m/>
    <m/>
  </r>
  <r>
    <x v="2"/>
    <x v="33"/>
    <n v="15"/>
    <m/>
    <m/>
    <m/>
    <m/>
    <m/>
    <m/>
    <m/>
  </r>
  <r>
    <x v="2"/>
    <x v="15"/>
    <n v="1"/>
    <m/>
    <m/>
    <m/>
    <m/>
    <m/>
    <m/>
    <m/>
  </r>
  <r>
    <x v="2"/>
    <x v="3"/>
    <n v="3"/>
    <m/>
    <m/>
    <m/>
    <m/>
    <m/>
    <m/>
    <m/>
  </r>
  <r>
    <x v="2"/>
    <x v="50"/>
    <n v="1"/>
    <m/>
    <m/>
    <m/>
    <m/>
    <m/>
    <m/>
    <m/>
  </r>
  <r>
    <x v="2"/>
    <x v="33"/>
    <n v="15"/>
    <m/>
    <m/>
    <m/>
    <m/>
    <m/>
    <m/>
    <m/>
  </r>
  <r>
    <x v="2"/>
    <x v="37"/>
    <n v="2"/>
    <m/>
    <m/>
    <m/>
    <m/>
    <m/>
    <m/>
    <m/>
  </r>
  <r>
    <x v="2"/>
    <x v="30"/>
    <n v="1"/>
    <m/>
    <m/>
    <m/>
    <m/>
    <m/>
    <m/>
    <m/>
  </r>
  <r>
    <x v="2"/>
    <x v="3"/>
    <n v="4"/>
    <m/>
    <m/>
    <m/>
    <m/>
    <m/>
    <m/>
    <m/>
  </r>
  <r>
    <x v="2"/>
    <x v="11"/>
    <n v="2"/>
    <m/>
    <m/>
    <m/>
    <m/>
    <m/>
    <m/>
    <m/>
  </r>
  <r>
    <x v="2"/>
    <x v="41"/>
    <n v="4"/>
    <m/>
    <m/>
    <m/>
    <m/>
    <m/>
    <m/>
    <m/>
  </r>
  <r>
    <x v="2"/>
    <x v="43"/>
    <n v="3"/>
    <m/>
    <m/>
    <m/>
    <m/>
    <m/>
    <m/>
    <m/>
  </r>
  <r>
    <x v="2"/>
    <x v="10"/>
    <n v="1"/>
    <m/>
    <m/>
    <m/>
    <m/>
    <m/>
    <m/>
    <m/>
  </r>
  <r>
    <x v="2"/>
    <x v="32"/>
    <n v="1"/>
    <m/>
    <m/>
    <m/>
    <m/>
    <m/>
    <m/>
    <m/>
  </r>
  <r>
    <x v="3"/>
    <x v="0"/>
    <n v="1"/>
    <m/>
    <m/>
    <m/>
    <m/>
    <m/>
    <m/>
    <m/>
  </r>
  <r>
    <x v="3"/>
    <x v="1"/>
    <n v="5"/>
    <m/>
    <m/>
    <m/>
    <m/>
    <m/>
    <m/>
    <m/>
  </r>
  <r>
    <x v="3"/>
    <x v="4"/>
    <n v="4"/>
    <m/>
    <m/>
    <m/>
    <m/>
    <m/>
    <m/>
    <m/>
  </r>
  <r>
    <x v="3"/>
    <x v="6"/>
    <n v="2"/>
    <m/>
    <m/>
    <m/>
    <m/>
    <m/>
    <m/>
    <m/>
  </r>
  <r>
    <x v="3"/>
    <x v="7"/>
    <n v="2"/>
    <m/>
    <m/>
    <m/>
    <m/>
    <m/>
    <m/>
    <m/>
  </r>
  <r>
    <x v="3"/>
    <x v="8"/>
    <n v="3"/>
    <m/>
    <m/>
    <m/>
    <m/>
    <m/>
    <m/>
    <m/>
  </r>
  <r>
    <x v="3"/>
    <x v="9"/>
    <n v="1"/>
    <m/>
    <m/>
    <m/>
    <m/>
    <m/>
    <m/>
    <m/>
  </r>
  <r>
    <x v="3"/>
    <x v="3"/>
    <n v="1"/>
    <m/>
    <m/>
    <m/>
    <m/>
    <m/>
    <m/>
    <m/>
  </r>
  <r>
    <x v="3"/>
    <x v="10"/>
    <n v="1"/>
    <m/>
    <m/>
    <m/>
    <m/>
    <m/>
    <m/>
    <m/>
  </r>
  <r>
    <x v="3"/>
    <x v="11"/>
    <n v="1"/>
    <m/>
    <m/>
    <m/>
    <m/>
    <m/>
    <m/>
    <m/>
  </r>
  <r>
    <x v="3"/>
    <x v="0"/>
    <n v="1"/>
    <m/>
    <m/>
    <m/>
    <m/>
    <m/>
    <m/>
    <m/>
  </r>
  <r>
    <x v="3"/>
    <x v="1"/>
    <n v="5"/>
    <m/>
    <m/>
    <m/>
    <m/>
    <m/>
    <m/>
    <m/>
  </r>
  <r>
    <x v="3"/>
    <x v="4"/>
    <n v="4"/>
    <m/>
    <m/>
    <m/>
    <m/>
    <m/>
    <m/>
    <m/>
  </r>
  <r>
    <x v="3"/>
    <x v="6"/>
    <n v="2"/>
    <m/>
    <m/>
    <m/>
    <m/>
    <m/>
    <m/>
    <m/>
  </r>
  <r>
    <x v="3"/>
    <x v="7"/>
    <n v="2"/>
    <m/>
    <m/>
    <m/>
    <m/>
    <m/>
    <m/>
    <m/>
  </r>
  <r>
    <x v="3"/>
    <x v="8"/>
    <n v="3"/>
    <m/>
    <m/>
    <m/>
    <m/>
    <m/>
    <m/>
    <m/>
  </r>
  <r>
    <x v="3"/>
    <x v="12"/>
    <n v="1"/>
    <m/>
    <m/>
    <m/>
    <m/>
    <m/>
    <m/>
    <m/>
  </r>
  <r>
    <x v="3"/>
    <x v="13"/>
    <n v="1"/>
    <m/>
    <m/>
    <m/>
    <m/>
    <m/>
    <m/>
    <m/>
  </r>
  <r>
    <x v="3"/>
    <x v="14"/>
    <n v="1"/>
    <m/>
    <m/>
    <m/>
    <m/>
    <m/>
    <m/>
    <m/>
  </r>
  <r>
    <x v="3"/>
    <x v="15"/>
    <n v="1"/>
    <m/>
    <m/>
    <m/>
    <m/>
    <m/>
    <m/>
    <m/>
  </r>
  <r>
    <x v="3"/>
    <x v="16"/>
    <n v="1"/>
    <m/>
    <m/>
    <m/>
    <m/>
    <m/>
    <m/>
    <m/>
  </r>
  <r>
    <x v="3"/>
    <x v="17"/>
    <n v="1"/>
    <m/>
    <m/>
    <m/>
    <m/>
    <m/>
    <m/>
    <m/>
  </r>
  <r>
    <x v="3"/>
    <x v="18"/>
    <n v="1"/>
    <m/>
    <m/>
    <m/>
    <m/>
    <m/>
    <m/>
    <m/>
  </r>
  <r>
    <x v="3"/>
    <x v="19"/>
    <n v="1"/>
    <m/>
    <m/>
    <m/>
    <m/>
    <m/>
    <m/>
    <m/>
  </r>
  <r>
    <x v="3"/>
    <x v="20"/>
    <n v="5"/>
    <m/>
    <m/>
    <m/>
    <m/>
    <m/>
    <m/>
    <m/>
  </r>
  <r>
    <x v="3"/>
    <x v="21"/>
    <n v="1"/>
    <m/>
    <m/>
    <m/>
    <m/>
    <m/>
    <m/>
    <m/>
  </r>
  <r>
    <x v="3"/>
    <x v="15"/>
    <n v="1"/>
    <m/>
    <m/>
    <m/>
    <m/>
    <m/>
    <m/>
    <m/>
  </r>
  <r>
    <x v="3"/>
    <x v="22"/>
    <n v="3"/>
    <m/>
    <m/>
    <m/>
    <m/>
    <m/>
    <m/>
    <m/>
  </r>
  <r>
    <x v="3"/>
    <x v="25"/>
    <n v="8"/>
    <m/>
    <m/>
    <m/>
    <m/>
    <m/>
    <m/>
    <m/>
  </r>
  <r>
    <x v="3"/>
    <x v="26"/>
    <n v="30"/>
    <m/>
    <m/>
    <m/>
    <m/>
    <m/>
    <m/>
    <m/>
  </r>
  <r>
    <x v="3"/>
    <x v="55"/>
    <n v="3"/>
    <m/>
    <m/>
    <m/>
    <m/>
    <m/>
    <m/>
    <m/>
  </r>
  <r>
    <x v="3"/>
    <x v="27"/>
    <n v="1"/>
    <m/>
    <m/>
    <m/>
    <m/>
    <m/>
    <m/>
    <m/>
  </r>
  <r>
    <x v="3"/>
    <x v="1"/>
    <n v="3"/>
    <m/>
    <m/>
    <m/>
    <m/>
    <m/>
    <m/>
    <m/>
  </r>
  <r>
    <x v="3"/>
    <x v="12"/>
    <n v="1"/>
    <m/>
    <m/>
    <m/>
    <m/>
    <m/>
    <m/>
    <m/>
  </r>
  <r>
    <x v="3"/>
    <x v="1"/>
    <n v="3"/>
    <m/>
    <m/>
    <m/>
    <m/>
    <m/>
    <m/>
    <m/>
  </r>
  <r>
    <x v="3"/>
    <x v="13"/>
    <n v="1"/>
    <m/>
    <m/>
    <m/>
    <m/>
    <m/>
    <m/>
    <m/>
  </r>
  <r>
    <x v="3"/>
    <x v="14"/>
    <n v="1"/>
    <m/>
    <m/>
    <m/>
    <m/>
    <m/>
    <m/>
    <m/>
  </r>
  <r>
    <x v="3"/>
    <x v="15"/>
    <n v="1"/>
    <m/>
    <m/>
    <m/>
    <m/>
    <m/>
    <m/>
    <m/>
  </r>
  <r>
    <x v="3"/>
    <x v="16"/>
    <n v="1"/>
    <m/>
    <m/>
    <m/>
    <m/>
    <m/>
    <m/>
    <m/>
  </r>
  <r>
    <x v="3"/>
    <x v="17"/>
    <n v="1"/>
    <m/>
    <m/>
    <m/>
    <m/>
    <m/>
    <m/>
    <m/>
  </r>
  <r>
    <x v="3"/>
    <x v="18"/>
    <n v="1"/>
    <m/>
    <m/>
    <m/>
    <m/>
    <m/>
    <m/>
    <m/>
  </r>
  <r>
    <x v="3"/>
    <x v="9"/>
    <n v="1"/>
    <m/>
    <m/>
    <m/>
    <m/>
    <m/>
    <m/>
    <m/>
  </r>
  <r>
    <x v="3"/>
    <x v="51"/>
    <n v="3"/>
    <m/>
    <m/>
    <m/>
    <m/>
    <m/>
    <m/>
    <m/>
  </r>
  <r>
    <x v="3"/>
    <x v="3"/>
    <n v="1"/>
    <m/>
    <m/>
    <m/>
    <m/>
    <m/>
    <m/>
    <m/>
  </r>
  <r>
    <x v="3"/>
    <x v="19"/>
    <n v="1"/>
    <m/>
    <m/>
    <m/>
    <m/>
    <m/>
    <m/>
    <m/>
  </r>
  <r>
    <x v="3"/>
    <x v="6"/>
    <n v="5"/>
    <m/>
    <m/>
    <m/>
    <m/>
    <m/>
    <m/>
    <m/>
  </r>
  <r>
    <x v="3"/>
    <x v="20"/>
    <n v="5"/>
    <m/>
    <m/>
    <m/>
    <m/>
    <m/>
    <m/>
    <m/>
  </r>
  <r>
    <x v="3"/>
    <x v="10"/>
    <n v="1"/>
    <m/>
    <m/>
    <m/>
    <m/>
    <m/>
    <m/>
    <m/>
  </r>
  <r>
    <x v="3"/>
    <x v="11"/>
    <n v="1"/>
    <m/>
    <m/>
    <m/>
    <m/>
    <m/>
    <m/>
    <m/>
  </r>
  <r>
    <x v="3"/>
    <x v="53"/>
    <n v="1"/>
    <m/>
    <m/>
    <m/>
    <m/>
    <m/>
    <m/>
    <m/>
  </r>
  <r>
    <x v="3"/>
    <x v="54"/>
    <n v="1"/>
    <m/>
    <m/>
    <m/>
    <m/>
    <m/>
    <m/>
    <m/>
  </r>
  <r>
    <x v="3"/>
    <x v="27"/>
    <n v="1"/>
    <m/>
    <m/>
    <m/>
    <m/>
    <m/>
    <m/>
    <m/>
  </r>
  <r>
    <x v="3"/>
    <x v="2"/>
    <n v="2"/>
    <m/>
    <m/>
    <m/>
    <m/>
    <m/>
    <m/>
    <m/>
  </r>
  <r>
    <x v="3"/>
    <x v="6"/>
    <n v="2"/>
    <m/>
    <m/>
    <m/>
    <m/>
    <m/>
    <m/>
    <m/>
  </r>
  <r>
    <x v="3"/>
    <x v="8"/>
    <n v="1"/>
    <m/>
    <m/>
    <m/>
    <m/>
    <m/>
    <m/>
    <m/>
  </r>
  <r>
    <x v="3"/>
    <x v="28"/>
    <n v="4"/>
    <m/>
    <m/>
    <m/>
    <m/>
    <m/>
    <m/>
    <m/>
  </r>
  <r>
    <x v="3"/>
    <x v="32"/>
    <n v="3"/>
    <m/>
    <m/>
    <m/>
    <m/>
    <m/>
    <m/>
    <m/>
  </r>
  <r>
    <x v="3"/>
    <x v="6"/>
    <n v="4"/>
    <m/>
    <m/>
    <m/>
    <m/>
    <m/>
    <m/>
    <m/>
  </r>
  <r>
    <x v="3"/>
    <x v="33"/>
    <n v="15"/>
    <m/>
    <m/>
    <m/>
    <m/>
    <m/>
    <m/>
    <m/>
  </r>
  <r>
    <x v="3"/>
    <x v="3"/>
    <n v="8"/>
    <m/>
    <m/>
    <m/>
    <m/>
    <m/>
    <m/>
    <m/>
  </r>
  <r>
    <x v="3"/>
    <x v="33"/>
    <n v="15"/>
    <m/>
    <m/>
    <m/>
    <m/>
    <m/>
    <m/>
    <m/>
  </r>
  <r>
    <x v="3"/>
    <x v="56"/>
    <n v="3"/>
    <m/>
    <m/>
    <m/>
    <m/>
    <m/>
    <m/>
    <m/>
  </r>
  <r>
    <x v="3"/>
    <x v="37"/>
    <n v="2"/>
    <m/>
    <m/>
    <m/>
    <m/>
    <m/>
    <m/>
    <m/>
  </r>
  <r>
    <x v="3"/>
    <x v="30"/>
    <n v="1"/>
    <m/>
    <m/>
    <m/>
    <m/>
    <m/>
    <m/>
    <m/>
  </r>
  <r>
    <x v="3"/>
    <x v="3"/>
    <n v="5"/>
    <m/>
    <m/>
    <m/>
    <m/>
    <m/>
    <m/>
    <m/>
  </r>
  <r>
    <x v="3"/>
    <x v="6"/>
    <n v="12"/>
    <m/>
    <m/>
    <m/>
    <m/>
    <m/>
    <m/>
    <m/>
  </r>
  <r>
    <x v="3"/>
    <x v="11"/>
    <n v="2"/>
    <m/>
    <m/>
    <m/>
    <m/>
    <m/>
    <m/>
    <m/>
  </r>
  <r>
    <x v="3"/>
    <x v="7"/>
    <n v="1"/>
    <m/>
    <m/>
    <m/>
    <m/>
    <m/>
    <m/>
    <m/>
  </r>
  <r>
    <x v="3"/>
    <x v="41"/>
    <n v="1"/>
    <m/>
    <m/>
    <m/>
    <m/>
    <m/>
    <m/>
    <m/>
  </r>
  <r>
    <x v="3"/>
    <x v="32"/>
    <n v="3"/>
    <m/>
    <m/>
    <m/>
    <m/>
    <m/>
    <m/>
    <m/>
  </r>
  <r>
    <x v="4"/>
    <x v="4"/>
    <n v="4"/>
    <m/>
    <m/>
    <m/>
    <m/>
    <m/>
    <m/>
    <m/>
  </r>
  <r>
    <x v="4"/>
    <x v="47"/>
    <n v="1"/>
    <m/>
    <m/>
    <m/>
    <m/>
    <m/>
    <m/>
    <m/>
  </r>
  <r>
    <x v="4"/>
    <x v="3"/>
    <n v="2"/>
    <m/>
    <m/>
    <m/>
    <m/>
    <m/>
    <m/>
    <m/>
  </r>
  <r>
    <x v="4"/>
    <x v="10"/>
    <n v="3"/>
    <m/>
    <m/>
    <m/>
    <m/>
    <m/>
    <m/>
    <m/>
  </r>
  <r>
    <x v="4"/>
    <x v="4"/>
    <n v="4"/>
    <m/>
    <m/>
    <m/>
    <m/>
    <m/>
    <m/>
    <m/>
  </r>
  <r>
    <x v="4"/>
    <x v="15"/>
    <n v="1"/>
    <m/>
    <m/>
    <m/>
    <m/>
    <m/>
    <m/>
    <m/>
  </r>
  <r>
    <x v="4"/>
    <x v="16"/>
    <n v="1"/>
    <m/>
    <m/>
    <m/>
    <m/>
    <m/>
    <m/>
    <m/>
  </r>
  <r>
    <x v="4"/>
    <x v="48"/>
    <n v="1"/>
    <m/>
    <m/>
    <m/>
    <m/>
    <m/>
    <m/>
    <m/>
  </r>
  <r>
    <x v="4"/>
    <x v="20"/>
    <n v="7"/>
    <m/>
    <m/>
    <m/>
    <m/>
    <m/>
    <m/>
    <m/>
  </r>
  <r>
    <x v="4"/>
    <x v="21"/>
    <n v="1"/>
    <m/>
    <m/>
    <m/>
    <m/>
    <m/>
    <m/>
    <m/>
  </r>
  <r>
    <x v="4"/>
    <x v="22"/>
    <n v="3"/>
    <m/>
    <m/>
    <m/>
    <m/>
    <m/>
    <m/>
    <m/>
  </r>
  <r>
    <x v="4"/>
    <x v="23"/>
    <n v="1"/>
    <m/>
    <m/>
    <m/>
    <m/>
    <m/>
    <m/>
    <m/>
  </r>
  <r>
    <x v="4"/>
    <x v="49"/>
    <n v="1"/>
    <m/>
    <m/>
    <m/>
    <m/>
    <m/>
    <m/>
    <m/>
  </r>
  <r>
    <x v="4"/>
    <x v="50"/>
    <n v="1"/>
    <m/>
    <m/>
    <m/>
    <m/>
    <m/>
    <m/>
    <m/>
  </r>
  <r>
    <x v="4"/>
    <x v="2"/>
    <n v="1"/>
    <m/>
    <m/>
    <m/>
    <m/>
    <m/>
    <m/>
    <m/>
  </r>
  <r>
    <x v="4"/>
    <x v="5"/>
    <n v="1"/>
    <m/>
    <m/>
    <m/>
    <m/>
    <m/>
    <m/>
    <m/>
  </r>
  <r>
    <x v="4"/>
    <x v="27"/>
    <n v="1"/>
    <m/>
    <m/>
    <m/>
    <m/>
    <m/>
    <m/>
    <m/>
  </r>
  <r>
    <x v="4"/>
    <x v="1"/>
    <n v="2"/>
    <m/>
    <m/>
    <m/>
    <m/>
    <m/>
    <m/>
    <m/>
  </r>
  <r>
    <x v="4"/>
    <x v="50"/>
    <n v="1"/>
    <m/>
    <m/>
    <m/>
    <m/>
    <m/>
    <m/>
    <m/>
  </r>
  <r>
    <x v="4"/>
    <x v="47"/>
    <n v="1"/>
    <m/>
    <m/>
    <m/>
    <m/>
    <m/>
    <m/>
    <m/>
  </r>
  <r>
    <x v="4"/>
    <x v="1"/>
    <n v="2"/>
    <m/>
    <m/>
    <m/>
    <m/>
    <m/>
    <m/>
    <m/>
  </r>
  <r>
    <x v="4"/>
    <x v="15"/>
    <n v="1"/>
    <m/>
    <m/>
    <m/>
    <m/>
    <m/>
    <m/>
    <m/>
  </r>
  <r>
    <x v="4"/>
    <x v="16"/>
    <n v="1"/>
    <m/>
    <m/>
    <m/>
    <m/>
    <m/>
    <m/>
    <m/>
  </r>
  <r>
    <x v="4"/>
    <x v="48"/>
    <n v="1"/>
    <m/>
    <m/>
    <m/>
    <m/>
    <m/>
    <m/>
    <m/>
  </r>
  <r>
    <x v="4"/>
    <x v="51"/>
    <n v="2"/>
    <m/>
    <m/>
    <m/>
    <m/>
    <m/>
    <m/>
    <m/>
  </r>
  <r>
    <x v="4"/>
    <x v="3"/>
    <n v="2"/>
    <m/>
    <m/>
    <m/>
    <m/>
    <m/>
    <m/>
    <m/>
  </r>
  <r>
    <x v="4"/>
    <x v="5"/>
    <n v="1"/>
    <m/>
    <m/>
    <m/>
    <m/>
    <m/>
    <m/>
    <m/>
  </r>
  <r>
    <x v="4"/>
    <x v="6"/>
    <n v="2"/>
    <m/>
    <m/>
    <m/>
    <m/>
    <m/>
    <m/>
    <m/>
  </r>
  <r>
    <x v="4"/>
    <x v="20"/>
    <n v="7"/>
    <m/>
    <m/>
    <m/>
    <m/>
    <m/>
    <m/>
    <m/>
  </r>
  <r>
    <x v="4"/>
    <x v="10"/>
    <n v="3"/>
    <m/>
    <m/>
    <m/>
    <m/>
    <m/>
    <m/>
    <m/>
  </r>
  <r>
    <x v="4"/>
    <x v="27"/>
    <n v="1"/>
    <m/>
    <m/>
    <m/>
    <m/>
    <m/>
    <m/>
    <m/>
  </r>
  <r>
    <x v="4"/>
    <x v="3"/>
    <n v="2"/>
    <m/>
    <m/>
    <m/>
    <m/>
    <m/>
    <m/>
    <m/>
  </r>
  <r>
    <x v="4"/>
    <x v="6"/>
    <n v="5"/>
    <m/>
    <m/>
    <m/>
    <m/>
    <m/>
    <m/>
    <m/>
  </r>
  <r>
    <x v="4"/>
    <x v="8"/>
    <n v="1"/>
    <m/>
    <m/>
    <m/>
    <m/>
    <m/>
    <m/>
    <m/>
  </r>
  <r>
    <x v="4"/>
    <x v="28"/>
    <n v="2"/>
    <m/>
    <m/>
    <m/>
    <m/>
    <m/>
    <m/>
    <m/>
  </r>
  <r>
    <x v="4"/>
    <x v="32"/>
    <n v="1"/>
    <m/>
    <m/>
    <m/>
    <m/>
    <m/>
    <m/>
    <m/>
  </r>
  <r>
    <x v="4"/>
    <x v="6"/>
    <n v="6"/>
    <m/>
    <m/>
    <m/>
    <m/>
    <m/>
    <m/>
    <m/>
  </r>
  <r>
    <x v="4"/>
    <x v="33"/>
    <n v="15"/>
    <m/>
    <m/>
    <m/>
    <m/>
    <m/>
    <m/>
    <m/>
  </r>
  <r>
    <x v="4"/>
    <x v="15"/>
    <n v="4"/>
    <m/>
    <m/>
    <m/>
    <m/>
    <m/>
    <m/>
    <m/>
  </r>
  <r>
    <x v="4"/>
    <x v="3"/>
    <n v="2"/>
    <m/>
    <m/>
    <m/>
    <m/>
    <m/>
    <m/>
    <m/>
  </r>
  <r>
    <x v="4"/>
    <x v="50"/>
    <n v="1"/>
    <m/>
    <m/>
    <m/>
    <m/>
    <m/>
    <m/>
    <m/>
  </r>
  <r>
    <x v="4"/>
    <x v="33"/>
    <n v="15"/>
    <m/>
    <m/>
    <m/>
    <m/>
    <m/>
    <m/>
    <m/>
  </r>
  <r>
    <x v="4"/>
    <x v="37"/>
    <n v="2"/>
    <m/>
    <m/>
    <m/>
    <m/>
    <m/>
    <m/>
    <m/>
  </r>
  <r>
    <x v="4"/>
    <x v="30"/>
    <n v="1"/>
    <m/>
    <m/>
    <m/>
    <m/>
    <m/>
    <m/>
    <m/>
  </r>
  <r>
    <x v="4"/>
    <x v="3"/>
    <n v="5"/>
    <m/>
    <m/>
    <m/>
    <m/>
    <m/>
    <m/>
    <m/>
  </r>
  <r>
    <x v="4"/>
    <x v="11"/>
    <n v="2"/>
    <m/>
    <m/>
    <m/>
    <m/>
    <m/>
    <m/>
    <m/>
  </r>
  <r>
    <x v="4"/>
    <x v="41"/>
    <n v="1"/>
    <m/>
    <m/>
    <m/>
    <m/>
    <m/>
    <m/>
    <m/>
  </r>
  <r>
    <x v="4"/>
    <x v="32"/>
    <n v="1"/>
    <m/>
    <m/>
    <m/>
    <m/>
    <m/>
    <m/>
    <m/>
  </r>
  <r>
    <x v="5"/>
    <x v="57"/>
    <n v="2"/>
    <m/>
    <m/>
    <m/>
    <m/>
    <m/>
    <m/>
    <m/>
  </r>
  <r>
    <x v="5"/>
    <x v="58"/>
    <n v="1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3"/>
    <n v="38"/>
    <m/>
    <m/>
    <m/>
    <m/>
    <m/>
    <m/>
    <m/>
  </r>
  <r>
    <x v="5"/>
    <x v="6"/>
    <n v="2"/>
    <m/>
    <m/>
    <m/>
    <m/>
    <m/>
    <m/>
    <m/>
  </r>
  <r>
    <x v="5"/>
    <x v="20"/>
    <n v="4"/>
    <m/>
    <m/>
    <m/>
    <m/>
    <m/>
    <m/>
    <m/>
  </r>
  <r>
    <x v="5"/>
    <x v="11"/>
    <n v="3"/>
    <m/>
    <m/>
    <m/>
    <m/>
    <m/>
    <m/>
    <m/>
  </r>
  <r>
    <x v="5"/>
    <x v="33"/>
    <n v="1"/>
    <m/>
    <m/>
    <m/>
    <m/>
    <m/>
    <m/>
    <m/>
  </r>
  <r>
    <x v="5"/>
    <x v="7"/>
    <n v="2"/>
    <m/>
    <m/>
    <m/>
    <m/>
    <m/>
    <m/>
    <m/>
  </r>
  <r>
    <x v="5"/>
    <x v="8"/>
    <n v="3"/>
    <m/>
    <m/>
    <m/>
    <m/>
    <m/>
    <m/>
    <m/>
  </r>
  <r>
    <x v="5"/>
    <x v="15"/>
    <n v="2"/>
    <m/>
    <m/>
    <m/>
    <m/>
    <m/>
    <m/>
    <m/>
  </r>
  <r>
    <x v="5"/>
    <x v="3"/>
    <n v="2"/>
    <m/>
    <m/>
    <m/>
    <m/>
    <m/>
    <m/>
    <m/>
  </r>
  <r>
    <x v="5"/>
    <x v="5"/>
    <n v="1"/>
    <m/>
    <m/>
    <m/>
    <m/>
    <m/>
    <m/>
    <m/>
  </r>
  <r>
    <x v="5"/>
    <x v="33"/>
    <n v="3"/>
    <m/>
    <m/>
    <m/>
    <m/>
    <m/>
    <m/>
    <m/>
  </r>
  <r>
    <x v="5"/>
    <x v="42"/>
    <n v="6"/>
    <m/>
    <m/>
    <m/>
    <m/>
    <m/>
    <m/>
    <m/>
  </r>
  <r>
    <x v="5"/>
    <x v="50"/>
    <n v="1"/>
    <m/>
    <m/>
    <m/>
    <m/>
    <m/>
    <m/>
    <m/>
  </r>
  <r>
    <x v="5"/>
    <x v="59"/>
    <n v="3"/>
    <m/>
    <m/>
    <m/>
    <m/>
    <m/>
    <m/>
    <m/>
  </r>
  <r>
    <x v="5"/>
    <x v="9"/>
    <n v="3"/>
    <m/>
    <m/>
    <m/>
    <m/>
    <m/>
    <m/>
    <m/>
  </r>
  <r>
    <x v="5"/>
    <x v="37"/>
    <n v="3"/>
    <m/>
    <m/>
    <m/>
    <m/>
    <m/>
    <m/>
    <m/>
  </r>
  <r>
    <x v="5"/>
    <x v="30"/>
    <n v="3"/>
    <m/>
    <m/>
    <m/>
    <m/>
    <m/>
    <m/>
    <m/>
  </r>
  <r>
    <x v="5"/>
    <x v="3"/>
    <n v="21"/>
    <m/>
    <m/>
    <m/>
    <m/>
    <m/>
    <m/>
    <m/>
  </r>
  <r>
    <x v="5"/>
    <x v="10"/>
    <n v="9"/>
    <m/>
    <m/>
    <m/>
    <m/>
    <m/>
    <m/>
    <m/>
  </r>
  <r>
    <x v="5"/>
    <x v="11"/>
    <n v="3"/>
    <m/>
    <m/>
    <m/>
    <m/>
    <m/>
    <m/>
    <m/>
  </r>
  <r>
    <x v="5"/>
    <x v="57"/>
    <n v="2"/>
    <m/>
    <m/>
    <m/>
    <m/>
    <m/>
    <m/>
    <m/>
  </r>
  <r>
    <x v="5"/>
    <x v="58"/>
    <n v="1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3"/>
    <n v="38"/>
    <m/>
    <m/>
    <m/>
    <m/>
    <m/>
    <m/>
    <m/>
  </r>
  <r>
    <x v="5"/>
    <x v="6"/>
    <n v="2"/>
    <m/>
    <m/>
    <m/>
    <m/>
    <m/>
    <m/>
    <m/>
  </r>
  <r>
    <x v="5"/>
    <x v="20"/>
    <n v="3"/>
    <m/>
    <m/>
    <m/>
    <m/>
    <m/>
    <m/>
    <m/>
  </r>
  <r>
    <x v="5"/>
    <x v="11"/>
    <n v="3"/>
    <m/>
    <m/>
    <m/>
    <m/>
    <m/>
    <m/>
    <m/>
  </r>
  <r>
    <x v="5"/>
    <x v="28"/>
    <n v="2"/>
    <m/>
    <m/>
    <m/>
    <m/>
    <m/>
    <m/>
    <m/>
  </r>
  <r>
    <x v="5"/>
    <x v="15"/>
    <n v="5"/>
    <m/>
    <m/>
    <m/>
    <m/>
    <m/>
    <m/>
    <m/>
  </r>
  <r>
    <x v="5"/>
    <x v="36"/>
    <n v="5"/>
    <m/>
    <m/>
    <m/>
    <m/>
    <m/>
    <m/>
    <m/>
  </r>
  <r>
    <x v="5"/>
    <x v="18"/>
    <n v="15"/>
    <m/>
    <m/>
    <m/>
    <m/>
    <m/>
    <m/>
    <m/>
  </r>
  <r>
    <x v="5"/>
    <x v="3"/>
    <n v="58"/>
    <m/>
    <m/>
    <m/>
    <m/>
    <m/>
    <m/>
    <m/>
  </r>
  <r>
    <x v="5"/>
    <x v="6"/>
    <n v="6"/>
    <m/>
    <m/>
    <m/>
    <m/>
    <m/>
    <m/>
    <m/>
  </r>
  <r>
    <x v="5"/>
    <x v="20"/>
    <n v="5"/>
    <m/>
    <m/>
    <m/>
    <m/>
    <m/>
    <m/>
    <m/>
  </r>
  <r>
    <x v="5"/>
    <x v="33"/>
    <n v="65"/>
    <m/>
    <m/>
    <m/>
    <m/>
    <m/>
    <m/>
    <m/>
  </r>
  <r>
    <x v="5"/>
    <x v="40"/>
    <n v="2"/>
    <m/>
    <m/>
    <m/>
    <m/>
    <m/>
    <m/>
    <m/>
  </r>
  <r>
    <x v="5"/>
    <x v="42"/>
    <n v="5"/>
    <m/>
    <m/>
    <m/>
    <m/>
    <m/>
    <m/>
    <m/>
  </r>
  <r>
    <x v="5"/>
    <x v="8"/>
    <n v="1"/>
    <m/>
    <m/>
    <m/>
    <m/>
    <m/>
    <m/>
    <m/>
  </r>
  <r>
    <x v="5"/>
    <x v="33"/>
    <n v="1"/>
    <m/>
    <m/>
    <m/>
    <m/>
    <m/>
    <m/>
    <m/>
  </r>
  <r>
    <x v="5"/>
    <x v="7"/>
    <n v="2"/>
    <m/>
    <m/>
    <m/>
    <m/>
    <m/>
    <m/>
    <m/>
  </r>
  <r>
    <x v="5"/>
    <x v="8"/>
    <n v="3"/>
    <m/>
    <m/>
    <m/>
    <m/>
    <m/>
    <m/>
    <m/>
  </r>
  <r>
    <x v="5"/>
    <x v="58"/>
    <n v="1"/>
    <m/>
    <m/>
    <m/>
    <m/>
    <m/>
    <m/>
    <m/>
  </r>
  <r>
    <x v="5"/>
    <x v="3"/>
    <n v="35"/>
    <m/>
    <m/>
    <m/>
    <m/>
    <m/>
    <m/>
    <m/>
  </r>
  <r>
    <x v="5"/>
    <x v="37"/>
    <n v="3"/>
    <m/>
    <m/>
    <m/>
    <m/>
    <m/>
    <m/>
    <m/>
  </r>
  <r>
    <x v="5"/>
    <x v="30"/>
    <n v="4"/>
    <m/>
    <m/>
    <m/>
    <m/>
    <m/>
    <m/>
    <m/>
  </r>
  <r>
    <x v="5"/>
    <x v="11"/>
    <n v="3"/>
    <m/>
    <m/>
    <m/>
    <m/>
    <m/>
    <m/>
    <m/>
  </r>
  <r>
    <x v="5"/>
    <x v="58"/>
    <n v="1"/>
    <m/>
    <m/>
    <m/>
    <m/>
    <m/>
    <m/>
    <m/>
  </r>
  <r>
    <x v="5"/>
    <x v="12"/>
    <n v="1"/>
    <m/>
    <m/>
    <m/>
    <m/>
    <m/>
    <m/>
    <m/>
  </r>
  <r>
    <x v="5"/>
    <x v="17"/>
    <n v="1"/>
    <m/>
    <m/>
    <m/>
    <m/>
    <m/>
    <m/>
    <m/>
  </r>
  <r>
    <x v="5"/>
    <x v="24"/>
    <n v="3"/>
    <m/>
    <m/>
    <m/>
    <m/>
    <m/>
    <m/>
    <m/>
  </r>
  <r>
    <x v="5"/>
    <x v="20"/>
    <n v="6"/>
    <m/>
    <m/>
    <m/>
    <m/>
    <m/>
    <m/>
    <m/>
  </r>
  <r>
    <x v="5"/>
    <x v="21"/>
    <n v="1"/>
    <m/>
    <m/>
    <m/>
    <m/>
    <m/>
    <m/>
    <m/>
  </r>
  <r>
    <x v="5"/>
    <x v="57"/>
    <n v="11"/>
    <m/>
    <m/>
    <m/>
    <m/>
    <m/>
    <m/>
    <m/>
  </r>
  <r>
    <x v="5"/>
    <x v="60"/>
    <n v="3"/>
    <m/>
    <m/>
    <m/>
    <m/>
    <m/>
    <m/>
    <m/>
  </r>
  <r>
    <x v="5"/>
    <x v="3"/>
    <n v="2"/>
    <m/>
    <m/>
    <m/>
    <m/>
    <m/>
    <m/>
    <m/>
  </r>
  <r>
    <x v="5"/>
    <x v="4"/>
    <n v="14"/>
    <m/>
    <m/>
    <m/>
    <m/>
    <m/>
    <m/>
    <m/>
  </r>
  <r>
    <x v="5"/>
    <x v="61"/>
    <n v="4"/>
    <m/>
    <m/>
    <m/>
    <m/>
    <m/>
    <m/>
    <m/>
  </r>
  <r>
    <x v="5"/>
    <x v="22"/>
    <n v="33"/>
    <m/>
    <m/>
    <m/>
    <m/>
    <m/>
    <m/>
    <m/>
  </r>
  <r>
    <x v="5"/>
    <x v="23"/>
    <n v="14"/>
    <m/>
    <m/>
    <m/>
    <m/>
    <m/>
    <m/>
    <m/>
  </r>
  <r>
    <x v="5"/>
    <x v="24"/>
    <n v="5"/>
    <m/>
    <m/>
    <m/>
    <m/>
    <m/>
    <m/>
    <m/>
  </r>
  <r>
    <x v="5"/>
    <x v="62"/>
    <n v="10"/>
    <m/>
    <m/>
    <m/>
    <m/>
    <m/>
    <m/>
    <m/>
  </r>
  <r>
    <x v="5"/>
    <x v="25"/>
    <n v="5"/>
    <m/>
    <m/>
    <m/>
    <m/>
    <m/>
    <m/>
    <m/>
  </r>
  <r>
    <x v="5"/>
    <x v="26"/>
    <n v="30"/>
    <m/>
    <m/>
    <m/>
    <m/>
    <m/>
    <m/>
    <m/>
  </r>
  <r>
    <x v="5"/>
    <x v="55"/>
    <n v="1"/>
    <m/>
    <m/>
    <m/>
    <m/>
    <m/>
    <m/>
    <m/>
  </r>
  <r>
    <x v="5"/>
    <x v="49"/>
    <n v="2"/>
    <m/>
    <m/>
    <m/>
    <m/>
    <m/>
    <m/>
    <m/>
  </r>
  <r>
    <x v="5"/>
    <x v="63"/>
    <n v="10"/>
    <m/>
    <m/>
    <m/>
    <m/>
    <m/>
    <m/>
    <m/>
  </r>
  <r>
    <x v="5"/>
    <x v="15"/>
    <n v="2"/>
    <m/>
    <m/>
    <m/>
    <m/>
    <m/>
    <m/>
    <m/>
  </r>
  <r>
    <x v="5"/>
    <x v="3"/>
    <n v="2"/>
    <m/>
    <m/>
    <m/>
    <m/>
    <m/>
    <m/>
    <m/>
  </r>
  <r>
    <x v="5"/>
    <x v="5"/>
    <n v="2"/>
    <m/>
    <m/>
    <m/>
    <m/>
    <m/>
    <m/>
    <m/>
  </r>
  <r>
    <x v="5"/>
    <x v="33"/>
    <n v="3"/>
    <m/>
    <m/>
    <m/>
    <m/>
    <m/>
    <m/>
    <m/>
  </r>
  <r>
    <x v="5"/>
    <x v="42"/>
    <n v="6"/>
    <m/>
    <m/>
    <m/>
    <m/>
    <m/>
    <m/>
    <m/>
  </r>
  <r>
    <x v="5"/>
    <x v="6"/>
    <n v="6"/>
    <m/>
    <m/>
    <m/>
    <m/>
    <m/>
    <m/>
    <m/>
  </r>
  <r>
    <x v="5"/>
    <x v="2"/>
    <n v="13"/>
    <m/>
    <m/>
    <m/>
    <m/>
    <m/>
    <m/>
    <m/>
  </r>
  <r>
    <x v="5"/>
    <x v="27"/>
    <n v="3"/>
    <m/>
    <m/>
    <m/>
    <m/>
    <m/>
    <m/>
    <m/>
  </r>
  <r>
    <x v="5"/>
    <x v="28"/>
    <n v="1"/>
    <m/>
    <m/>
    <m/>
    <m/>
    <m/>
    <m/>
    <m/>
  </r>
  <r>
    <x v="5"/>
    <x v="32"/>
    <n v="1"/>
    <m/>
    <m/>
    <m/>
    <m/>
    <m/>
    <m/>
    <m/>
  </r>
  <r>
    <x v="5"/>
    <x v="1"/>
    <n v="5"/>
    <m/>
    <m/>
    <m/>
    <m/>
    <m/>
    <m/>
    <m/>
  </r>
  <r>
    <x v="5"/>
    <x v="15"/>
    <n v="1"/>
    <m/>
    <m/>
    <m/>
    <m/>
    <m/>
    <m/>
    <m/>
  </r>
  <r>
    <x v="5"/>
    <x v="4"/>
    <n v="1"/>
    <m/>
    <m/>
    <m/>
    <m/>
    <m/>
    <m/>
    <m/>
  </r>
  <r>
    <x v="5"/>
    <x v="33"/>
    <n v="1"/>
    <m/>
    <m/>
    <m/>
    <m/>
    <m/>
    <m/>
    <m/>
  </r>
  <r>
    <x v="5"/>
    <x v="42"/>
    <n v="1"/>
    <m/>
    <m/>
    <m/>
    <m/>
    <m/>
    <m/>
    <m/>
  </r>
  <r>
    <x v="5"/>
    <x v="8"/>
    <n v="1"/>
    <m/>
    <m/>
    <m/>
    <m/>
    <m/>
    <m/>
    <m/>
  </r>
  <r>
    <x v="5"/>
    <x v="21"/>
    <n v="2"/>
    <m/>
    <m/>
    <m/>
    <m/>
    <m/>
    <m/>
    <m/>
  </r>
  <r>
    <x v="5"/>
    <x v="28"/>
    <n v="5"/>
    <m/>
    <m/>
    <m/>
    <m/>
    <m/>
    <m/>
    <m/>
  </r>
  <r>
    <x v="5"/>
    <x v="32"/>
    <n v="1"/>
    <m/>
    <m/>
    <m/>
    <m/>
    <m/>
    <m/>
    <m/>
  </r>
  <r>
    <x v="5"/>
    <x v="64"/>
    <n v="1"/>
    <m/>
    <m/>
    <m/>
    <m/>
    <m/>
    <m/>
    <m/>
  </r>
  <r>
    <x v="5"/>
    <x v="58"/>
    <n v="1"/>
    <m/>
    <m/>
    <m/>
    <m/>
    <m/>
    <m/>
    <m/>
  </r>
  <r>
    <x v="5"/>
    <x v="12"/>
    <n v="1"/>
    <m/>
    <m/>
    <m/>
    <m/>
    <m/>
    <m/>
    <m/>
  </r>
  <r>
    <x v="5"/>
    <x v="59"/>
    <n v="3"/>
    <m/>
    <m/>
    <m/>
    <m/>
    <m/>
    <m/>
    <m/>
  </r>
  <r>
    <x v="5"/>
    <x v="1"/>
    <n v="5"/>
    <m/>
    <m/>
    <m/>
    <m/>
    <m/>
    <m/>
    <m/>
  </r>
  <r>
    <x v="5"/>
    <x v="15"/>
    <n v="1"/>
    <m/>
    <m/>
    <m/>
    <m/>
    <m/>
    <m/>
    <m/>
  </r>
  <r>
    <x v="5"/>
    <x v="17"/>
    <n v="1"/>
    <m/>
    <m/>
    <m/>
    <m/>
    <m/>
    <m/>
    <m/>
  </r>
  <r>
    <x v="5"/>
    <x v="9"/>
    <n v="3"/>
    <m/>
    <m/>
    <m/>
    <m/>
    <m/>
    <m/>
    <m/>
  </r>
  <r>
    <x v="5"/>
    <x v="51"/>
    <n v="3"/>
    <m/>
    <m/>
    <m/>
    <m/>
    <m/>
    <m/>
    <m/>
  </r>
  <r>
    <x v="5"/>
    <x v="37"/>
    <n v="3"/>
    <m/>
    <m/>
    <m/>
    <m/>
    <m/>
    <m/>
    <m/>
  </r>
  <r>
    <x v="5"/>
    <x v="24"/>
    <n v="3"/>
    <m/>
    <m/>
    <m/>
    <m/>
    <m/>
    <m/>
    <m/>
  </r>
  <r>
    <x v="5"/>
    <x v="30"/>
    <n v="3"/>
    <m/>
    <m/>
    <m/>
    <m/>
    <m/>
    <m/>
    <m/>
  </r>
  <r>
    <x v="5"/>
    <x v="3"/>
    <n v="23"/>
    <m/>
    <m/>
    <m/>
    <m/>
    <m/>
    <m/>
    <m/>
  </r>
  <r>
    <x v="5"/>
    <x v="4"/>
    <n v="3"/>
    <m/>
    <m/>
    <m/>
    <m/>
    <m/>
    <m/>
    <m/>
  </r>
  <r>
    <x v="5"/>
    <x v="6"/>
    <n v="1"/>
    <m/>
    <m/>
    <m/>
    <m/>
    <m/>
    <m/>
    <m/>
  </r>
  <r>
    <x v="5"/>
    <x v="20"/>
    <n v="6"/>
    <m/>
    <m/>
    <m/>
    <m/>
    <m/>
    <m/>
    <m/>
  </r>
  <r>
    <x v="5"/>
    <x v="10"/>
    <n v="9"/>
    <m/>
    <m/>
    <m/>
    <m/>
    <m/>
    <m/>
    <m/>
  </r>
  <r>
    <x v="5"/>
    <x v="11"/>
    <n v="3"/>
    <m/>
    <m/>
    <m/>
    <m/>
    <m/>
    <m/>
    <m/>
  </r>
  <r>
    <x v="5"/>
    <x v="52"/>
    <n v="2"/>
    <m/>
    <m/>
    <m/>
    <m/>
    <m/>
    <m/>
    <m/>
  </r>
  <r>
    <x v="5"/>
    <x v="33"/>
    <n v="1"/>
    <m/>
    <m/>
    <m/>
    <m/>
    <m/>
    <m/>
    <m/>
  </r>
  <r>
    <x v="5"/>
    <x v="53"/>
    <n v="7"/>
    <m/>
    <m/>
    <m/>
    <m/>
    <m/>
    <m/>
    <m/>
  </r>
  <r>
    <x v="5"/>
    <x v="54"/>
    <n v="4"/>
    <m/>
    <m/>
    <m/>
    <m/>
    <m/>
    <m/>
    <m/>
  </r>
  <r>
    <x v="5"/>
    <x v="41"/>
    <n v="1"/>
    <m/>
    <m/>
    <m/>
    <m/>
    <m/>
    <m/>
    <m/>
  </r>
  <r>
    <x v="5"/>
    <x v="27"/>
    <n v="3"/>
    <m/>
    <m/>
    <m/>
    <m/>
    <m/>
    <m/>
    <m/>
  </r>
  <r>
    <x v="5"/>
    <x v="42"/>
    <n v="1"/>
    <m/>
    <m/>
    <m/>
    <m/>
    <m/>
    <m/>
    <m/>
  </r>
  <r>
    <x v="5"/>
    <x v="8"/>
    <n v="2"/>
    <m/>
    <m/>
    <m/>
    <m/>
    <m/>
    <m/>
    <m/>
  </r>
  <r>
    <x v="5"/>
    <x v="21"/>
    <n v="1"/>
    <m/>
    <m/>
    <m/>
    <m/>
    <m/>
    <m/>
    <m/>
  </r>
  <r>
    <x v="5"/>
    <x v="28"/>
    <n v="3"/>
    <m/>
    <m/>
    <m/>
    <m/>
    <m/>
    <m/>
    <m/>
  </r>
  <r>
    <x v="5"/>
    <x v="32"/>
    <n v="2"/>
    <m/>
    <m/>
    <m/>
    <m/>
    <m/>
    <m/>
    <m/>
  </r>
  <r>
    <x v="5"/>
    <x v="59"/>
    <n v="1"/>
    <m/>
    <m/>
    <m/>
    <m/>
    <m/>
    <m/>
    <m/>
  </r>
  <r>
    <x v="5"/>
    <x v="2"/>
    <n v="25"/>
    <m/>
    <m/>
    <m/>
    <m/>
    <m/>
    <m/>
    <m/>
  </r>
  <r>
    <x v="5"/>
    <x v="29"/>
    <n v="3"/>
    <m/>
    <m/>
    <m/>
    <m/>
    <m/>
    <m/>
    <m/>
  </r>
  <r>
    <x v="5"/>
    <x v="18"/>
    <n v="4"/>
    <m/>
    <m/>
    <m/>
    <m/>
    <m/>
    <m/>
    <m/>
  </r>
  <r>
    <x v="5"/>
    <x v="3"/>
    <n v="10"/>
    <m/>
    <m/>
    <m/>
    <m/>
    <m/>
    <m/>
    <m/>
  </r>
  <r>
    <x v="5"/>
    <x v="19"/>
    <n v="2"/>
    <m/>
    <m/>
    <m/>
    <m/>
    <m/>
    <m/>
    <m/>
  </r>
  <r>
    <x v="5"/>
    <x v="6"/>
    <n v="2"/>
    <m/>
    <m/>
    <m/>
    <m/>
    <m/>
    <m/>
    <m/>
  </r>
  <r>
    <x v="5"/>
    <x v="65"/>
    <n v="1"/>
    <m/>
    <m/>
    <m/>
    <m/>
    <m/>
    <m/>
    <m/>
  </r>
  <r>
    <x v="5"/>
    <x v="11"/>
    <n v="7"/>
    <m/>
    <m/>
    <m/>
    <m/>
    <m/>
    <m/>
    <m/>
  </r>
  <r>
    <x v="5"/>
    <x v="52"/>
    <n v="2"/>
    <m/>
    <m/>
    <m/>
    <m/>
    <m/>
    <m/>
    <m/>
  </r>
  <r>
    <x v="5"/>
    <x v="33"/>
    <n v="11"/>
    <m/>
    <m/>
    <m/>
    <m/>
    <m/>
    <m/>
    <m/>
  </r>
  <r>
    <x v="5"/>
    <x v="7"/>
    <n v="2"/>
    <m/>
    <m/>
    <m/>
    <m/>
    <m/>
    <m/>
    <m/>
  </r>
  <r>
    <x v="5"/>
    <x v="41"/>
    <n v="1"/>
    <m/>
    <m/>
    <m/>
    <m/>
    <m/>
    <m/>
    <m/>
  </r>
  <r>
    <x v="5"/>
    <x v="8"/>
    <n v="4"/>
    <m/>
    <m/>
    <m/>
    <m/>
    <m/>
    <m/>
    <m/>
  </r>
  <r>
    <x v="5"/>
    <x v="66"/>
    <n v="2"/>
    <m/>
    <m/>
    <m/>
    <m/>
    <m/>
    <m/>
    <m/>
  </r>
  <r>
    <x v="5"/>
    <x v="33"/>
    <n v="3"/>
    <m/>
    <m/>
    <m/>
    <m/>
    <m/>
    <m/>
    <m/>
  </r>
  <r>
    <x v="5"/>
    <x v="27"/>
    <n v="3"/>
    <m/>
    <m/>
    <m/>
    <m/>
    <m/>
    <m/>
    <m/>
  </r>
  <r>
    <x v="5"/>
    <x v="64"/>
    <n v="1"/>
    <m/>
    <m/>
    <m/>
    <m/>
    <m/>
    <m/>
    <m/>
  </r>
  <r>
    <x v="5"/>
    <x v="4"/>
    <n v="1"/>
    <m/>
    <m/>
    <m/>
    <m/>
    <m/>
    <m/>
    <m/>
  </r>
  <r>
    <x v="5"/>
    <x v="8"/>
    <n v="1"/>
    <m/>
    <m/>
    <m/>
    <m/>
    <m/>
    <m/>
    <m/>
  </r>
  <r>
    <x v="5"/>
    <x v="33"/>
    <n v="1"/>
    <m/>
    <m/>
    <m/>
    <m/>
    <m/>
    <m/>
    <m/>
  </r>
  <r>
    <x v="5"/>
    <x v="20"/>
    <n v="1"/>
    <m/>
    <m/>
    <m/>
    <m/>
    <m/>
    <m/>
    <m/>
  </r>
  <r>
    <x v="5"/>
    <x v="57"/>
    <n v="2"/>
    <m/>
    <m/>
    <m/>
    <m/>
    <m/>
    <m/>
    <m/>
  </r>
  <r>
    <x v="5"/>
    <x v="5"/>
    <n v="1"/>
    <m/>
    <m/>
    <m/>
    <m/>
    <m/>
    <m/>
    <m/>
  </r>
  <r>
    <x v="5"/>
    <x v="28"/>
    <n v="12"/>
    <m/>
    <m/>
    <m/>
    <m/>
    <m/>
    <m/>
    <m/>
  </r>
  <r>
    <x v="5"/>
    <x v="32"/>
    <n v="40"/>
    <m/>
    <m/>
    <m/>
    <m/>
    <m/>
    <m/>
    <m/>
  </r>
  <r>
    <x v="5"/>
    <x v="34"/>
    <n v="40"/>
    <m/>
    <m/>
    <m/>
    <m/>
    <m/>
    <m/>
    <m/>
  </r>
  <r>
    <x v="5"/>
    <x v="58"/>
    <n v="2"/>
    <m/>
    <m/>
    <m/>
    <m/>
    <m/>
    <m/>
    <m/>
  </r>
  <r>
    <x v="5"/>
    <x v="56"/>
    <n v="1"/>
    <m/>
    <m/>
    <m/>
    <m/>
    <m/>
    <m/>
    <m/>
  </r>
  <r>
    <x v="5"/>
    <x v="67"/>
    <n v="25"/>
    <m/>
    <m/>
    <m/>
    <m/>
    <m/>
    <m/>
    <m/>
  </r>
  <r>
    <x v="5"/>
    <x v="1"/>
    <n v="8"/>
    <m/>
    <m/>
    <m/>
    <m/>
    <m/>
    <m/>
    <m/>
  </r>
  <r>
    <x v="5"/>
    <x v="17"/>
    <n v="1"/>
    <m/>
    <m/>
    <m/>
    <m/>
    <m/>
    <m/>
    <m/>
  </r>
  <r>
    <x v="5"/>
    <x v="36"/>
    <n v="30"/>
    <m/>
    <m/>
    <m/>
    <m/>
    <m/>
    <m/>
    <m/>
  </r>
  <r>
    <x v="5"/>
    <x v="3"/>
    <n v="5"/>
    <m/>
    <m/>
    <m/>
    <m/>
    <m/>
    <m/>
    <m/>
  </r>
  <r>
    <x v="5"/>
    <x v="4"/>
    <n v="1"/>
    <m/>
    <m/>
    <m/>
    <m/>
    <m/>
    <m/>
    <m/>
  </r>
  <r>
    <x v="5"/>
    <x v="5"/>
    <n v="3"/>
    <m/>
    <m/>
    <m/>
    <m/>
    <m/>
    <m/>
    <m/>
  </r>
  <r>
    <x v="5"/>
    <x v="6"/>
    <n v="30"/>
    <m/>
    <m/>
    <m/>
    <m/>
    <m/>
    <m/>
    <m/>
  </r>
  <r>
    <x v="5"/>
    <x v="20"/>
    <n v="4"/>
    <m/>
    <m/>
    <m/>
    <m/>
    <m/>
    <m/>
    <m/>
  </r>
  <r>
    <x v="5"/>
    <x v="33"/>
    <n v="160"/>
    <m/>
    <m/>
    <m/>
    <m/>
    <m/>
    <m/>
    <m/>
  </r>
  <r>
    <x v="5"/>
    <x v="7"/>
    <n v="1"/>
    <m/>
    <m/>
    <m/>
    <m/>
    <m/>
    <m/>
    <m/>
  </r>
  <r>
    <x v="5"/>
    <x v="39"/>
    <n v="20"/>
    <m/>
    <m/>
    <m/>
    <m/>
    <m/>
    <m/>
    <m/>
  </r>
  <r>
    <x v="5"/>
    <x v="42"/>
    <n v="1"/>
    <m/>
    <m/>
    <m/>
    <m/>
    <m/>
    <m/>
    <m/>
  </r>
  <r>
    <x v="5"/>
    <x v="8"/>
    <n v="45"/>
    <m/>
    <m/>
    <m/>
    <m/>
    <m/>
    <m/>
    <m/>
  </r>
  <r>
    <x v="5"/>
    <x v="50"/>
    <n v="1"/>
    <m/>
    <m/>
    <m/>
    <m/>
    <m/>
    <m/>
    <m/>
  </r>
  <r>
    <x v="5"/>
    <x v="14"/>
    <n v="5"/>
    <m/>
    <m/>
    <m/>
    <m/>
    <m/>
    <m/>
    <m/>
  </r>
  <r>
    <x v="5"/>
    <x v="15"/>
    <n v="47"/>
    <m/>
    <m/>
    <m/>
    <m/>
    <m/>
    <m/>
    <m/>
  </r>
  <r>
    <x v="5"/>
    <x v="18"/>
    <n v="26"/>
    <m/>
    <m/>
    <m/>
    <m/>
    <m/>
    <m/>
    <m/>
  </r>
  <r>
    <x v="5"/>
    <x v="3"/>
    <n v="220"/>
    <m/>
    <m/>
    <m/>
    <m/>
    <m/>
    <m/>
    <m/>
  </r>
  <r>
    <x v="5"/>
    <x v="65"/>
    <n v="7"/>
    <m/>
    <m/>
    <m/>
    <m/>
    <m/>
    <m/>
    <m/>
  </r>
  <r>
    <x v="5"/>
    <x v="33"/>
    <n v="5"/>
    <m/>
    <m/>
    <m/>
    <m/>
    <m/>
    <m/>
    <m/>
  </r>
  <r>
    <x v="5"/>
    <x v="41"/>
    <n v="27"/>
    <m/>
    <m/>
    <m/>
    <m/>
    <m/>
    <m/>
    <m/>
  </r>
  <r>
    <x v="5"/>
    <x v="3"/>
    <n v="2"/>
    <m/>
    <m/>
    <m/>
    <m/>
    <m/>
    <m/>
    <m/>
  </r>
  <r>
    <x v="5"/>
    <x v="33"/>
    <n v="1"/>
    <m/>
    <m/>
    <m/>
    <m/>
    <m/>
    <m/>
    <m/>
  </r>
  <r>
    <x v="5"/>
    <x v="41"/>
    <n v="1"/>
    <m/>
    <m/>
    <m/>
    <m/>
    <m/>
    <m/>
    <m/>
  </r>
  <r>
    <x v="5"/>
    <x v="42"/>
    <n v="1"/>
    <m/>
    <m/>
    <m/>
    <m/>
    <m/>
    <m/>
    <m/>
  </r>
  <r>
    <x v="5"/>
    <x v="3"/>
    <n v="3"/>
    <m/>
    <m/>
    <m/>
    <m/>
    <m/>
    <m/>
    <m/>
  </r>
  <r>
    <x v="5"/>
    <x v="6"/>
    <n v="2"/>
    <m/>
    <m/>
    <m/>
    <m/>
    <m/>
    <m/>
    <m/>
  </r>
  <r>
    <x v="5"/>
    <x v="67"/>
    <n v="25"/>
    <m/>
    <m/>
    <m/>
    <m/>
    <m/>
    <m/>
    <m/>
  </r>
  <r>
    <x v="5"/>
    <x v="6"/>
    <n v="25"/>
    <m/>
    <m/>
    <m/>
    <m/>
    <m/>
    <m/>
    <m/>
  </r>
  <r>
    <x v="5"/>
    <x v="33"/>
    <n v="160"/>
    <m/>
    <m/>
    <m/>
    <m/>
    <m/>
    <m/>
    <m/>
  </r>
  <r>
    <x v="5"/>
    <x v="7"/>
    <n v="20"/>
    <m/>
    <m/>
    <m/>
    <m/>
    <m/>
    <m/>
    <m/>
  </r>
  <r>
    <x v="5"/>
    <x v="8"/>
    <n v="30"/>
    <m/>
    <m/>
    <m/>
    <m/>
    <m/>
    <m/>
    <m/>
  </r>
  <r>
    <x v="5"/>
    <x v="15"/>
    <n v="3"/>
    <m/>
    <m/>
    <m/>
    <m/>
    <m/>
    <m/>
    <m/>
  </r>
  <r>
    <x v="5"/>
    <x v="3"/>
    <n v="3"/>
    <m/>
    <m/>
    <m/>
    <m/>
    <m/>
    <m/>
    <m/>
  </r>
  <r>
    <x v="5"/>
    <x v="65"/>
    <n v="3"/>
    <m/>
    <m/>
    <m/>
    <m/>
    <m/>
    <m/>
    <m/>
  </r>
  <r>
    <x v="5"/>
    <x v="0"/>
    <n v="1"/>
    <m/>
    <m/>
    <m/>
    <m/>
    <m/>
    <m/>
    <m/>
  </r>
  <r>
    <x v="5"/>
    <x v="28"/>
    <n v="5"/>
    <m/>
    <m/>
    <m/>
    <m/>
    <m/>
    <m/>
    <m/>
  </r>
  <r>
    <x v="5"/>
    <x v="32"/>
    <n v="5"/>
    <m/>
    <m/>
    <m/>
    <m/>
    <m/>
    <m/>
    <m/>
  </r>
  <r>
    <x v="5"/>
    <x v="34"/>
    <n v="5"/>
    <m/>
    <m/>
    <m/>
    <m/>
    <m/>
    <m/>
    <m/>
  </r>
  <r>
    <x v="5"/>
    <x v="58"/>
    <n v="2"/>
    <m/>
    <m/>
    <m/>
    <m/>
    <m/>
    <m/>
    <m/>
  </r>
  <r>
    <x v="5"/>
    <x v="67"/>
    <n v="2"/>
    <m/>
    <m/>
    <m/>
    <m/>
    <m/>
    <m/>
    <m/>
  </r>
  <r>
    <x v="5"/>
    <x v="35"/>
    <n v="2"/>
    <m/>
    <m/>
    <m/>
    <m/>
    <m/>
    <m/>
    <m/>
  </r>
  <r>
    <x v="5"/>
    <x v="13"/>
    <n v="2"/>
    <m/>
    <m/>
    <m/>
    <m/>
    <m/>
    <m/>
    <m/>
  </r>
  <r>
    <x v="5"/>
    <x v="14"/>
    <n v="1"/>
    <m/>
    <m/>
    <m/>
    <m/>
    <m/>
    <m/>
    <m/>
  </r>
  <r>
    <x v="5"/>
    <x v="15"/>
    <n v="2"/>
    <m/>
    <m/>
    <m/>
    <m/>
    <m/>
    <m/>
    <m/>
  </r>
  <r>
    <x v="5"/>
    <x v="68"/>
    <n v="1"/>
    <m/>
    <m/>
    <m/>
    <m/>
    <m/>
    <m/>
    <m/>
  </r>
  <r>
    <x v="5"/>
    <x v="60"/>
    <n v="2"/>
    <m/>
    <m/>
    <m/>
    <m/>
    <m/>
    <m/>
    <m/>
  </r>
  <r>
    <x v="5"/>
    <x v="17"/>
    <n v="1"/>
    <m/>
    <m/>
    <m/>
    <m/>
    <m/>
    <m/>
    <m/>
  </r>
  <r>
    <x v="5"/>
    <x v="36"/>
    <n v="2"/>
    <m/>
    <m/>
    <m/>
    <m/>
    <m/>
    <m/>
    <m/>
  </r>
  <r>
    <x v="5"/>
    <x v="18"/>
    <n v="2"/>
    <m/>
    <m/>
    <m/>
    <m/>
    <m/>
    <m/>
    <m/>
  </r>
  <r>
    <x v="5"/>
    <x v="48"/>
    <n v="1"/>
    <m/>
    <m/>
    <m/>
    <m/>
    <m/>
    <m/>
    <m/>
  </r>
  <r>
    <x v="5"/>
    <x v="37"/>
    <n v="2"/>
    <m/>
    <m/>
    <m/>
    <m/>
    <m/>
    <m/>
    <m/>
  </r>
  <r>
    <x v="5"/>
    <x v="30"/>
    <n v="1"/>
    <m/>
    <m/>
    <m/>
    <m/>
    <m/>
    <m/>
    <m/>
  </r>
  <r>
    <x v="5"/>
    <x v="3"/>
    <n v="7"/>
    <m/>
    <m/>
    <m/>
    <m/>
    <m/>
    <m/>
    <m/>
  </r>
  <r>
    <x v="5"/>
    <x v="19"/>
    <n v="2"/>
    <m/>
    <m/>
    <m/>
    <m/>
    <m/>
    <m/>
    <m/>
  </r>
  <r>
    <x v="5"/>
    <x v="5"/>
    <n v="1"/>
    <m/>
    <m/>
    <m/>
    <m/>
    <m/>
    <m/>
    <m/>
  </r>
  <r>
    <x v="5"/>
    <x v="6"/>
    <n v="6"/>
    <m/>
    <m/>
    <m/>
    <m/>
    <m/>
    <m/>
    <m/>
  </r>
  <r>
    <x v="5"/>
    <x v="20"/>
    <n v="1"/>
    <m/>
    <m/>
    <m/>
    <m/>
    <m/>
    <m/>
    <m/>
  </r>
  <r>
    <x v="5"/>
    <x v="38"/>
    <n v="2"/>
    <m/>
    <m/>
    <m/>
    <m/>
    <m/>
    <m/>
    <m/>
  </r>
  <r>
    <x v="5"/>
    <x v="11"/>
    <n v="2"/>
    <m/>
    <m/>
    <m/>
    <m/>
    <m/>
    <m/>
    <m/>
  </r>
  <r>
    <x v="5"/>
    <x v="52"/>
    <n v="5"/>
    <m/>
    <m/>
    <m/>
    <m/>
    <m/>
    <m/>
    <m/>
  </r>
  <r>
    <x v="5"/>
    <x v="33"/>
    <n v="9"/>
    <m/>
    <m/>
    <m/>
    <m/>
    <m/>
    <m/>
    <m/>
  </r>
  <r>
    <x v="5"/>
    <x v="39"/>
    <n v="2"/>
    <m/>
    <m/>
    <m/>
    <m/>
    <m/>
    <m/>
    <m/>
  </r>
  <r>
    <x v="5"/>
    <x v="54"/>
    <n v="1"/>
    <m/>
    <m/>
    <m/>
    <m/>
    <m/>
    <m/>
    <m/>
  </r>
  <r>
    <x v="5"/>
    <x v="41"/>
    <n v="4"/>
    <m/>
    <m/>
    <m/>
    <m/>
    <m/>
    <m/>
    <m/>
  </r>
  <r>
    <x v="5"/>
    <x v="27"/>
    <n v="1"/>
    <m/>
    <m/>
    <m/>
    <m/>
    <m/>
    <m/>
    <m/>
  </r>
  <r>
    <x v="5"/>
    <x v="42"/>
    <n v="3"/>
    <m/>
    <m/>
    <m/>
    <m/>
    <m/>
    <m/>
    <m/>
  </r>
  <r>
    <x v="5"/>
    <x v="43"/>
    <n v="2"/>
    <m/>
    <m/>
    <m/>
    <m/>
    <m/>
    <m/>
    <m/>
  </r>
  <r>
    <x v="5"/>
    <x v="44"/>
    <n v="3"/>
    <m/>
    <m/>
    <m/>
    <m/>
    <m/>
    <m/>
    <m/>
  </r>
  <r>
    <x v="5"/>
    <x v="45"/>
    <n v="1"/>
    <m/>
    <m/>
    <m/>
    <m/>
    <m/>
    <m/>
    <m/>
  </r>
  <r>
    <x v="5"/>
    <x v="46"/>
    <n v="1"/>
    <m/>
    <m/>
    <m/>
    <m/>
    <m/>
    <m/>
    <m/>
  </r>
  <r>
    <x v="5"/>
    <x v="0"/>
    <n v="15"/>
    <m/>
    <m/>
    <m/>
    <m/>
    <m/>
    <m/>
    <m/>
  </r>
  <r>
    <x v="5"/>
    <x v="21"/>
    <n v="8"/>
    <m/>
    <m/>
    <m/>
    <m/>
    <m/>
    <m/>
    <m/>
  </r>
  <r>
    <x v="5"/>
    <x v="32"/>
    <n v="40"/>
    <m/>
    <m/>
    <m/>
    <m/>
    <m/>
    <m/>
    <m/>
  </r>
  <r>
    <x v="5"/>
    <x v="34"/>
    <n v="40"/>
    <m/>
    <m/>
    <m/>
    <m/>
    <m/>
    <m/>
    <m/>
  </r>
  <r>
    <x v="5"/>
    <x v="58"/>
    <n v="1"/>
    <m/>
    <m/>
    <m/>
    <m/>
    <m/>
    <m/>
    <m/>
  </r>
  <r>
    <x v="5"/>
    <x v="1"/>
    <n v="6"/>
    <m/>
    <m/>
    <m/>
    <m/>
    <m/>
    <m/>
    <m/>
  </r>
  <r>
    <x v="5"/>
    <x v="17"/>
    <n v="1"/>
    <m/>
    <m/>
    <m/>
    <m/>
    <m/>
    <m/>
    <m/>
  </r>
  <r>
    <x v="5"/>
    <x v="36"/>
    <n v="30"/>
    <m/>
    <m/>
    <m/>
    <m/>
    <m/>
    <m/>
    <m/>
  </r>
  <r>
    <x v="5"/>
    <x v="4"/>
    <n v="5"/>
    <m/>
    <m/>
    <m/>
    <m/>
    <m/>
    <m/>
    <m/>
  </r>
  <r>
    <x v="5"/>
    <x v="20"/>
    <n v="4"/>
    <m/>
    <m/>
    <m/>
    <m/>
    <m/>
    <m/>
    <m/>
  </r>
  <r>
    <x v="5"/>
    <x v="42"/>
    <n v="30"/>
    <m/>
    <m/>
    <m/>
    <m/>
    <m/>
    <m/>
    <m/>
  </r>
  <r>
    <x v="5"/>
    <x v="8"/>
    <n v="15"/>
    <m/>
    <m/>
    <m/>
    <m/>
    <m/>
    <m/>
    <m/>
  </r>
  <r>
    <x v="5"/>
    <x v="50"/>
    <n v="2"/>
    <m/>
    <m/>
    <m/>
    <m/>
    <m/>
    <m/>
    <m/>
  </r>
  <r>
    <x v="5"/>
    <x v="0"/>
    <n v="1"/>
    <m/>
    <m/>
    <m/>
    <m/>
    <m/>
    <m/>
    <m/>
  </r>
  <r>
    <x v="5"/>
    <x v="21"/>
    <n v="1"/>
    <m/>
    <m/>
    <m/>
    <m/>
    <m/>
    <m/>
    <m/>
  </r>
  <r>
    <x v="5"/>
    <x v="32"/>
    <n v="1"/>
    <m/>
    <m/>
    <m/>
    <m/>
    <m/>
    <m/>
    <m/>
  </r>
  <r>
    <x v="5"/>
    <x v="47"/>
    <n v="1"/>
    <m/>
    <m/>
    <m/>
    <m/>
    <m/>
    <m/>
    <m/>
  </r>
  <r>
    <x v="5"/>
    <x v="34"/>
    <n v="2"/>
    <m/>
    <m/>
    <m/>
    <m/>
    <m/>
    <m/>
    <m/>
  </r>
  <r>
    <x v="5"/>
    <x v="58"/>
    <n v="1"/>
    <m/>
    <m/>
    <m/>
    <m/>
    <m/>
    <m/>
    <m/>
  </r>
  <r>
    <x v="5"/>
    <x v="69"/>
    <n v="1"/>
    <m/>
    <m/>
    <m/>
    <m/>
    <m/>
    <m/>
    <m/>
  </r>
  <r>
    <x v="5"/>
    <x v="35"/>
    <n v="2"/>
    <m/>
    <m/>
    <m/>
    <m/>
    <m/>
    <m/>
    <m/>
  </r>
  <r>
    <x v="5"/>
    <x v="59"/>
    <n v="2"/>
    <m/>
    <m/>
    <m/>
    <m/>
    <m/>
    <m/>
    <m/>
  </r>
  <r>
    <x v="5"/>
    <x v="1"/>
    <n v="1"/>
    <m/>
    <m/>
    <m/>
    <m/>
    <m/>
    <m/>
    <m/>
  </r>
  <r>
    <x v="5"/>
    <x v="2"/>
    <n v="1"/>
    <m/>
    <m/>
    <m/>
    <m/>
    <m/>
    <m/>
    <m/>
  </r>
  <r>
    <x v="5"/>
    <x v="15"/>
    <n v="4"/>
    <m/>
    <m/>
    <m/>
    <m/>
    <m/>
    <m/>
    <m/>
  </r>
  <r>
    <x v="5"/>
    <x v="18"/>
    <n v="2"/>
    <m/>
    <m/>
    <m/>
    <m/>
    <m/>
    <m/>
    <m/>
  </r>
  <r>
    <x v="5"/>
    <x v="51"/>
    <n v="1"/>
    <m/>
    <m/>
    <m/>
    <m/>
    <m/>
    <m/>
    <m/>
  </r>
  <r>
    <x v="5"/>
    <x v="37"/>
    <n v="2"/>
    <m/>
    <m/>
    <m/>
    <m/>
    <m/>
    <m/>
    <m/>
  </r>
  <r>
    <x v="5"/>
    <x v="30"/>
    <n v="2"/>
    <m/>
    <m/>
    <m/>
    <m/>
    <m/>
    <m/>
    <m/>
  </r>
  <r>
    <x v="5"/>
    <x v="3"/>
    <n v="7"/>
    <m/>
    <m/>
    <m/>
    <m/>
    <m/>
    <m/>
    <m/>
  </r>
  <r>
    <x v="5"/>
    <x v="5"/>
    <n v="1"/>
    <m/>
    <m/>
    <m/>
    <m/>
    <m/>
    <m/>
    <m/>
  </r>
  <r>
    <x v="5"/>
    <x v="6"/>
    <n v="2"/>
    <m/>
    <m/>
    <m/>
    <m/>
    <m/>
    <m/>
    <m/>
  </r>
  <r>
    <x v="5"/>
    <x v="20"/>
    <n v="1"/>
    <m/>
    <m/>
    <m/>
    <m/>
    <m/>
    <m/>
    <m/>
  </r>
  <r>
    <x v="5"/>
    <x v="11"/>
    <n v="1"/>
    <m/>
    <m/>
    <m/>
    <m/>
    <m/>
    <m/>
    <m/>
  </r>
  <r>
    <x v="5"/>
    <x v="52"/>
    <n v="1"/>
    <m/>
    <m/>
    <m/>
    <m/>
    <m/>
    <m/>
    <m/>
  </r>
  <r>
    <x v="5"/>
    <x v="33"/>
    <n v="4"/>
    <m/>
    <m/>
    <m/>
    <m/>
    <m/>
    <m/>
    <m/>
  </r>
  <r>
    <x v="5"/>
    <x v="40"/>
    <n v="2"/>
    <m/>
    <m/>
    <m/>
    <m/>
    <m/>
    <m/>
    <m/>
  </r>
  <r>
    <x v="5"/>
    <x v="41"/>
    <n v="2"/>
    <m/>
    <m/>
    <m/>
    <m/>
    <m/>
    <m/>
    <m/>
  </r>
  <r>
    <x v="5"/>
    <x v="27"/>
    <n v="1"/>
    <m/>
    <m/>
    <m/>
    <m/>
    <m/>
    <m/>
    <m/>
  </r>
  <r>
    <x v="5"/>
    <x v="42"/>
    <n v="1"/>
    <m/>
    <m/>
    <m/>
    <m/>
    <m/>
    <m/>
    <m/>
  </r>
  <r>
    <x v="5"/>
    <x v="8"/>
    <n v="2"/>
    <m/>
    <m/>
    <m/>
    <m/>
    <m/>
    <m/>
    <m/>
  </r>
  <r>
    <x v="6"/>
    <x v="57"/>
    <n v="4"/>
    <m/>
    <m/>
    <m/>
    <m/>
    <m/>
    <m/>
    <m/>
  </r>
  <r>
    <x v="6"/>
    <x v="34"/>
    <n v="2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3"/>
    <n v="37"/>
    <m/>
    <m/>
    <m/>
    <m/>
    <m/>
    <m/>
    <m/>
  </r>
  <r>
    <x v="6"/>
    <x v="6"/>
    <n v="3"/>
    <m/>
    <m/>
    <m/>
    <m/>
    <m/>
    <m/>
    <m/>
  </r>
  <r>
    <x v="6"/>
    <x v="20"/>
    <n v="2"/>
    <m/>
    <m/>
    <m/>
    <m/>
    <m/>
    <m/>
    <m/>
  </r>
  <r>
    <x v="6"/>
    <x v="65"/>
    <n v="1"/>
    <m/>
    <m/>
    <m/>
    <m/>
    <m/>
    <m/>
    <m/>
  </r>
  <r>
    <x v="6"/>
    <x v="33"/>
    <n v="2"/>
    <m/>
    <m/>
    <m/>
    <m/>
    <m/>
    <m/>
    <m/>
  </r>
  <r>
    <x v="6"/>
    <x v="33"/>
    <n v="10"/>
    <m/>
    <m/>
    <m/>
    <m/>
    <m/>
    <m/>
    <m/>
  </r>
  <r>
    <x v="6"/>
    <x v="50"/>
    <n v="1"/>
    <m/>
    <m/>
    <m/>
    <m/>
    <m/>
    <m/>
    <m/>
  </r>
  <r>
    <x v="6"/>
    <x v="59"/>
    <n v="3"/>
    <m/>
    <m/>
    <m/>
    <m/>
    <m/>
    <m/>
    <m/>
  </r>
  <r>
    <x v="6"/>
    <x v="9"/>
    <n v="3"/>
    <m/>
    <m/>
    <m/>
    <m/>
    <m/>
    <m/>
    <m/>
  </r>
  <r>
    <x v="6"/>
    <x v="37"/>
    <n v="3"/>
    <m/>
    <m/>
    <m/>
    <m/>
    <m/>
    <m/>
    <m/>
  </r>
  <r>
    <x v="6"/>
    <x v="30"/>
    <n v="3"/>
    <m/>
    <m/>
    <m/>
    <m/>
    <m/>
    <m/>
    <m/>
  </r>
  <r>
    <x v="6"/>
    <x v="3"/>
    <n v="14"/>
    <m/>
    <m/>
    <m/>
    <m/>
    <m/>
    <m/>
    <m/>
  </r>
  <r>
    <x v="6"/>
    <x v="10"/>
    <n v="6"/>
    <m/>
    <m/>
    <m/>
    <m/>
    <m/>
    <m/>
    <m/>
  </r>
  <r>
    <x v="6"/>
    <x v="11"/>
    <n v="4"/>
    <m/>
    <m/>
    <m/>
    <m/>
    <m/>
    <m/>
    <m/>
  </r>
  <r>
    <x v="6"/>
    <x v="57"/>
    <n v="4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3"/>
    <n v="37"/>
    <m/>
    <m/>
    <m/>
    <m/>
    <m/>
    <m/>
    <m/>
  </r>
  <r>
    <x v="6"/>
    <x v="6"/>
    <n v="3"/>
    <m/>
    <m/>
    <m/>
    <m/>
    <m/>
    <m/>
    <m/>
  </r>
  <r>
    <x v="6"/>
    <x v="20"/>
    <n v="2"/>
    <m/>
    <m/>
    <m/>
    <m/>
    <m/>
    <m/>
    <m/>
  </r>
  <r>
    <x v="6"/>
    <x v="3"/>
    <n v="1"/>
    <m/>
    <m/>
    <m/>
    <m/>
    <m/>
    <m/>
    <m/>
  </r>
  <r>
    <x v="6"/>
    <x v="34"/>
    <n v="2"/>
    <m/>
    <m/>
    <m/>
    <m/>
    <m/>
    <m/>
    <m/>
  </r>
  <r>
    <x v="6"/>
    <x v="65"/>
    <n v="1"/>
    <m/>
    <m/>
    <m/>
    <m/>
    <m/>
    <m/>
    <m/>
  </r>
  <r>
    <x v="6"/>
    <x v="33"/>
    <n v="2"/>
    <m/>
    <m/>
    <m/>
    <m/>
    <m/>
    <m/>
    <m/>
  </r>
  <r>
    <x v="6"/>
    <x v="3"/>
    <n v="35"/>
    <m/>
    <m/>
    <m/>
    <m/>
    <m/>
    <m/>
    <m/>
  </r>
  <r>
    <x v="6"/>
    <x v="24"/>
    <n v="1"/>
    <m/>
    <m/>
    <m/>
    <m/>
    <m/>
    <m/>
    <m/>
  </r>
  <r>
    <x v="6"/>
    <x v="19"/>
    <n v="1"/>
    <m/>
    <m/>
    <m/>
    <m/>
    <m/>
    <m/>
    <m/>
  </r>
  <r>
    <x v="6"/>
    <x v="20"/>
    <n v="6"/>
    <m/>
    <m/>
    <m/>
    <m/>
    <m/>
    <m/>
    <m/>
  </r>
  <r>
    <x v="6"/>
    <x v="21"/>
    <n v="1"/>
    <m/>
    <m/>
    <m/>
    <m/>
    <m/>
    <m/>
    <m/>
  </r>
  <r>
    <x v="6"/>
    <x v="60"/>
    <n v="1"/>
    <m/>
    <m/>
    <m/>
    <m/>
    <m/>
    <m/>
    <m/>
  </r>
  <r>
    <x v="6"/>
    <x v="4"/>
    <n v="4"/>
    <m/>
    <m/>
    <m/>
    <m/>
    <m/>
    <m/>
    <m/>
  </r>
  <r>
    <x v="6"/>
    <x v="8"/>
    <n v="1"/>
    <m/>
    <m/>
    <m/>
    <m/>
    <m/>
    <m/>
    <m/>
  </r>
  <r>
    <x v="6"/>
    <x v="22"/>
    <n v="29"/>
    <m/>
    <m/>
    <m/>
    <m/>
    <m/>
    <m/>
    <m/>
  </r>
  <r>
    <x v="6"/>
    <x v="23"/>
    <n v="2"/>
    <m/>
    <m/>
    <m/>
    <m/>
    <m/>
    <m/>
    <m/>
  </r>
  <r>
    <x v="6"/>
    <x v="24"/>
    <n v="2"/>
    <m/>
    <m/>
    <m/>
    <m/>
    <m/>
    <m/>
    <m/>
  </r>
  <r>
    <x v="6"/>
    <x v="62"/>
    <n v="5"/>
    <m/>
    <m/>
    <m/>
    <m/>
    <m/>
    <m/>
    <m/>
  </r>
  <r>
    <x v="6"/>
    <x v="25"/>
    <n v="5"/>
    <m/>
    <m/>
    <m/>
    <m/>
    <m/>
    <m/>
    <m/>
  </r>
  <r>
    <x v="6"/>
    <x v="70"/>
    <n v="3"/>
    <m/>
    <m/>
    <m/>
    <m/>
    <m/>
    <m/>
    <m/>
  </r>
  <r>
    <x v="6"/>
    <x v="26"/>
    <n v="30"/>
    <m/>
    <m/>
    <m/>
    <m/>
    <m/>
    <m/>
    <m/>
  </r>
  <r>
    <x v="6"/>
    <x v="49"/>
    <n v="1"/>
    <m/>
    <m/>
    <m/>
    <m/>
    <m/>
    <m/>
    <m/>
  </r>
  <r>
    <x v="6"/>
    <x v="5"/>
    <n v="1"/>
    <m/>
    <m/>
    <m/>
    <m/>
    <m/>
    <m/>
    <m/>
  </r>
  <r>
    <x v="6"/>
    <x v="33"/>
    <n v="10"/>
    <m/>
    <m/>
    <m/>
    <m/>
    <m/>
    <m/>
    <m/>
  </r>
  <r>
    <x v="6"/>
    <x v="71"/>
    <n v="1"/>
    <m/>
    <m/>
    <m/>
    <m/>
    <m/>
    <m/>
    <m/>
  </r>
  <r>
    <x v="6"/>
    <x v="6"/>
    <n v="5"/>
    <m/>
    <m/>
    <m/>
    <m/>
    <m/>
    <m/>
    <m/>
  </r>
  <r>
    <x v="6"/>
    <x v="2"/>
    <n v="3"/>
    <m/>
    <m/>
    <m/>
    <m/>
    <m/>
    <m/>
    <m/>
  </r>
  <r>
    <x v="6"/>
    <x v="27"/>
    <n v="4"/>
    <m/>
    <m/>
    <m/>
    <m/>
    <m/>
    <m/>
    <m/>
  </r>
  <r>
    <x v="6"/>
    <x v="28"/>
    <n v="1"/>
    <m/>
    <m/>
    <m/>
    <m/>
    <m/>
    <m/>
    <m/>
  </r>
  <r>
    <x v="6"/>
    <x v="32"/>
    <n v="1"/>
    <m/>
    <m/>
    <m/>
    <m/>
    <m/>
    <m/>
    <m/>
  </r>
  <r>
    <x v="6"/>
    <x v="1"/>
    <n v="5"/>
    <m/>
    <m/>
    <m/>
    <m/>
    <m/>
    <m/>
    <m/>
  </r>
  <r>
    <x v="6"/>
    <x v="15"/>
    <n v="1"/>
    <m/>
    <m/>
    <m/>
    <m/>
    <m/>
    <m/>
    <m/>
  </r>
  <r>
    <x v="6"/>
    <x v="4"/>
    <n v="1"/>
    <m/>
    <m/>
    <m/>
    <m/>
    <m/>
    <m/>
    <m/>
  </r>
  <r>
    <x v="6"/>
    <x v="6"/>
    <n v="1"/>
    <m/>
    <m/>
    <m/>
    <m/>
    <m/>
    <m/>
    <m/>
  </r>
  <r>
    <x v="6"/>
    <x v="33"/>
    <n v="1"/>
    <m/>
    <m/>
    <m/>
    <m/>
    <m/>
    <m/>
    <m/>
  </r>
  <r>
    <x v="6"/>
    <x v="42"/>
    <n v="1"/>
    <m/>
    <m/>
    <m/>
    <m/>
    <m/>
    <m/>
    <m/>
  </r>
  <r>
    <x v="6"/>
    <x v="8"/>
    <n v="1"/>
    <m/>
    <m/>
    <m/>
    <m/>
    <m/>
    <m/>
    <m/>
  </r>
  <r>
    <x v="6"/>
    <x v="21"/>
    <n v="1"/>
    <m/>
    <m/>
    <m/>
    <m/>
    <m/>
    <m/>
    <m/>
  </r>
  <r>
    <x v="6"/>
    <x v="28"/>
    <n v="2"/>
    <m/>
    <m/>
    <m/>
    <m/>
    <m/>
    <m/>
    <m/>
  </r>
  <r>
    <x v="6"/>
    <x v="32"/>
    <n v="1"/>
    <m/>
    <m/>
    <m/>
    <m/>
    <m/>
    <m/>
    <m/>
  </r>
  <r>
    <x v="6"/>
    <x v="71"/>
    <n v="1"/>
    <m/>
    <m/>
    <m/>
    <m/>
    <m/>
    <m/>
    <m/>
  </r>
  <r>
    <x v="6"/>
    <x v="59"/>
    <n v="3"/>
    <m/>
    <m/>
    <m/>
    <m/>
    <m/>
    <m/>
    <m/>
  </r>
  <r>
    <x v="6"/>
    <x v="1"/>
    <n v="5"/>
    <m/>
    <m/>
    <m/>
    <m/>
    <m/>
    <m/>
    <m/>
  </r>
  <r>
    <x v="6"/>
    <x v="15"/>
    <n v="1"/>
    <m/>
    <m/>
    <m/>
    <m/>
    <m/>
    <m/>
    <m/>
  </r>
  <r>
    <x v="6"/>
    <x v="9"/>
    <n v="3"/>
    <m/>
    <m/>
    <m/>
    <m/>
    <m/>
    <m/>
    <m/>
  </r>
  <r>
    <x v="6"/>
    <x v="51"/>
    <n v="3"/>
    <m/>
    <m/>
    <m/>
    <m/>
    <m/>
    <m/>
    <m/>
  </r>
  <r>
    <x v="6"/>
    <x v="37"/>
    <n v="3"/>
    <m/>
    <m/>
    <m/>
    <m/>
    <m/>
    <m/>
    <m/>
  </r>
  <r>
    <x v="6"/>
    <x v="24"/>
    <n v="1"/>
    <m/>
    <m/>
    <m/>
    <m/>
    <m/>
    <m/>
    <m/>
  </r>
  <r>
    <x v="6"/>
    <x v="30"/>
    <n v="3"/>
    <m/>
    <m/>
    <m/>
    <m/>
    <m/>
    <m/>
    <m/>
  </r>
  <r>
    <x v="6"/>
    <x v="3"/>
    <n v="15"/>
    <m/>
    <m/>
    <m/>
    <m/>
    <m/>
    <m/>
    <m/>
  </r>
  <r>
    <x v="6"/>
    <x v="4"/>
    <n v="1"/>
    <m/>
    <m/>
    <m/>
    <m/>
    <m/>
    <m/>
    <m/>
  </r>
  <r>
    <x v="6"/>
    <x v="19"/>
    <n v="1"/>
    <m/>
    <m/>
    <m/>
    <m/>
    <m/>
    <m/>
    <m/>
  </r>
  <r>
    <x v="6"/>
    <x v="6"/>
    <n v="3"/>
    <m/>
    <m/>
    <m/>
    <m/>
    <m/>
    <m/>
    <m/>
  </r>
  <r>
    <x v="6"/>
    <x v="20"/>
    <n v="6"/>
    <m/>
    <m/>
    <m/>
    <m/>
    <m/>
    <m/>
    <m/>
  </r>
  <r>
    <x v="6"/>
    <x v="10"/>
    <n v="6"/>
    <m/>
    <m/>
    <m/>
    <m/>
    <m/>
    <m/>
    <m/>
  </r>
  <r>
    <x v="6"/>
    <x v="65"/>
    <n v="1"/>
    <m/>
    <m/>
    <m/>
    <m/>
    <m/>
    <m/>
    <m/>
  </r>
  <r>
    <x v="6"/>
    <x v="11"/>
    <n v="4"/>
    <m/>
    <m/>
    <m/>
    <m/>
    <m/>
    <m/>
    <m/>
  </r>
  <r>
    <x v="6"/>
    <x v="52"/>
    <n v="2"/>
    <m/>
    <m/>
    <m/>
    <m/>
    <m/>
    <m/>
    <m/>
  </r>
  <r>
    <x v="6"/>
    <x v="33"/>
    <n v="1"/>
    <m/>
    <m/>
    <m/>
    <m/>
    <m/>
    <m/>
    <m/>
  </r>
  <r>
    <x v="6"/>
    <x v="7"/>
    <n v="1"/>
    <m/>
    <m/>
    <m/>
    <m/>
    <m/>
    <m/>
    <m/>
  </r>
  <r>
    <x v="6"/>
    <x v="53"/>
    <n v="3"/>
    <m/>
    <m/>
    <m/>
    <m/>
    <m/>
    <m/>
    <m/>
  </r>
  <r>
    <x v="6"/>
    <x v="54"/>
    <n v="1"/>
    <m/>
    <m/>
    <m/>
    <m/>
    <m/>
    <m/>
    <m/>
  </r>
  <r>
    <x v="6"/>
    <x v="27"/>
    <n v="4"/>
    <m/>
    <m/>
    <m/>
    <m/>
    <m/>
    <m/>
    <m/>
  </r>
  <r>
    <x v="6"/>
    <x v="42"/>
    <n v="1"/>
    <m/>
    <m/>
    <m/>
    <m/>
    <m/>
    <m/>
    <m/>
  </r>
  <r>
    <x v="6"/>
    <x v="8"/>
    <n v="2"/>
    <m/>
    <m/>
    <m/>
    <m/>
    <m/>
    <m/>
    <m/>
  </r>
  <r>
    <x v="6"/>
    <x v="21"/>
    <n v="1"/>
    <m/>
    <m/>
    <m/>
    <m/>
    <m/>
    <m/>
    <m/>
  </r>
  <r>
    <x v="6"/>
    <x v="28"/>
    <n v="2"/>
    <m/>
    <m/>
    <m/>
    <m/>
    <m/>
    <m/>
    <m/>
  </r>
  <r>
    <x v="6"/>
    <x v="32"/>
    <n v="2"/>
    <m/>
    <m/>
    <m/>
    <m/>
    <m/>
    <m/>
    <m/>
  </r>
  <r>
    <x v="6"/>
    <x v="59"/>
    <n v="1"/>
    <m/>
    <m/>
    <m/>
    <m/>
    <m/>
    <m/>
    <m/>
  </r>
  <r>
    <x v="6"/>
    <x v="2"/>
    <n v="6"/>
    <m/>
    <m/>
    <m/>
    <m/>
    <m/>
    <m/>
    <m/>
  </r>
  <r>
    <x v="6"/>
    <x v="29"/>
    <n v="2"/>
    <m/>
    <m/>
    <m/>
    <m/>
    <m/>
    <m/>
    <m/>
  </r>
  <r>
    <x v="6"/>
    <x v="18"/>
    <n v="2"/>
    <m/>
    <m/>
    <m/>
    <m/>
    <m/>
    <m/>
    <m/>
  </r>
  <r>
    <x v="6"/>
    <x v="30"/>
    <n v="2"/>
    <m/>
    <m/>
    <m/>
    <m/>
    <m/>
    <m/>
    <m/>
  </r>
  <r>
    <x v="6"/>
    <x v="3"/>
    <n v="12"/>
    <m/>
    <m/>
    <m/>
    <m/>
    <m/>
    <m/>
    <m/>
  </r>
  <r>
    <x v="6"/>
    <x v="6"/>
    <n v="5"/>
    <m/>
    <m/>
    <m/>
    <m/>
    <m/>
    <m/>
    <m/>
  </r>
  <r>
    <x v="6"/>
    <x v="11"/>
    <n v="5"/>
    <m/>
    <m/>
    <m/>
    <m/>
    <m/>
    <m/>
    <m/>
  </r>
  <r>
    <x v="6"/>
    <x v="52"/>
    <n v="1"/>
    <m/>
    <m/>
    <m/>
    <m/>
    <m/>
    <m/>
    <m/>
  </r>
  <r>
    <x v="6"/>
    <x v="33"/>
    <n v="10"/>
    <m/>
    <m/>
    <m/>
    <m/>
    <m/>
    <m/>
    <m/>
  </r>
  <r>
    <x v="6"/>
    <x v="7"/>
    <n v="2"/>
    <m/>
    <m/>
    <m/>
    <m/>
    <m/>
    <m/>
    <m/>
  </r>
  <r>
    <x v="6"/>
    <x v="8"/>
    <n v="3"/>
    <m/>
    <m/>
    <m/>
    <m/>
    <m/>
    <m/>
    <m/>
  </r>
  <r>
    <x v="6"/>
    <x v="66"/>
    <n v="2"/>
    <m/>
    <m/>
    <m/>
    <m/>
    <m/>
    <m/>
    <m/>
  </r>
  <r>
    <x v="6"/>
    <x v="3"/>
    <n v="1"/>
    <m/>
    <m/>
    <m/>
    <m/>
    <m/>
    <m/>
    <m/>
  </r>
  <r>
    <x v="6"/>
    <x v="33"/>
    <n v="2"/>
    <m/>
    <m/>
    <m/>
    <m/>
    <m/>
    <m/>
    <m/>
  </r>
  <r>
    <x v="6"/>
    <x v="7"/>
    <n v="1"/>
    <m/>
    <m/>
    <m/>
    <m/>
    <m/>
    <m/>
    <m/>
  </r>
  <r>
    <x v="6"/>
    <x v="8"/>
    <n v="1"/>
    <m/>
    <m/>
    <m/>
    <m/>
    <m/>
    <m/>
    <m/>
  </r>
  <r>
    <x v="6"/>
    <x v="57"/>
    <n v="4"/>
    <m/>
    <m/>
    <m/>
    <m/>
    <m/>
    <m/>
    <m/>
  </r>
  <r>
    <x v="6"/>
    <x v="5"/>
    <n v="1"/>
    <m/>
    <m/>
    <m/>
    <m/>
    <m/>
    <m/>
    <m/>
  </r>
  <r>
    <x v="6"/>
    <x v="15"/>
    <n v="4"/>
    <m/>
    <m/>
    <m/>
    <m/>
    <m/>
    <m/>
    <m/>
  </r>
  <r>
    <x v="6"/>
    <x v="60"/>
    <n v="4"/>
    <m/>
    <m/>
    <m/>
    <m/>
    <m/>
    <m/>
    <m/>
  </r>
  <r>
    <x v="6"/>
    <x v="18"/>
    <n v="4"/>
    <m/>
    <m/>
    <m/>
    <m/>
    <m/>
    <m/>
    <m/>
  </r>
  <r>
    <x v="6"/>
    <x v="0"/>
    <n v="15"/>
    <m/>
    <m/>
    <m/>
    <m/>
    <m/>
    <m/>
    <m/>
  </r>
  <r>
    <x v="6"/>
    <x v="21"/>
    <n v="8"/>
    <m/>
    <m/>
    <m/>
    <m/>
    <m/>
    <m/>
    <m/>
  </r>
  <r>
    <x v="6"/>
    <x v="28"/>
    <n v="10"/>
    <m/>
    <m/>
    <m/>
    <m/>
    <m/>
    <m/>
    <m/>
  </r>
  <r>
    <x v="6"/>
    <x v="32"/>
    <n v="44"/>
    <m/>
    <m/>
    <m/>
    <m/>
    <m/>
    <m/>
    <m/>
  </r>
  <r>
    <x v="6"/>
    <x v="67"/>
    <n v="12"/>
    <m/>
    <m/>
    <m/>
    <m/>
    <m/>
    <m/>
    <m/>
  </r>
  <r>
    <x v="6"/>
    <x v="1"/>
    <n v="4"/>
    <m/>
    <m/>
    <m/>
    <m/>
    <m/>
    <m/>
    <m/>
  </r>
  <r>
    <x v="6"/>
    <x v="6"/>
    <n v="14"/>
    <m/>
    <m/>
    <m/>
    <m/>
    <m/>
    <m/>
    <m/>
  </r>
  <r>
    <x v="6"/>
    <x v="33"/>
    <n v="20"/>
    <m/>
    <m/>
    <m/>
    <m/>
    <m/>
    <m/>
    <m/>
  </r>
  <r>
    <x v="6"/>
    <x v="39"/>
    <n v="10"/>
    <m/>
    <m/>
    <m/>
    <m/>
    <m/>
    <m/>
    <m/>
  </r>
  <r>
    <x v="6"/>
    <x v="8"/>
    <n v="10"/>
    <m/>
    <m/>
    <m/>
    <m/>
    <m/>
    <m/>
    <m/>
  </r>
  <r>
    <x v="6"/>
    <x v="28"/>
    <n v="1"/>
    <m/>
    <m/>
    <m/>
    <m/>
    <m/>
    <m/>
    <m/>
  </r>
  <r>
    <x v="6"/>
    <x v="32"/>
    <n v="1"/>
    <m/>
    <m/>
    <m/>
    <m/>
    <m/>
    <m/>
    <m/>
  </r>
  <r>
    <x v="6"/>
    <x v="15"/>
    <n v="27"/>
    <m/>
    <m/>
    <m/>
    <m/>
    <m/>
    <m/>
    <m/>
  </r>
  <r>
    <x v="6"/>
    <x v="18"/>
    <n v="11"/>
    <m/>
    <m/>
    <m/>
    <m/>
    <m/>
    <m/>
    <m/>
  </r>
  <r>
    <x v="6"/>
    <x v="37"/>
    <n v="1"/>
    <m/>
    <m/>
    <m/>
    <m/>
    <m/>
    <m/>
    <m/>
  </r>
  <r>
    <x v="6"/>
    <x v="3"/>
    <n v="33"/>
    <m/>
    <m/>
    <m/>
    <m/>
    <m/>
    <m/>
    <m/>
  </r>
  <r>
    <x v="6"/>
    <x v="65"/>
    <n v="3"/>
    <m/>
    <m/>
    <m/>
    <m/>
    <m/>
    <m/>
    <m/>
  </r>
  <r>
    <x v="6"/>
    <x v="3"/>
    <n v="1"/>
    <m/>
    <m/>
    <m/>
    <m/>
    <m/>
    <m/>
    <m/>
  </r>
  <r>
    <x v="6"/>
    <x v="3"/>
    <n v="1"/>
    <m/>
    <m/>
    <m/>
    <m/>
    <m/>
    <m/>
    <m/>
  </r>
  <r>
    <x v="6"/>
    <x v="6"/>
    <n v="3"/>
    <m/>
    <m/>
    <m/>
    <m/>
    <m/>
    <m/>
    <m/>
  </r>
  <r>
    <x v="6"/>
    <x v="50"/>
    <n v="3"/>
    <m/>
    <m/>
    <m/>
    <m/>
    <m/>
    <m/>
    <m/>
  </r>
  <r>
    <x v="6"/>
    <x v="27"/>
    <n v="9"/>
    <m/>
    <m/>
    <m/>
    <m/>
    <m/>
    <m/>
    <m/>
  </r>
  <r>
    <x v="6"/>
    <x v="1"/>
    <n v="3"/>
    <m/>
    <m/>
    <m/>
    <m/>
    <m/>
    <m/>
    <m/>
  </r>
  <r>
    <x v="6"/>
    <x v="67"/>
    <n v="10"/>
    <m/>
    <m/>
    <m/>
    <m/>
    <m/>
    <m/>
    <m/>
  </r>
  <r>
    <x v="6"/>
    <x v="6"/>
    <n v="10"/>
    <m/>
    <m/>
    <m/>
    <m/>
    <m/>
    <m/>
    <m/>
  </r>
  <r>
    <x v="6"/>
    <x v="33"/>
    <n v="20"/>
    <m/>
    <m/>
    <m/>
    <m/>
    <m/>
    <m/>
    <m/>
  </r>
  <r>
    <x v="6"/>
    <x v="7"/>
    <n v="10"/>
    <m/>
    <m/>
    <m/>
    <m/>
    <m/>
    <m/>
    <m/>
  </r>
  <r>
    <x v="6"/>
    <x v="8"/>
    <n v="10"/>
    <m/>
    <m/>
    <m/>
    <m/>
    <m/>
    <m/>
    <m/>
  </r>
  <r>
    <x v="6"/>
    <x v="3"/>
    <n v="1"/>
    <m/>
    <m/>
    <m/>
    <m/>
    <m/>
    <m/>
    <m/>
  </r>
  <r>
    <x v="6"/>
    <x v="0"/>
    <n v="1"/>
    <m/>
    <m/>
    <m/>
    <m/>
    <m/>
    <m/>
    <m/>
  </r>
  <r>
    <x v="6"/>
    <x v="28"/>
    <n v="2"/>
    <m/>
    <m/>
    <m/>
    <m/>
    <m/>
    <m/>
    <m/>
  </r>
  <r>
    <x v="6"/>
    <x v="32"/>
    <n v="1"/>
    <m/>
    <m/>
    <m/>
    <m/>
    <m/>
    <m/>
    <m/>
  </r>
  <r>
    <x v="6"/>
    <x v="34"/>
    <n v="6"/>
    <m/>
    <m/>
    <m/>
    <m/>
    <m/>
    <m/>
    <m/>
  </r>
  <r>
    <x v="6"/>
    <x v="58"/>
    <n v="2"/>
    <m/>
    <m/>
    <m/>
    <m/>
    <m/>
    <m/>
    <m/>
  </r>
  <r>
    <x v="6"/>
    <x v="67"/>
    <n v="2"/>
    <m/>
    <m/>
    <m/>
    <m/>
    <m/>
    <m/>
    <m/>
  </r>
  <r>
    <x v="6"/>
    <x v="35"/>
    <n v="2"/>
    <m/>
    <m/>
    <m/>
    <m/>
    <m/>
    <m/>
    <m/>
  </r>
  <r>
    <x v="6"/>
    <x v="13"/>
    <n v="2"/>
    <m/>
    <m/>
    <m/>
    <m/>
    <m/>
    <m/>
    <m/>
  </r>
  <r>
    <x v="6"/>
    <x v="14"/>
    <n v="1"/>
    <m/>
    <m/>
    <m/>
    <m/>
    <m/>
    <m/>
    <m/>
  </r>
  <r>
    <x v="6"/>
    <x v="2"/>
    <n v="1"/>
    <m/>
    <m/>
    <m/>
    <m/>
    <m/>
    <m/>
    <m/>
  </r>
  <r>
    <x v="6"/>
    <x v="15"/>
    <n v="2"/>
    <m/>
    <m/>
    <m/>
    <m/>
    <m/>
    <m/>
    <m/>
  </r>
  <r>
    <x v="6"/>
    <x v="68"/>
    <n v="1"/>
    <m/>
    <m/>
    <m/>
    <m/>
    <m/>
    <m/>
    <m/>
  </r>
  <r>
    <x v="6"/>
    <x v="60"/>
    <n v="2"/>
    <m/>
    <m/>
    <m/>
    <m/>
    <m/>
    <m/>
    <m/>
  </r>
  <r>
    <x v="6"/>
    <x v="17"/>
    <n v="1"/>
    <m/>
    <m/>
    <m/>
    <m/>
    <m/>
    <m/>
    <m/>
  </r>
  <r>
    <x v="6"/>
    <x v="36"/>
    <n v="2"/>
    <m/>
    <m/>
    <m/>
    <m/>
    <m/>
    <m/>
    <m/>
  </r>
  <r>
    <x v="6"/>
    <x v="18"/>
    <n v="2"/>
    <m/>
    <m/>
    <m/>
    <m/>
    <m/>
    <m/>
    <m/>
  </r>
  <r>
    <x v="6"/>
    <x v="48"/>
    <n v="1"/>
    <m/>
    <m/>
    <m/>
    <m/>
    <m/>
    <m/>
    <m/>
  </r>
  <r>
    <x v="6"/>
    <x v="51"/>
    <n v="3"/>
    <m/>
    <m/>
    <m/>
    <m/>
    <m/>
    <m/>
    <m/>
  </r>
  <r>
    <x v="6"/>
    <x v="30"/>
    <n v="1"/>
    <m/>
    <m/>
    <m/>
    <m/>
    <m/>
    <m/>
    <m/>
  </r>
  <r>
    <x v="6"/>
    <x v="3"/>
    <n v="7"/>
    <m/>
    <m/>
    <m/>
    <m/>
    <m/>
    <m/>
    <m/>
  </r>
  <r>
    <x v="6"/>
    <x v="19"/>
    <n v="2"/>
    <m/>
    <m/>
    <m/>
    <m/>
    <m/>
    <m/>
    <m/>
  </r>
  <r>
    <x v="6"/>
    <x v="5"/>
    <n v="1"/>
    <m/>
    <m/>
    <m/>
    <m/>
    <m/>
    <m/>
    <m/>
  </r>
  <r>
    <x v="6"/>
    <x v="20"/>
    <n v="1"/>
    <m/>
    <m/>
    <m/>
    <m/>
    <m/>
    <m/>
    <m/>
  </r>
  <r>
    <x v="6"/>
    <x v="38"/>
    <n v="3"/>
    <m/>
    <m/>
    <m/>
    <m/>
    <m/>
    <m/>
    <m/>
  </r>
  <r>
    <x v="6"/>
    <x v="11"/>
    <n v="2"/>
    <m/>
    <m/>
    <m/>
    <m/>
    <m/>
    <m/>
    <m/>
  </r>
  <r>
    <x v="6"/>
    <x v="52"/>
    <n v="2"/>
    <m/>
    <m/>
    <m/>
    <m/>
    <m/>
    <m/>
    <m/>
  </r>
  <r>
    <x v="6"/>
    <x v="33"/>
    <n v="7"/>
    <m/>
    <m/>
    <m/>
    <m/>
    <m/>
    <m/>
    <m/>
  </r>
  <r>
    <x v="6"/>
    <x v="7"/>
    <n v="1"/>
    <m/>
    <m/>
    <m/>
    <m/>
    <m/>
    <m/>
    <m/>
  </r>
  <r>
    <x v="6"/>
    <x v="39"/>
    <n v="1"/>
    <m/>
    <m/>
    <m/>
    <m/>
    <m/>
    <m/>
    <m/>
  </r>
  <r>
    <x v="6"/>
    <x v="54"/>
    <n v="1"/>
    <m/>
    <m/>
    <m/>
    <m/>
    <m/>
    <m/>
    <m/>
  </r>
  <r>
    <x v="6"/>
    <x v="41"/>
    <n v="5"/>
    <m/>
    <m/>
    <m/>
    <m/>
    <m/>
    <m/>
    <m/>
  </r>
  <r>
    <x v="6"/>
    <x v="27"/>
    <n v="2"/>
    <m/>
    <m/>
    <m/>
    <m/>
    <m/>
    <m/>
    <m/>
  </r>
  <r>
    <x v="6"/>
    <x v="42"/>
    <n v="3"/>
    <m/>
    <m/>
    <m/>
    <m/>
    <m/>
    <m/>
    <m/>
  </r>
  <r>
    <x v="6"/>
    <x v="8"/>
    <n v="3"/>
    <m/>
    <m/>
    <m/>
    <m/>
    <m/>
    <m/>
    <m/>
  </r>
  <r>
    <x v="6"/>
    <x v="43"/>
    <n v="2"/>
    <m/>
    <m/>
    <m/>
    <m/>
    <m/>
    <m/>
    <m/>
  </r>
  <r>
    <x v="6"/>
    <x v="72"/>
    <n v="1"/>
    <m/>
    <m/>
    <m/>
    <m/>
    <m/>
    <m/>
    <m/>
  </r>
  <r>
    <x v="6"/>
    <x v="44"/>
    <n v="3"/>
    <m/>
    <m/>
    <m/>
    <m/>
    <m/>
    <m/>
    <m/>
  </r>
  <r>
    <x v="6"/>
    <x v="45"/>
    <n v="1"/>
    <m/>
    <m/>
    <m/>
    <m/>
    <m/>
    <m/>
    <m/>
  </r>
  <r>
    <x v="6"/>
    <x v="46"/>
    <n v="1"/>
    <m/>
    <m/>
    <m/>
    <m/>
    <m/>
    <m/>
    <m/>
  </r>
  <r>
    <x v="6"/>
    <x v="0"/>
    <n v="1"/>
    <m/>
    <m/>
    <m/>
    <m/>
    <m/>
    <m/>
    <m/>
  </r>
  <r>
    <x v="6"/>
    <x v="21"/>
    <n v="1"/>
    <m/>
    <m/>
    <m/>
    <m/>
    <m/>
    <m/>
    <m/>
  </r>
  <r>
    <x v="6"/>
    <x v="32"/>
    <n v="44"/>
    <m/>
    <m/>
    <m/>
    <m/>
    <m/>
    <m/>
    <m/>
  </r>
  <r>
    <x v="7"/>
    <x v="57"/>
    <n v="2"/>
    <m/>
    <m/>
    <m/>
    <m/>
    <m/>
    <m/>
    <m/>
  </r>
  <r>
    <x v="7"/>
    <x v="15"/>
    <n v="1"/>
    <m/>
    <m/>
    <m/>
    <m/>
    <m/>
    <m/>
    <m/>
  </r>
  <r>
    <x v="7"/>
    <x v="37"/>
    <n v="5"/>
    <m/>
    <m/>
    <m/>
    <m/>
    <m/>
    <m/>
    <m/>
  </r>
  <r>
    <x v="7"/>
    <x v="30"/>
    <n v="5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65"/>
    <n v="3"/>
    <m/>
    <m/>
    <m/>
    <m/>
    <m/>
    <m/>
    <m/>
  </r>
  <r>
    <x v="7"/>
    <x v="11"/>
    <n v="5"/>
    <m/>
    <m/>
    <m/>
    <m/>
    <m/>
    <m/>
    <m/>
  </r>
  <r>
    <x v="7"/>
    <x v="15"/>
    <n v="1"/>
    <m/>
    <m/>
    <m/>
    <m/>
    <m/>
    <m/>
    <m/>
  </r>
  <r>
    <x v="7"/>
    <x v="10"/>
    <n v="8"/>
    <m/>
    <m/>
    <m/>
    <m/>
    <m/>
    <m/>
    <m/>
  </r>
  <r>
    <x v="7"/>
    <x v="57"/>
    <n v="2"/>
    <m/>
    <m/>
    <m/>
    <m/>
    <m/>
    <m/>
    <m/>
  </r>
  <r>
    <x v="7"/>
    <x v="15"/>
    <n v="1"/>
    <m/>
    <m/>
    <m/>
    <m/>
    <m/>
    <m/>
    <m/>
  </r>
  <r>
    <x v="7"/>
    <x v="37"/>
    <n v="5"/>
    <m/>
    <m/>
    <m/>
    <m/>
    <m/>
    <m/>
    <m/>
  </r>
  <r>
    <x v="7"/>
    <x v="30"/>
    <n v="5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11"/>
    <n v="5"/>
    <m/>
    <m/>
    <m/>
    <m/>
    <m/>
    <m/>
    <m/>
  </r>
  <r>
    <x v="7"/>
    <x v="3"/>
    <n v="3"/>
    <m/>
    <m/>
    <m/>
    <m/>
    <m/>
    <m/>
    <m/>
  </r>
  <r>
    <x v="7"/>
    <x v="40"/>
    <n v="2"/>
    <m/>
    <m/>
    <m/>
    <m/>
    <m/>
    <m/>
    <m/>
  </r>
  <r>
    <x v="7"/>
    <x v="3"/>
    <n v="1"/>
    <m/>
    <m/>
    <m/>
    <m/>
    <m/>
    <m/>
    <m/>
  </r>
  <r>
    <x v="7"/>
    <x v="65"/>
    <n v="3"/>
    <m/>
    <m/>
    <m/>
    <m/>
    <m/>
    <m/>
    <m/>
  </r>
  <r>
    <x v="7"/>
    <x v="37"/>
    <n v="5"/>
    <m/>
    <m/>
    <m/>
    <m/>
    <m/>
    <m/>
    <m/>
  </r>
  <r>
    <x v="7"/>
    <x v="30"/>
    <n v="2"/>
    <m/>
    <m/>
    <m/>
    <m/>
    <m/>
    <m/>
    <m/>
  </r>
  <r>
    <x v="7"/>
    <x v="11"/>
    <n v="5"/>
    <m/>
    <m/>
    <m/>
    <m/>
    <m/>
    <m/>
    <m/>
  </r>
  <r>
    <x v="7"/>
    <x v="16"/>
    <n v="1"/>
    <m/>
    <m/>
    <m/>
    <m/>
    <m/>
    <m/>
    <m/>
  </r>
  <r>
    <x v="7"/>
    <x v="73"/>
    <n v="1"/>
    <m/>
    <m/>
    <m/>
    <m/>
    <m/>
    <m/>
    <m/>
  </r>
  <r>
    <x v="7"/>
    <x v="24"/>
    <n v="1"/>
    <m/>
    <m/>
    <m/>
    <m/>
    <m/>
    <m/>
    <m/>
  </r>
  <r>
    <x v="7"/>
    <x v="20"/>
    <n v="4"/>
    <m/>
    <m/>
    <m/>
    <m/>
    <m/>
    <m/>
    <m/>
  </r>
  <r>
    <x v="7"/>
    <x v="57"/>
    <n v="32"/>
    <m/>
    <m/>
    <m/>
    <m/>
    <m/>
    <m/>
    <m/>
  </r>
  <r>
    <x v="7"/>
    <x v="15"/>
    <n v="1"/>
    <m/>
    <m/>
    <m/>
    <m/>
    <m/>
    <m/>
    <m/>
  </r>
  <r>
    <x v="7"/>
    <x v="60"/>
    <n v="1"/>
    <m/>
    <m/>
    <m/>
    <m/>
    <m/>
    <m/>
    <m/>
  </r>
  <r>
    <x v="7"/>
    <x v="3"/>
    <n v="1"/>
    <m/>
    <m/>
    <m/>
    <m/>
    <m/>
    <m/>
    <m/>
  </r>
  <r>
    <x v="7"/>
    <x v="4"/>
    <n v="6"/>
    <m/>
    <m/>
    <m/>
    <m/>
    <m/>
    <m/>
    <m/>
  </r>
  <r>
    <x v="7"/>
    <x v="33"/>
    <n v="4"/>
    <m/>
    <m/>
    <m/>
    <m/>
    <m/>
    <m/>
    <m/>
  </r>
  <r>
    <x v="7"/>
    <x v="8"/>
    <n v="1"/>
    <m/>
    <m/>
    <m/>
    <m/>
    <m/>
    <m/>
    <m/>
  </r>
  <r>
    <x v="7"/>
    <x v="22"/>
    <n v="42"/>
    <m/>
    <m/>
    <m/>
    <m/>
    <m/>
    <m/>
    <m/>
  </r>
  <r>
    <x v="7"/>
    <x v="23"/>
    <n v="6"/>
    <m/>
    <m/>
    <m/>
    <m/>
    <m/>
    <m/>
    <m/>
  </r>
  <r>
    <x v="7"/>
    <x v="70"/>
    <n v="3"/>
    <m/>
    <m/>
    <m/>
    <m/>
    <m/>
    <m/>
    <m/>
  </r>
  <r>
    <x v="7"/>
    <x v="26"/>
    <n v="30"/>
    <m/>
    <m/>
    <m/>
    <m/>
    <m/>
    <m/>
    <m/>
  </r>
  <r>
    <x v="7"/>
    <x v="49"/>
    <n v="1"/>
    <m/>
    <m/>
    <m/>
    <m/>
    <m/>
    <m/>
    <m/>
  </r>
  <r>
    <x v="7"/>
    <x v="63"/>
    <n v="10"/>
    <m/>
    <m/>
    <m/>
    <m/>
    <m/>
    <m/>
    <m/>
  </r>
  <r>
    <x v="7"/>
    <x v="6"/>
    <n v="2"/>
    <m/>
    <m/>
    <m/>
    <m/>
    <m/>
    <m/>
    <m/>
  </r>
  <r>
    <x v="7"/>
    <x v="28"/>
    <n v="1"/>
    <m/>
    <m/>
    <m/>
    <m/>
    <m/>
    <m/>
    <m/>
  </r>
  <r>
    <x v="7"/>
    <x v="32"/>
    <n v="1"/>
    <m/>
    <m/>
    <m/>
    <m/>
    <m/>
    <m/>
    <m/>
  </r>
  <r>
    <x v="7"/>
    <x v="59"/>
    <n v="1"/>
    <m/>
    <m/>
    <m/>
    <m/>
    <m/>
    <m/>
    <m/>
  </r>
  <r>
    <x v="7"/>
    <x v="1"/>
    <n v="10"/>
    <m/>
    <m/>
    <m/>
    <m/>
    <m/>
    <m/>
    <m/>
  </r>
  <r>
    <x v="7"/>
    <x v="15"/>
    <n v="1"/>
    <m/>
    <m/>
    <m/>
    <m/>
    <m/>
    <m/>
    <m/>
  </r>
  <r>
    <x v="7"/>
    <x v="4"/>
    <n v="1"/>
    <m/>
    <m/>
    <m/>
    <m/>
    <m/>
    <m/>
    <m/>
  </r>
  <r>
    <x v="7"/>
    <x v="6"/>
    <n v="1"/>
    <m/>
    <m/>
    <m/>
    <m/>
    <m/>
    <m/>
    <m/>
  </r>
  <r>
    <x v="7"/>
    <x v="33"/>
    <n v="1"/>
    <m/>
    <m/>
    <m/>
    <m/>
    <m/>
    <m/>
    <m/>
  </r>
  <r>
    <x v="7"/>
    <x v="42"/>
    <n v="1"/>
    <m/>
    <m/>
    <m/>
    <m/>
    <m/>
    <m/>
    <m/>
  </r>
  <r>
    <x v="7"/>
    <x v="8"/>
    <n v="1"/>
    <m/>
    <m/>
    <m/>
    <m/>
    <m/>
    <m/>
    <m/>
  </r>
  <r>
    <x v="7"/>
    <x v="21"/>
    <n v="1"/>
    <m/>
    <m/>
    <m/>
    <m/>
    <m/>
    <m/>
    <m/>
  </r>
  <r>
    <x v="7"/>
    <x v="28"/>
    <n v="2"/>
    <m/>
    <m/>
    <m/>
    <m/>
    <m/>
    <m/>
    <m/>
  </r>
  <r>
    <x v="7"/>
    <x v="32"/>
    <n v="1"/>
    <m/>
    <m/>
    <m/>
    <m/>
    <m/>
    <m/>
    <m/>
  </r>
  <r>
    <x v="7"/>
    <x v="59"/>
    <n v="1"/>
    <m/>
    <m/>
    <m/>
    <m/>
    <m/>
    <m/>
    <m/>
  </r>
  <r>
    <x v="7"/>
    <x v="1"/>
    <n v="10"/>
    <m/>
    <m/>
    <m/>
    <m/>
    <m/>
    <m/>
    <m/>
  </r>
  <r>
    <x v="7"/>
    <x v="15"/>
    <n v="1"/>
    <m/>
    <m/>
    <m/>
    <m/>
    <m/>
    <m/>
    <m/>
  </r>
  <r>
    <x v="7"/>
    <x v="16"/>
    <n v="1"/>
    <m/>
    <m/>
    <m/>
    <m/>
    <m/>
    <m/>
    <m/>
  </r>
  <r>
    <x v="7"/>
    <x v="73"/>
    <n v="1"/>
    <m/>
    <m/>
    <m/>
    <m/>
    <m/>
    <m/>
    <m/>
  </r>
  <r>
    <x v="7"/>
    <x v="51"/>
    <n v="2"/>
    <m/>
    <m/>
    <m/>
    <m/>
    <m/>
    <m/>
    <m/>
  </r>
  <r>
    <x v="7"/>
    <x v="24"/>
    <n v="1"/>
    <m/>
    <m/>
    <m/>
    <m/>
    <m/>
    <m/>
    <m/>
  </r>
  <r>
    <x v="7"/>
    <x v="4"/>
    <n v="2"/>
    <m/>
    <m/>
    <m/>
    <m/>
    <m/>
    <m/>
    <m/>
  </r>
  <r>
    <x v="7"/>
    <x v="20"/>
    <n v="4"/>
    <m/>
    <m/>
    <m/>
    <m/>
    <m/>
    <m/>
    <m/>
  </r>
  <r>
    <x v="7"/>
    <x v="10"/>
    <n v="8"/>
    <m/>
    <m/>
    <m/>
    <m/>
    <m/>
    <m/>
    <m/>
  </r>
  <r>
    <x v="7"/>
    <x v="65"/>
    <n v="1"/>
    <m/>
    <m/>
    <m/>
    <m/>
    <m/>
    <m/>
    <m/>
  </r>
  <r>
    <x v="7"/>
    <x v="52"/>
    <n v="1"/>
    <m/>
    <m/>
    <m/>
    <m/>
    <m/>
    <m/>
    <m/>
  </r>
  <r>
    <x v="7"/>
    <x v="33"/>
    <n v="1"/>
    <m/>
    <m/>
    <m/>
    <m/>
    <m/>
    <m/>
    <m/>
  </r>
  <r>
    <x v="7"/>
    <x v="53"/>
    <n v="4"/>
    <m/>
    <m/>
    <m/>
    <m/>
    <m/>
    <m/>
    <m/>
  </r>
  <r>
    <x v="7"/>
    <x v="54"/>
    <n v="7"/>
    <m/>
    <m/>
    <m/>
    <m/>
    <m/>
    <m/>
    <m/>
  </r>
  <r>
    <x v="7"/>
    <x v="42"/>
    <n v="1"/>
    <m/>
    <m/>
    <m/>
    <m/>
    <m/>
    <m/>
    <m/>
  </r>
  <r>
    <x v="7"/>
    <x v="8"/>
    <n v="2"/>
    <m/>
    <m/>
    <m/>
    <m/>
    <m/>
    <m/>
    <m/>
  </r>
  <r>
    <x v="7"/>
    <x v="28"/>
    <n v="3"/>
    <m/>
    <m/>
    <m/>
    <m/>
    <m/>
    <m/>
    <m/>
  </r>
  <r>
    <x v="7"/>
    <x v="2"/>
    <n v="9"/>
    <m/>
    <m/>
    <m/>
    <m/>
    <m/>
    <m/>
    <m/>
  </r>
  <r>
    <x v="7"/>
    <x v="18"/>
    <n v="1"/>
    <m/>
    <m/>
    <m/>
    <m/>
    <m/>
    <m/>
    <m/>
  </r>
  <r>
    <x v="7"/>
    <x v="30"/>
    <n v="2"/>
    <m/>
    <m/>
    <m/>
    <m/>
    <m/>
    <m/>
    <m/>
  </r>
  <r>
    <x v="7"/>
    <x v="19"/>
    <n v="1"/>
    <m/>
    <m/>
    <m/>
    <m/>
    <m/>
    <m/>
    <m/>
  </r>
  <r>
    <x v="7"/>
    <x v="6"/>
    <n v="2"/>
    <m/>
    <m/>
    <m/>
    <m/>
    <m/>
    <m/>
    <m/>
  </r>
  <r>
    <x v="7"/>
    <x v="20"/>
    <n v="1"/>
    <m/>
    <m/>
    <m/>
    <m/>
    <m/>
    <m/>
    <m/>
  </r>
  <r>
    <x v="7"/>
    <x v="65"/>
    <n v="2"/>
    <m/>
    <m/>
    <m/>
    <m/>
    <m/>
    <m/>
    <m/>
  </r>
  <r>
    <x v="7"/>
    <x v="11"/>
    <n v="2"/>
    <m/>
    <m/>
    <m/>
    <m/>
    <m/>
    <m/>
    <m/>
  </r>
  <r>
    <x v="7"/>
    <x v="3"/>
    <n v="1"/>
    <m/>
    <m/>
    <m/>
    <m/>
    <m/>
    <m/>
    <m/>
  </r>
  <r>
    <x v="7"/>
    <x v="33"/>
    <n v="2"/>
    <m/>
    <m/>
    <m/>
    <m/>
    <m/>
    <m/>
    <m/>
  </r>
  <r>
    <x v="7"/>
    <x v="4"/>
    <n v="1"/>
    <m/>
    <m/>
    <m/>
    <m/>
    <m/>
    <m/>
    <m/>
  </r>
  <r>
    <x v="7"/>
    <x v="8"/>
    <n v="1"/>
    <m/>
    <m/>
    <m/>
    <m/>
    <m/>
    <m/>
    <m/>
  </r>
  <r>
    <x v="7"/>
    <x v="57"/>
    <n v="2"/>
    <m/>
    <m/>
    <m/>
    <m/>
    <m/>
    <m/>
    <m/>
  </r>
  <r>
    <x v="7"/>
    <x v="0"/>
    <n v="1"/>
    <m/>
    <m/>
    <m/>
    <m/>
    <m/>
    <m/>
    <m/>
  </r>
  <r>
    <x v="7"/>
    <x v="21"/>
    <n v="1"/>
    <m/>
    <m/>
    <m/>
    <m/>
    <m/>
    <m/>
    <m/>
  </r>
  <r>
    <x v="7"/>
    <x v="28"/>
    <n v="10"/>
    <m/>
    <m/>
    <m/>
    <m/>
    <m/>
    <m/>
    <m/>
  </r>
  <r>
    <x v="7"/>
    <x v="32"/>
    <n v="14"/>
    <m/>
    <m/>
    <m/>
    <m/>
    <m/>
    <m/>
    <m/>
  </r>
  <r>
    <x v="7"/>
    <x v="28"/>
    <n v="1"/>
    <m/>
    <m/>
    <m/>
    <m/>
    <m/>
    <m/>
    <m/>
  </r>
  <r>
    <x v="7"/>
    <x v="32"/>
    <n v="2"/>
    <m/>
    <m/>
    <m/>
    <m/>
    <m/>
    <m/>
    <m/>
  </r>
  <r>
    <x v="7"/>
    <x v="29"/>
    <n v="1"/>
    <m/>
    <m/>
    <m/>
    <m/>
    <m/>
    <m/>
    <m/>
  </r>
  <r>
    <x v="7"/>
    <x v="1"/>
    <n v="2"/>
    <m/>
    <m/>
    <m/>
    <m/>
    <m/>
    <m/>
    <m/>
  </r>
  <r>
    <x v="7"/>
    <x v="14"/>
    <n v="8"/>
    <m/>
    <m/>
    <m/>
    <m/>
    <m/>
    <m/>
    <m/>
  </r>
  <r>
    <x v="7"/>
    <x v="3"/>
    <n v="13"/>
    <m/>
    <m/>
    <m/>
    <m/>
    <m/>
    <m/>
    <m/>
  </r>
  <r>
    <x v="7"/>
    <x v="6"/>
    <n v="2"/>
    <m/>
    <m/>
    <m/>
    <m/>
    <m/>
    <m/>
    <m/>
  </r>
  <r>
    <x v="7"/>
    <x v="65"/>
    <n v="8"/>
    <m/>
    <m/>
    <m/>
    <m/>
    <m/>
    <m/>
    <m/>
  </r>
  <r>
    <x v="7"/>
    <x v="3"/>
    <n v="1"/>
    <m/>
    <m/>
    <m/>
    <m/>
    <m/>
    <m/>
    <m/>
  </r>
  <r>
    <x v="7"/>
    <x v="6"/>
    <n v="2"/>
    <m/>
    <m/>
    <m/>
    <m/>
    <m/>
    <m/>
    <m/>
  </r>
  <r>
    <x v="7"/>
    <x v="15"/>
    <n v="3"/>
    <m/>
    <m/>
    <m/>
    <m/>
    <m/>
    <m/>
    <m/>
  </r>
  <r>
    <x v="7"/>
    <x v="3"/>
    <n v="1"/>
    <m/>
    <m/>
    <m/>
    <m/>
    <m/>
    <m/>
    <m/>
  </r>
  <r>
    <x v="7"/>
    <x v="65"/>
    <n v="3"/>
    <m/>
    <m/>
    <m/>
    <m/>
    <m/>
    <m/>
    <m/>
  </r>
  <r>
    <x v="7"/>
    <x v="28"/>
    <n v="6"/>
    <m/>
    <m/>
    <m/>
    <m/>
    <m/>
    <m/>
    <m/>
  </r>
  <r>
    <x v="7"/>
    <x v="32"/>
    <n v="4"/>
    <m/>
    <m/>
    <m/>
    <m/>
    <m/>
    <m/>
    <m/>
  </r>
  <r>
    <x v="7"/>
    <x v="34"/>
    <n v="1"/>
    <m/>
    <m/>
    <m/>
    <m/>
    <m/>
    <m/>
    <m/>
  </r>
  <r>
    <x v="7"/>
    <x v="67"/>
    <n v="1"/>
    <m/>
    <m/>
    <m/>
    <m/>
    <m/>
    <m/>
    <m/>
  </r>
  <r>
    <x v="7"/>
    <x v="35"/>
    <n v="1"/>
    <m/>
    <m/>
    <m/>
    <m/>
    <m/>
    <m/>
    <m/>
  </r>
  <r>
    <x v="7"/>
    <x v="15"/>
    <n v="1"/>
    <m/>
    <m/>
    <m/>
    <m/>
    <m/>
    <m/>
    <m/>
  </r>
  <r>
    <x v="7"/>
    <x v="36"/>
    <n v="1"/>
    <m/>
    <m/>
    <m/>
    <m/>
    <m/>
    <m/>
    <m/>
  </r>
  <r>
    <x v="7"/>
    <x v="3"/>
    <n v="8"/>
    <m/>
    <m/>
    <m/>
    <m/>
    <m/>
    <m/>
    <m/>
  </r>
  <r>
    <x v="7"/>
    <x v="5"/>
    <n v="2"/>
    <m/>
    <m/>
    <m/>
    <m/>
    <m/>
    <m/>
    <m/>
  </r>
  <r>
    <x v="7"/>
    <x v="6"/>
    <n v="8"/>
    <m/>
    <m/>
    <m/>
    <m/>
    <m/>
    <m/>
    <m/>
  </r>
  <r>
    <x v="7"/>
    <x v="38"/>
    <n v="2"/>
    <m/>
    <m/>
    <m/>
    <m/>
    <m/>
    <m/>
    <m/>
  </r>
  <r>
    <x v="7"/>
    <x v="11"/>
    <n v="2"/>
    <m/>
    <m/>
    <m/>
    <m/>
    <m/>
    <m/>
    <m/>
  </r>
  <r>
    <x v="7"/>
    <x v="33"/>
    <n v="3"/>
    <m/>
    <m/>
    <m/>
    <m/>
    <m/>
    <m/>
    <m/>
  </r>
  <r>
    <x v="7"/>
    <x v="7"/>
    <n v="3"/>
    <m/>
    <m/>
    <m/>
    <m/>
    <m/>
    <m/>
    <m/>
  </r>
  <r>
    <x v="7"/>
    <x v="39"/>
    <n v="1"/>
    <m/>
    <m/>
    <m/>
    <m/>
    <m/>
    <m/>
    <m/>
  </r>
  <r>
    <x v="7"/>
    <x v="41"/>
    <n v="5"/>
    <m/>
    <m/>
    <m/>
    <m/>
    <m/>
    <m/>
    <m/>
  </r>
  <r>
    <x v="7"/>
    <x v="27"/>
    <n v="2"/>
    <m/>
    <m/>
    <m/>
    <m/>
    <m/>
    <m/>
    <m/>
  </r>
  <r>
    <x v="7"/>
    <x v="43"/>
    <n v="3"/>
    <m/>
    <m/>
    <m/>
    <m/>
    <m/>
    <m/>
    <m/>
  </r>
  <r>
    <x v="7"/>
    <x v="10"/>
    <n v="2"/>
    <m/>
    <m/>
    <m/>
    <m/>
    <m/>
    <m/>
    <m/>
  </r>
  <r>
    <x v="7"/>
    <x v="72"/>
    <n v="1"/>
    <m/>
    <m/>
    <m/>
    <m/>
    <m/>
    <m/>
    <m/>
  </r>
  <r>
    <x v="7"/>
    <x v="44"/>
    <n v="2"/>
    <m/>
    <m/>
    <m/>
    <m/>
    <m/>
    <m/>
    <m/>
  </r>
  <r>
    <x v="7"/>
    <x v="45"/>
    <n v="1"/>
    <m/>
    <m/>
    <m/>
    <m/>
    <m/>
    <m/>
    <m/>
  </r>
  <r>
    <x v="7"/>
    <x v="46"/>
    <n v="1"/>
    <m/>
    <m/>
    <m/>
    <m/>
    <m/>
    <m/>
    <m/>
  </r>
  <r>
    <x v="7"/>
    <x v="32"/>
    <n v="14"/>
    <m/>
    <m/>
    <m/>
    <m/>
    <m/>
    <m/>
    <m/>
  </r>
  <r>
    <x v="7"/>
    <x v="3"/>
    <n v="2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4"/>
    <n v="2"/>
    <m/>
    <m/>
    <m/>
    <m/>
    <m/>
    <m/>
    <m/>
  </r>
  <r>
    <x v="8"/>
    <x v="6"/>
    <n v="2"/>
    <m/>
    <m/>
    <m/>
    <m/>
    <m/>
    <m/>
    <m/>
  </r>
  <r>
    <x v="8"/>
    <x v="3"/>
    <n v="1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6"/>
    <n v="2"/>
    <m/>
    <m/>
    <m/>
    <m/>
    <m/>
    <m/>
    <m/>
  </r>
  <r>
    <x v="8"/>
    <x v="8"/>
    <n v="2"/>
    <m/>
    <m/>
    <m/>
    <m/>
    <m/>
    <m/>
    <m/>
  </r>
  <r>
    <x v="8"/>
    <x v="4"/>
    <n v="2"/>
    <m/>
    <m/>
    <m/>
    <m/>
    <m/>
    <m/>
    <m/>
  </r>
  <r>
    <x v="8"/>
    <x v="12"/>
    <n v="1"/>
    <m/>
    <m/>
    <m/>
    <m/>
    <m/>
    <m/>
    <m/>
  </r>
  <r>
    <x v="8"/>
    <x v="14"/>
    <n v="1"/>
    <m/>
    <m/>
    <m/>
    <m/>
    <m/>
    <m/>
    <m/>
  </r>
  <r>
    <x v="8"/>
    <x v="21"/>
    <n v="1"/>
    <m/>
    <m/>
    <m/>
    <m/>
    <m/>
    <m/>
    <m/>
  </r>
  <r>
    <x v="8"/>
    <x v="22"/>
    <n v="7"/>
    <m/>
    <m/>
    <m/>
    <m/>
    <m/>
    <m/>
    <m/>
  </r>
  <r>
    <x v="8"/>
    <x v="23"/>
    <n v="5"/>
    <m/>
    <m/>
    <m/>
    <m/>
    <m/>
    <m/>
    <m/>
  </r>
  <r>
    <x v="8"/>
    <x v="12"/>
    <n v="1"/>
    <m/>
    <m/>
    <m/>
    <m/>
    <m/>
    <m/>
    <m/>
  </r>
  <r>
    <x v="8"/>
    <x v="3"/>
    <n v="1"/>
    <m/>
    <m/>
    <m/>
    <m/>
    <m/>
    <m/>
    <m/>
  </r>
  <r>
    <x v="8"/>
    <x v="6"/>
    <n v="2"/>
    <m/>
    <m/>
    <m/>
    <m/>
    <m/>
    <m/>
    <m/>
  </r>
  <r>
    <x v="8"/>
    <x v="28"/>
    <n v="6"/>
    <m/>
    <m/>
    <m/>
    <m/>
    <m/>
    <m/>
    <m/>
  </r>
  <r>
    <x v="8"/>
    <x v="15"/>
    <n v="4"/>
    <m/>
    <m/>
    <m/>
    <m/>
    <m/>
    <m/>
    <m/>
  </r>
  <r>
    <x v="8"/>
    <x v="60"/>
    <n v="4"/>
    <m/>
    <m/>
    <m/>
    <m/>
    <m/>
    <m/>
    <m/>
  </r>
  <r>
    <x v="8"/>
    <x v="18"/>
    <n v="4"/>
    <m/>
    <m/>
    <m/>
    <m/>
    <m/>
    <m/>
    <m/>
  </r>
  <r>
    <x v="8"/>
    <x v="28"/>
    <n v="5"/>
    <m/>
    <m/>
    <m/>
    <m/>
    <m/>
    <m/>
    <m/>
  </r>
  <r>
    <x v="8"/>
    <x v="32"/>
    <n v="9"/>
    <m/>
    <m/>
    <m/>
    <m/>
    <m/>
    <m/>
    <m/>
  </r>
  <r>
    <x v="8"/>
    <x v="1"/>
    <n v="6"/>
    <m/>
    <m/>
    <m/>
    <m/>
    <m/>
    <m/>
    <m/>
  </r>
  <r>
    <x v="8"/>
    <x v="6"/>
    <n v="4"/>
    <m/>
    <m/>
    <m/>
    <m/>
    <m/>
    <m/>
    <m/>
  </r>
  <r>
    <x v="8"/>
    <x v="33"/>
    <n v="30"/>
    <m/>
    <m/>
    <m/>
    <m/>
    <m/>
    <m/>
    <m/>
  </r>
  <r>
    <x v="8"/>
    <x v="3"/>
    <n v="11"/>
    <m/>
    <m/>
    <m/>
    <m/>
    <m/>
    <m/>
    <m/>
  </r>
  <r>
    <x v="8"/>
    <x v="6"/>
    <n v="2"/>
    <m/>
    <m/>
    <m/>
    <m/>
    <m/>
    <m/>
    <m/>
  </r>
  <r>
    <x v="8"/>
    <x v="50"/>
    <n v="1"/>
    <m/>
    <m/>
    <m/>
    <m/>
    <m/>
    <m/>
    <m/>
  </r>
  <r>
    <x v="8"/>
    <x v="1"/>
    <n v="6"/>
    <m/>
    <m/>
    <m/>
    <m/>
    <m/>
    <m/>
    <m/>
  </r>
  <r>
    <x v="8"/>
    <x v="33"/>
    <n v="30"/>
    <m/>
    <m/>
    <m/>
    <m/>
    <m/>
    <m/>
    <m/>
  </r>
  <r>
    <x v="8"/>
    <x v="32"/>
    <n v="9"/>
    <m/>
    <m/>
    <m/>
    <m/>
    <m/>
    <m/>
    <m/>
  </r>
  <r>
    <x v="9"/>
    <x v="57"/>
    <n v="4"/>
    <m/>
    <m/>
    <m/>
    <m/>
    <m/>
    <m/>
    <m/>
  </r>
  <r>
    <x v="9"/>
    <x v="58"/>
    <n v="1"/>
    <m/>
    <m/>
    <m/>
    <m/>
    <m/>
    <m/>
    <m/>
  </r>
  <r>
    <x v="9"/>
    <x v="15"/>
    <n v="5"/>
    <m/>
    <m/>
    <m/>
    <m/>
    <m/>
    <m/>
    <m/>
  </r>
  <r>
    <x v="9"/>
    <x v="51"/>
    <n v="3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3"/>
    <n v="6"/>
    <m/>
    <m/>
    <m/>
    <m/>
    <m/>
    <m/>
    <m/>
  </r>
  <r>
    <x v="9"/>
    <x v="6"/>
    <n v="5"/>
    <m/>
    <m/>
    <m/>
    <m/>
    <m/>
    <m/>
    <m/>
  </r>
  <r>
    <x v="9"/>
    <x v="20"/>
    <n v="2"/>
    <m/>
    <m/>
    <m/>
    <m/>
    <m/>
    <m/>
    <m/>
  </r>
  <r>
    <x v="9"/>
    <x v="11"/>
    <n v="2"/>
    <m/>
    <m/>
    <m/>
    <m/>
    <m/>
    <m/>
    <m/>
  </r>
  <r>
    <x v="9"/>
    <x v="52"/>
    <n v="2"/>
    <m/>
    <m/>
    <m/>
    <m/>
    <m/>
    <m/>
    <m/>
  </r>
  <r>
    <x v="9"/>
    <x v="15"/>
    <n v="2"/>
    <m/>
    <m/>
    <m/>
    <m/>
    <m/>
    <m/>
    <m/>
  </r>
  <r>
    <x v="9"/>
    <x v="3"/>
    <n v="3"/>
    <m/>
    <m/>
    <m/>
    <m/>
    <m/>
    <m/>
    <m/>
  </r>
  <r>
    <x v="9"/>
    <x v="33"/>
    <n v="10"/>
    <m/>
    <m/>
    <m/>
    <m/>
    <m/>
    <m/>
    <m/>
  </r>
  <r>
    <x v="9"/>
    <x v="42"/>
    <n v="2"/>
    <m/>
    <m/>
    <m/>
    <m/>
    <m/>
    <m/>
    <m/>
  </r>
  <r>
    <x v="9"/>
    <x v="15"/>
    <n v="1"/>
    <m/>
    <m/>
    <m/>
    <m/>
    <m/>
    <m/>
    <m/>
  </r>
  <r>
    <x v="9"/>
    <x v="47"/>
    <n v="1"/>
    <m/>
    <m/>
    <m/>
    <m/>
    <m/>
    <m/>
    <m/>
  </r>
  <r>
    <x v="9"/>
    <x v="9"/>
    <n v="1"/>
    <m/>
    <m/>
    <m/>
    <m/>
    <m/>
    <m/>
    <m/>
  </r>
  <r>
    <x v="9"/>
    <x v="3"/>
    <n v="2"/>
    <m/>
    <m/>
    <m/>
    <m/>
    <m/>
    <m/>
    <m/>
  </r>
  <r>
    <x v="9"/>
    <x v="10"/>
    <n v="1"/>
    <m/>
    <m/>
    <m/>
    <m/>
    <m/>
    <m/>
    <m/>
  </r>
  <r>
    <x v="9"/>
    <x v="11"/>
    <n v="2"/>
    <m/>
    <m/>
    <m/>
    <m/>
    <m/>
    <m/>
    <m/>
  </r>
  <r>
    <x v="9"/>
    <x v="57"/>
    <n v="4"/>
    <m/>
    <m/>
    <m/>
    <m/>
    <m/>
    <m/>
    <m/>
  </r>
  <r>
    <x v="9"/>
    <x v="58"/>
    <n v="1"/>
    <m/>
    <m/>
    <m/>
    <m/>
    <m/>
    <m/>
    <m/>
  </r>
  <r>
    <x v="9"/>
    <x v="15"/>
    <n v="5"/>
    <m/>
    <m/>
    <m/>
    <m/>
    <m/>
    <m/>
    <m/>
  </r>
  <r>
    <x v="9"/>
    <x v="51"/>
    <n v="3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3"/>
    <n v="6"/>
    <m/>
    <m/>
    <m/>
    <m/>
    <m/>
    <m/>
    <m/>
  </r>
  <r>
    <x v="9"/>
    <x v="6"/>
    <n v="5"/>
    <m/>
    <m/>
    <m/>
    <m/>
    <m/>
    <m/>
    <m/>
  </r>
  <r>
    <x v="9"/>
    <x v="20"/>
    <n v="1"/>
    <m/>
    <m/>
    <m/>
    <m/>
    <m/>
    <m/>
    <m/>
  </r>
  <r>
    <x v="9"/>
    <x v="11"/>
    <n v="2"/>
    <m/>
    <m/>
    <m/>
    <m/>
    <m/>
    <m/>
    <m/>
  </r>
  <r>
    <x v="9"/>
    <x v="52"/>
    <n v="2"/>
    <m/>
    <m/>
    <m/>
    <m/>
    <m/>
    <m/>
    <m/>
  </r>
  <r>
    <x v="9"/>
    <x v="67"/>
    <n v="3"/>
    <m/>
    <m/>
    <m/>
    <m/>
    <m/>
    <m/>
    <m/>
  </r>
  <r>
    <x v="9"/>
    <x v="59"/>
    <n v="6"/>
    <m/>
    <m/>
    <m/>
    <m/>
    <m/>
    <m/>
    <m/>
  </r>
  <r>
    <x v="9"/>
    <x v="18"/>
    <n v="6"/>
    <m/>
    <m/>
    <m/>
    <m/>
    <m/>
    <m/>
    <m/>
  </r>
  <r>
    <x v="9"/>
    <x v="30"/>
    <n v="2"/>
    <m/>
    <m/>
    <m/>
    <m/>
    <m/>
    <m/>
    <m/>
  </r>
  <r>
    <x v="9"/>
    <x v="3"/>
    <n v="8"/>
    <m/>
    <m/>
    <m/>
    <m/>
    <m/>
    <m/>
    <m/>
  </r>
  <r>
    <x v="9"/>
    <x v="6"/>
    <n v="5"/>
    <m/>
    <m/>
    <m/>
    <m/>
    <m/>
    <m/>
    <m/>
  </r>
  <r>
    <x v="9"/>
    <x v="33"/>
    <n v="12"/>
    <m/>
    <m/>
    <m/>
    <m/>
    <m/>
    <m/>
    <m/>
  </r>
  <r>
    <x v="9"/>
    <x v="8"/>
    <n v="4"/>
    <m/>
    <m/>
    <m/>
    <m/>
    <m/>
    <m/>
    <m/>
  </r>
  <r>
    <x v="9"/>
    <x v="3"/>
    <n v="2"/>
    <m/>
    <m/>
    <m/>
    <m/>
    <m/>
    <m/>
    <m/>
  </r>
  <r>
    <x v="9"/>
    <x v="58"/>
    <n v="1"/>
    <m/>
    <m/>
    <m/>
    <m/>
    <m/>
    <m/>
    <m/>
  </r>
  <r>
    <x v="9"/>
    <x v="37"/>
    <n v="3"/>
    <m/>
    <m/>
    <m/>
    <m/>
    <m/>
    <m/>
    <m/>
  </r>
  <r>
    <x v="9"/>
    <x v="30"/>
    <n v="4"/>
    <m/>
    <m/>
    <m/>
    <m/>
    <m/>
    <m/>
    <m/>
  </r>
  <r>
    <x v="9"/>
    <x v="11"/>
    <n v="2"/>
    <m/>
    <m/>
    <m/>
    <m/>
    <m/>
    <m/>
    <m/>
  </r>
  <r>
    <x v="9"/>
    <x v="58"/>
    <n v="1"/>
    <m/>
    <m/>
    <m/>
    <m/>
    <m/>
    <m/>
    <m/>
  </r>
  <r>
    <x v="9"/>
    <x v="73"/>
    <n v="1"/>
    <m/>
    <m/>
    <m/>
    <m/>
    <m/>
    <m/>
    <m/>
  </r>
  <r>
    <x v="9"/>
    <x v="21"/>
    <n v="1"/>
    <m/>
    <m/>
    <m/>
    <m/>
    <m/>
    <m/>
    <m/>
  </r>
  <r>
    <x v="9"/>
    <x v="57"/>
    <n v="31"/>
    <m/>
    <m/>
    <m/>
    <m/>
    <m/>
    <m/>
    <m/>
  </r>
  <r>
    <x v="9"/>
    <x v="60"/>
    <n v="1"/>
    <m/>
    <m/>
    <m/>
    <m/>
    <m/>
    <m/>
    <m/>
  </r>
  <r>
    <x v="9"/>
    <x v="4"/>
    <n v="25"/>
    <m/>
    <m/>
    <m/>
    <m/>
    <m/>
    <m/>
    <m/>
  </r>
  <r>
    <x v="9"/>
    <x v="33"/>
    <n v="3"/>
    <m/>
    <m/>
    <m/>
    <m/>
    <m/>
    <m/>
    <m/>
  </r>
  <r>
    <x v="9"/>
    <x v="61"/>
    <n v="4"/>
    <m/>
    <m/>
    <m/>
    <m/>
    <m/>
    <m/>
    <m/>
  </r>
  <r>
    <x v="9"/>
    <x v="22"/>
    <n v="16"/>
    <m/>
    <m/>
    <m/>
    <m/>
    <m/>
    <m/>
    <m/>
  </r>
  <r>
    <x v="9"/>
    <x v="23"/>
    <n v="13"/>
    <m/>
    <m/>
    <m/>
    <m/>
    <m/>
    <m/>
    <m/>
  </r>
  <r>
    <x v="9"/>
    <x v="24"/>
    <n v="5"/>
    <m/>
    <m/>
    <m/>
    <m/>
    <m/>
    <m/>
    <m/>
  </r>
  <r>
    <x v="9"/>
    <x v="63"/>
    <n v="6"/>
    <m/>
    <m/>
    <m/>
    <m/>
    <m/>
    <m/>
    <m/>
  </r>
  <r>
    <x v="9"/>
    <x v="74"/>
    <n v="4"/>
    <m/>
    <m/>
    <m/>
    <m/>
    <m/>
    <m/>
    <m/>
  </r>
  <r>
    <x v="9"/>
    <x v="25"/>
    <n v="1"/>
    <m/>
    <m/>
    <m/>
    <m/>
    <m/>
    <m/>
    <m/>
  </r>
  <r>
    <x v="9"/>
    <x v="70"/>
    <n v="3"/>
    <m/>
    <m/>
    <m/>
    <m/>
    <m/>
    <m/>
    <m/>
  </r>
  <r>
    <x v="9"/>
    <x v="26"/>
    <n v="30"/>
    <m/>
    <m/>
    <m/>
    <m/>
    <m/>
    <m/>
    <m/>
  </r>
  <r>
    <x v="9"/>
    <x v="49"/>
    <n v="2"/>
    <m/>
    <m/>
    <m/>
    <m/>
    <m/>
    <m/>
    <m/>
  </r>
  <r>
    <x v="9"/>
    <x v="74"/>
    <n v="4"/>
    <m/>
    <m/>
    <m/>
    <m/>
    <m/>
    <m/>
    <m/>
  </r>
  <r>
    <x v="9"/>
    <x v="63"/>
    <n v="10"/>
    <m/>
    <m/>
    <m/>
    <m/>
    <m/>
    <m/>
    <m/>
  </r>
  <r>
    <x v="9"/>
    <x v="15"/>
    <n v="2"/>
    <m/>
    <m/>
    <m/>
    <m/>
    <m/>
    <m/>
    <m/>
  </r>
  <r>
    <x v="9"/>
    <x v="3"/>
    <n v="3"/>
    <m/>
    <m/>
    <m/>
    <m/>
    <m/>
    <m/>
    <m/>
  </r>
  <r>
    <x v="9"/>
    <x v="5"/>
    <n v="1"/>
    <m/>
    <m/>
    <m/>
    <m/>
    <m/>
    <m/>
    <m/>
  </r>
  <r>
    <x v="9"/>
    <x v="33"/>
    <n v="10"/>
    <m/>
    <m/>
    <m/>
    <m/>
    <m/>
    <m/>
    <m/>
  </r>
  <r>
    <x v="9"/>
    <x v="42"/>
    <n v="2"/>
    <m/>
    <m/>
    <m/>
    <m/>
    <m/>
    <m/>
    <m/>
  </r>
  <r>
    <x v="9"/>
    <x v="6"/>
    <n v="2"/>
    <m/>
    <m/>
    <m/>
    <m/>
    <m/>
    <m/>
    <m/>
  </r>
  <r>
    <x v="9"/>
    <x v="27"/>
    <n v="1"/>
    <m/>
    <m/>
    <m/>
    <m/>
    <m/>
    <m/>
    <m/>
  </r>
  <r>
    <x v="9"/>
    <x v="28"/>
    <n v="1"/>
    <m/>
    <m/>
    <m/>
    <m/>
    <m/>
    <m/>
    <m/>
  </r>
  <r>
    <x v="9"/>
    <x v="32"/>
    <n v="1"/>
    <m/>
    <m/>
    <m/>
    <m/>
    <m/>
    <m/>
    <m/>
  </r>
  <r>
    <x v="9"/>
    <x v="1"/>
    <n v="2"/>
    <m/>
    <m/>
    <m/>
    <m/>
    <m/>
    <m/>
    <m/>
  </r>
  <r>
    <x v="9"/>
    <x v="33"/>
    <n v="1"/>
    <m/>
    <m/>
    <m/>
    <m/>
    <m/>
    <m/>
    <m/>
  </r>
  <r>
    <x v="9"/>
    <x v="42"/>
    <n v="1"/>
    <m/>
    <m/>
    <m/>
    <m/>
    <m/>
    <m/>
    <m/>
  </r>
  <r>
    <x v="9"/>
    <x v="8"/>
    <n v="1"/>
    <m/>
    <m/>
    <m/>
    <m/>
    <m/>
    <m/>
    <m/>
  </r>
  <r>
    <x v="9"/>
    <x v="21"/>
    <n v="1"/>
    <m/>
    <m/>
    <m/>
    <m/>
    <m/>
    <m/>
    <m/>
  </r>
  <r>
    <x v="9"/>
    <x v="28"/>
    <n v="2"/>
    <m/>
    <m/>
    <m/>
    <m/>
    <m/>
    <m/>
    <m/>
  </r>
  <r>
    <x v="9"/>
    <x v="32"/>
    <n v="1"/>
    <m/>
    <m/>
    <m/>
    <m/>
    <m/>
    <m/>
    <m/>
  </r>
  <r>
    <x v="9"/>
    <x v="47"/>
    <n v="1"/>
    <m/>
    <m/>
    <m/>
    <m/>
    <m/>
    <m/>
    <m/>
  </r>
  <r>
    <x v="9"/>
    <x v="58"/>
    <n v="1"/>
    <m/>
    <m/>
    <m/>
    <m/>
    <m/>
    <m/>
    <m/>
  </r>
  <r>
    <x v="9"/>
    <x v="1"/>
    <n v="2"/>
    <m/>
    <m/>
    <m/>
    <m/>
    <m/>
    <m/>
    <m/>
  </r>
  <r>
    <x v="9"/>
    <x v="2"/>
    <n v="2"/>
    <m/>
    <m/>
    <m/>
    <m/>
    <m/>
    <m/>
    <m/>
  </r>
  <r>
    <x v="9"/>
    <x v="9"/>
    <n v="1"/>
    <m/>
    <m/>
    <m/>
    <m/>
    <m/>
    <m/>
    <m/>
  </r>
  <r>
    <x v="9"/>
    <x v="73"/>
    <n v="1"/>
    <m/>
    <m/>
    <m/>
    <m/>
    <m/>
    <m/>
    <m/>
  </r>
  <r>
    <x v="9"/>
    <x v="51"/>
    <n v="2"/>
    <m/>
    <m/>
    <m/>
    <m/>
    <m/>
    <m/>
    <m/>
  </r>
  <r>
    <x v="9"/>
    <x v="3"/>
    <n v="2"/>
    <m/>
    <m/>
    <m/>
    <m/>
    <m/>
    <m/>
    <m/>
  </r>
  <r>
    <x v="9"/>
    <x v="19"/>
    <n v="1"/>
    <m/>
    <m/>
    <m/>
    <m/>
    <m/>
    <m/>
    <m/>
  </r>
  <r>
    <x v="9"/>
    <x v="6"/>
    <n v="3"/>
    <m/>
    <m/>
    <m/>
    <m/>
    <m/>
    <m/>
    <m/>
  </r>
  <r>
    <x v="9"/>
    <x v="10"/>
    <n v="1"/>
    <m/>
    <m/>
    <m/>
    <m/>
    <m/>
    <m/>
    <m/>
  </r>
  <r>
    <x v="9"/>
    <x v="11"/>
    <n v="2"/>
    <m/>
    <m/>
    <m/>
    <m/>
    <m/>
    <m/>
    <m/>
  </r>
  <r>
    <x v="9"/>
    <x v="52"/>
    <n v="1"/>
    <m/>
    <m/>
    <m/>
    <m/>
    <m/>
    <m/>
    <m/>
  </r>
  <r>
    <x v="9"/>
    <x v="33"/>
    <n v="1"/>
    <m/>
    <m/>
    <m/>
    <m/>
    <m/>
    <m/>
    <m/>
  </r>
  <r>
    <x v="9"/>
    <x v="53"/>
    <n v="3"/>
    <m/>
    <m/>
    <m/>
    <m/>
    <m/>
    <m/>
    <m/>
  </r>
  <r>
    <x v="9"/>
    <x v="54"/>
    <n v="1"/>
    <m/>
    <m/>
    <m/>
    <m/>
    <m/>
    <m/>
    <m/>
  </r>
  <r>
    <x v="9"/>
    <x v="27"/>
    <n v="1"/>
    <m/>
    <m/>
    <m/>
    <m/>
    <m/>
    <m/>
    <m/>
  </r>
  <r>
    <x v="9"/>
    <x v="42"/>
    <n v="1"/>
    <m/>
    <m/>
    <m/>
    <m/>
    <m/>
    <m/>
    <m/>
  </r>
  <r>
    <x v="9"/>
    <x v="8"/>
    <n v="1"/>
    <m/>
    <m/>
    <m/>
    <m/>
    <m/>
    <m/>
    <m/>
  </r>
  <r>
    <x v="9"/>
    <x v="21"/>
    <n v="1"/>
    <m/>
    <m/>
    <m/>
    <m/>
    <m/>
    <m/>
    <m/>
  </r>
  <r>
    <x v="9"/>
    <x v="28"/>
    <n v="13"/>
    <m/>
    <m/>
    <m/>
    <m/>
    <m/>
    <m/>
    <m/>
  </r>
  <r>
    <x v="9"/>
    <x v="32"/>
    <n v="25"/>
    <m/>
    <m/>
    <m/>
    <m/>
    <m/>
    <m/>
    <m/>
  </r>
  <r>
    <x v="9"/>
    <x v="59"/>
    <n v="2"/>
    <m/>
    <m/>
    <m/>
    <m/>
    <m/>
    <m/>
    <m/>
  </r>
  <r>
    <x v="9"/>
    <x v="2"/>
    <n v="4"/>
    <m/>
    <m/>
    <m/>
    <m/>
    <m/>
    <m/>
    <m/>
  </r>
  <r>
    <x v="9"/>
    <x v="29"/>
    <n v="3"/>
    <m/>
    <m/>
    <m/>
    <m/>
    <m/>
    <m/>
    <m/>
  </r>
  <r>
    <x v="9"/>
    <x v="18"/>
    <n v="4"/>
    <m/>
    <m/>
    <m/>
    <m/>
    <m/>
    <m/>
    <m/>
  </r>
  <r>
    <x v="9"/>
    <x v="51"/>
    <n v="2"/>
    <m/>
    <m/>
    <m/>
    <m/>
    <m/>
    <m/>
    <m/>
  </r>
  <r>
    <x v="9"/>
    <x v="30"/>
    <n v="9"/>
    <m/>
    <m/>
    <m/>
    <m/>
    <m/>
    <m/>
    <m/>
  </r>
  <r>
    <x v="9"/>
    <x v="3"/>
    <n v="17"/>
    <m/>
    <m/>
    <m/>
    <m/>
    <m/>
    <m/>
    <m/>
  </r>
  <r>
    <x v="9"/>
    <x v="19"/>
    <n v="1"/>
    <m/>
    <m/>
    <m/>
    <m/>
    <m/>
    <m/>
    <m/>
  </r>
  <r>
    <x v="9"/>
    <x v="6"/>
    <n v="4"/>
    <m/>
    <m/>
    <m/>
    <m/>
    <m/>
    <m/>
    <m/>
  </r>
  <r>
    <x v="9"/>
    <x v="20"/>
    <n v="1"/>
    <m/>
    <m/>
    <m/>
    <m/>
    <m/>
    <m/>
    <m/>
  </r>
  <r>
    <x v="9"/>
    <x v="65"/>
    <n v="3"/>
    <m/>
    <m/>
    <m/>
    <m/>
    <m/>
    <m/>
    <m/>
  </r>
  <r>
    <x v="9"/>
    <x v="11"/>
    <n v="5"/>
    <m/>
    <m/>
    <m/>
    <m/>
    <m/>
    <m/>
    <m/>
  </r>
  <r>
    <x v="9"/>
    <x v="52"/>
    <n v="1"/>
    <m/>
    <m/>
    <m/>
    <m/>
    <m/>
    <m/>
    <m/>
  </r>
  <r>
    <x v="9"/>
    <x v="33"/>
    <n v="2"/>
    <m/>
    <m/>
    <m/>
    <m/>
    <m/>
    <m/>
    <m/>
  </r>
  <r>
    <x v="9"/>
    <x v="7"/>
    <n v="2"/>
    <m/>
    <m/>
    <m/>
    <m/>
    <m/>
    <m/>
    <m/>
  </r>
  <r>
    <x v="9"/>
    <x v="39"/>
    <n v="2"/>
    <m/>
    <m/>
    <m/>
    <m/>
    <m/>
    <m/>
    <m/>
  </r>
  <r>
    <x v="9"/>
    <x v="8"/>
    <n v="4"/>
    <m/>
    <m/>
    <m/>
    <m/>
    <m/>
    <m/>
    <m/>
  </r>
  <r>
    <x v="9"/>
    <x v="33"/>
    <n v="2"/>
    <m/>
    <m/>
    <m/>
    <m/>
    <m/>
    <m/>
    <m/>
  </r>
  <r>
    <x v="9"/>
    <x v="27"/>
    <n v="3"/>
    <m/>
    <m/>
    <m/>
    <m/>
    <m/>
    <m/>
    <m/>
  </r>
  <r>
    <x v="9"/>
    <x v="52"/>
    <n v="2"/>
    <m/>
    <m/>
    <m/>
    <m/>
    <m/>
    <m/>
    <m/>
  </r>
  <r>
    <x v="9"/>
    <x v="33"/>
    <n v="1"/>
    <m/>
    <m/>
    <m/>
    <m/>
    <m/>
    <m/>
    <m/>
  </r>
  <r>
    <x v="9"/>
    <x v="20"/>
    <n v="1"/>
    <m/>
    <m/>
    <m/>
    <m/>
    <m/>
    <m/>
    <m/>
  </r>
  <r>
    <x v="9"/>
    <x v="57"/>
    <n v="4"/>
    <m/>
    <m/>
    <m/>
    <m/>
    <m/>
    <m/>
    <m/>
  </r>
  <r>
    <x v="9"/>
    <x v="5"/>
    <n v="1"/>
    <m/>
    <m/>
    <m/>
    <m/>
    <m/>
    <m/>
    <m/>
  </r>
  <r>
    <x v="9"/>
    <x v="15"/>
    <n v="4"/>
    <m/>
    <m/>
    <m/>
    <m/>
    <m/>
    <m/>
    <m/>
  </r>
  <r>
    <x v="9"/>
    <x v="51"/>
    <n v="3"/>
    <m/>
    <m/>
    <m/>
    <m/>
    <m/>
    <m/>
    <m/>
  </r>
  <r>
    <x v="9"/>
    <x v="28"/>
    <n v="7"/>
    <m/>
    <m/>
    <m/>
    <m/>
    <m/>
    <m/>
    <m/>
  </r>
  <r>
    <x v="9"/>
    <x v="32"/>
    <n v="10"/>
    <m/>
    <m/>
    <m/>
    <m/>
    <m/>
    <m/>
    <m/>
  </r>
  <r>
    <x v="9"/>
    <x v="58"/>
    <n v="2"/>
    <m/>
    <m/>
    <m/>
    <m/>
    <m/>
    <m/>
    <m/>
  </r>
  <r>
    <x v="9"/>
    <x v="17"/>
    <n v="1"/>
    <m/>
    <m/>
    <m/>
    <m/>
    <m/>
    <m/>
    <m/>
  </r>
  <r>
    <x v="9"/>
    <x v="36"/>
    <n v="18"/>
    <m/>
    <m/>
    <m/>
    <m/>
    <m/>
    <m/>
    <m/>
  </r>
  <r>
    <x v="9"/>
    <x v="6"/>
    <n v="6"/>
    <m/>
    <m/>
    <m/>
    <m/>
    <m/>
    <m/>
    <m/>
  </r>
  <r>
    <x v="9"/>
    <x v="20"/>
    <n v="4"/>
    <m/>
    <m/>
    <m/>
    <m/>
    <m/>
    <m/>
    <m/>
  </r>
  <r>
    <x v="9"/>
    <x v="33"/>
    <n v="30"/>
    <m/>
    <m/>
    <m/>
    <m/>
    <m/>
    <m/>
    <m/>
  </r>
  <r>
    <x v="9"/>
    <x v="39"/>
    <n v="10"/>
    <m/>
    <m/>
    <m/>
    <m/>
    <m/>
    <m/>
    <m/>
  </r>
  <r>
    <x v="9"/>
    <x v="28"/>
    <n v="1"/>
    <m/>
    <m/>
    <m/>
    <m/>
    <m/>
    <m/>
    <m/>
  </r>
  <r>
    <x v="9"/>
    <x v="32"/>
    <n v="1"/>
    <m/>
    <m/>
    <m/>
    <m/>
    <m/>
    <m/>
    <m/>
  </r>
  <r>
    <x v="9"/>
    <x v="29"/>
    <n v="1"/>
    <m/>
    <m/>
    <m/>
    <m/>
    <m/>
    <m/>
    <m/>
  </r>
  <r>
    <x v="9"/>
    <x v="15"/>
    <n v="8"/>
    <m/>
    <m/>
    <m/>
    <m/>
    <m/>
    <m/>
    <m/>
  </r>
  <r>
    <x v="9"/>
    <x v="60"/>
    <n v="2"/>
    <m/>
    <m/>
    <m/>
    <m/>
    <m/>
    <m/>
    <m/>
  </r>
  <r>
    <x v="9"/>
    <x v="18"/>
    <n v="6"/>
    <m/>
    <m/>
    <m/>
    <m/>
    <m/>
    <m/>
    <m/>
  </r>
  <r>
    <x v="9"/>
    <x v="37"/>
    <n v="1"/>
    <m/>
    <m/>
    <m/>
    <m/>
    <m/>
    <m/>
    <m/>
  </r>
  <r>
    <x v="9"/>
    <x v="3"/>
    <n v="21"/>
    <m/>
    <m/>
    <m/>
    <m/>
    <m/>
    <m/>
    <m/>
  </r>
  <r>
    <x v="9"/>
    <x v="3"/>
    <n v="4"/>
    <m/>
    <m/>
    <m/>
    <m/>
    <m/>
    <m/>
    <m/>
  </r>
  <r>
    <x v="9"/>
    <x v="6"/>
    <n v="5"/>
    <m/>
    <m/>
    <m/>
    <m/>
    <m/>
    <m/>
    <m/>
  </r>
  <r>
    <x v="9"/>
    <x v="33"/>
    <n v="30"/>
    <m/>
    <m/>
    <m/>
    <m/>
    <m/>
    <m/>
    <m/>
  </r>
  <r>
    <x v="9"/>
    <x v="7"/>
    <n v="10"/>
    <m/>
    <m/>
    <m/>
    <m/>
    <m/>
    <m/>
    <m/>
  </r>
  <r>
    <x v="9"/>
    <x v="15"/>
    <n v="3"/>
    <m/>
    <m/>
    <m/>
    <m/>
    <m/>
    <m/>
    <m/>
  </r>
  <r>
    <x v="9"/>
    <x v="3"/>
    <n v="3"/>
    <m/>
    <m/>
    <m/>
    <m/>
    <m/>
    <m/>
    <m/>
  </r>
  <r>
    <x v="9"/>
    <x v="65"/>
    <n v="3"/>
    <m/>
    <m/>
    <m/>
    <m/>
    <m/>
    <m/>
    <m/>
  </r>
  <r>
    <x v="9"/>
    <x v="0"/>
    <n v="1"/>
    <m/>
    <m/>
    <m/>
    <m/>
    <m/>
    <m/>
    <m/>
  </r>
  <r>
    <x v="9"/>
    <x v="28"/>
    <n v="3"/>
    <m/>
    <m/>
    <m/>
    <m/>
    <m/>
    <m/>
    <m/>
  </r>
  <r>
    <x v="9"/>
    <x v="34"/>
    <n v="4"/>
    <m/>
    <m/>
    <m/>
    <m/>
    <m/>
    <m/>
    <m/>
  </r>
  <r>
    <x v="9"/>
    <x v="58"/>
    <n v="2"/>
    <m/>
    <m/>
    <m/>
    <m/>
    <m/>
    <m/>
    <m/>
  </r>
  <r>
    <x v="9"/>
    <x v="56"/>
    <n v="2"/>
    <m/>
    <m/>
    <m/>
    <m/>
    <m/>
    <m/>
    <m/>
  </r>
  <r>
    <x v="9"/>
    <x v="67"/>
    <n v="2"/>
    <m/>
    <m/>
    <m/>
    <m/>
    <m/>
    <m/>
    <m/>
  </r>
  <r>
    <x v="9"/>
    <x v="35"/>
    <n v="4"/>
    <m/>
    <m/>
    <m/>
    <m/>
    <m/>
    <m/>
    <m/>
  </r>
  <r>
    <x v="9"/>
    <x v="13"/>
    <n v="2"/>
    <m/>
    <m/>
    <m/>
    <m/>
    <m/>
    <m/>
    <m/>
  </r>
  <r>
    <x v="9"/>
    <x v="14"/>
    <n v="1"/>
    <m/>
    <m/>
    <m/>
    <m/>
    <m/>
    <m/>
    <m/>
  </r>
  <r>
    <x v="9"/>
    <x v="15"/>
    <n v="2"/>
    <m/>
    <m/>
    <m/>
    <m/>
    <m/>
    <m/>
    <m/>
  </r>
  <r>
    <x v="9"/>
    <x v="68"/>
    <n v="1"/>
    <m/>
    <m/>
    <m/>
    <m/>
    <m/>
    <m/>
    <m/>
  </r>
  <r>
    <x v="9"/>
    <x v="60"/>
    <n v="1"/>
    <m/>
    <m/>
    <m/>
    <m/>
    <m/>
    <m/>
    <m/>
  </r>
  <r>
    <x v="9"/>
    <x v="17"/>
    <n v="1"/>
    <m/>
    <m/>
    <m/>
    <m/>
    <m/>
    <m/>
    <m/>
  </r>
  <r>
    <x v="9"/>
    <x v="36"/>
    <n v="4"/>
    <m/>
    <m/>
    <m/>
    <m/>
    <m/>
    <m/>
    <m/>
  </r>
  <r>
    <x v="9"/>
    <x v="18"/>
    <n v="1"/>
    <m/>
    <m/>
    <m/>
    <m/>
    <m/>
    <m/>
    <m/>
  </r>
  <r>
    <x v="9"/>
    <x v="48"/>
    <n v="1"/>
    <m/>
    <m/>
    <m/>
    <m/>
    <m/>
    <m/>
    <m/>
  </r>
  <r>
    <x v="9"/>
    <x v="30"/>
    <n v="1"/>
    <m/>
    <m/>
    <m/>
    <m/>
    <m/>
    <m/>
    <m/>
  </r>
  <r>
    <x v="9"/>
    <x v="3"/>
    <n v="8"/>
    <m/>
    <m/>
    <m/>
    <m/>
    <m/>
    <m/>
    <m/>
  </r>
  <r>
    <x v="9"/>
    <x v="19"/>
    <n v="1"/>
    <m/>
    <m/>
    <m/>
    <m/>
    <m/>
    <m/>
    <m/>
  </r>
  <r>
    <x v="9"/>
    <x v="6"/>
    <n v="12"/>
    <m/>
    <m/>
    <m/>
    <m/>
    <m/>
    <m/>
    <m/>
  </r>
  <r>
    <x v="9"/>
    <x v="20"/>
    <n v="3"/>
    <m/>
    <m/>
    <m/>
    <m/>
    <m/>
    <m/>
    <m/>
  </r>
  <r>
    <x v="9"/>
    <x v="38"/>
    <n v="4"/>
    <m/>
    <m/>
    <m/>
    <m/>
    <m/>
    <m/>
    <m/>
  </r>
  <r>
    <x v="9"/>
    <x v="11"/>
    <n v="2"/>
    <m/>
    <m/>
    <m/>
    <m/>
    <m/>
    <m/>
    <m/>
  </r>
  <r>
    <x v="9"/>
    <x v="33"/>
    <n v="4"/>
    <m/>
    <m/>
    <m/>
    <m/>
    <m/>
    <m/>
    <m/>
  </r>
  <r>
    <x v="9"/>
    <x v="7"/>
    <n v="2"/>
    <m/>
    <m/>
    <m/>
    <m/>
    <m/>
    <m/>
    <m/>
  </r>
  <r>
    <x v="9"/>
    <x v="39"/>
    <n v="4"/>
    <m/>
    <m/>
    <m/>
    <m/>
    <m/>
    <m/>
    <m/>
  </r>
  <r>
    <x v="9"/>
    <x v="40"/>
    <n v="4"/>
    <m/>
    <m/>
    <m/>
    <m/>
    <m/>
    <m/>
    <m/>
  </r>
  <r>
    <x v="9"/>
    <x v="41"/>
    <n v="6"/>
    <m/>
    <m/>
    <m/>
    <m/>
    <m/>
    <m/>
    <m/>
  </r>
  <r>
    <x v="9"/>
    <x v="42"/>
    <n v="3"/>
    <m/>
    <m/>
    <m/>
    <m/>
    <m/>
    <m/>
    <m/>
  </r>
  <r>
    <x v="9"/>
    <x v="43"/>
    <n v="2"/>
    <m/>
    <m/>
    <m/>
    <m/>
    <m/>
    <m/>
    <m/>
  </r>
  <r>
    <x v="9"/>
    <x v="10"/>
    <n v="2"/>
    <m/>
    <m/>
    <m/>
    <m/>
    <m/>
    <m/>
    <m/>
  </r>
  <r>
    <x v="9"/>
    <x v="44"/>
    <n v="3"/>
    <m/>
    <m/>
    <m/>
    <m/>
    <m/>
    <m/>
    <m/>
  </r>
  <r>
    <x v="9"/>
    <x v="45"/>
    <n v="1"/>
    <m/>
    <m/>
    <m/>
    <m/>
    <m/>
    <m/>
    <m/>
  </r>
  <r>
    <x v="9"/>
    <x v="46"/>
    <n v="1"/>
    <m/>
    <m/>
    <m/>
    <m/>
    <m/>
    <m/>
    <m/>
  </r>
  <r>
    <x v="9"/>
    <x v="32"/>
    <n v="10"/>
    <m/>
    <m/>
    <m/>
    <m/>
    <m/>
    <m/>
    <m/>
  </r>
  <r>
    <x v="9"/>
    <x v="58"/>
    <n v="1"/>
    <m/>
    <m/>
    <m/>
    <m/>
    <m/>
    <m/>
    <m/>
  </r>
  <r>
    <x v="9"/>
    <x v="17"/>
    <n v="1"/>
    <m/>
    <m/>
    <m/>
    <m/>
    <m/>
    <m/>
    <m/>
  </r>
  <r>
    <x v="9"/>
    <x v="36"/>
    <n v="18"/>
    <m/>
    <m/>
    <m/>
    <m/>
    <m/>
    <m/>
    <m/>
  </r>
  <r>
    <x v="9"/>
    <x v="20"/>
    <n v="4"/>
    <m/>
    <m/>
    <m/>
    <m/>
    <m/>
    <m/>
    <m/>
  </r>
  <r>
    <x v="9"/>
    <x v="21"/>
    <n v="1"/>
    <m/>
    <m/>
    <m/>
    <m/>
    <m/>
    <m/>
    <m/>
  </r>
  <r>
    <x v="9"/>
    <x v="3"/>
    <n v="2"/>
    <m/>
    <m/>
    <m/>
    <m/>
    <m/>
    <m/>
    <m/>
  </r>
  <r>
    <x v="10"/>
    <x v="0"/>
    <n v="3"/>
    <m/>
    <m/>
    <m/>
    <m/>
    <m/>
    <m/>
    <m/>
  </r>
  <r>
    <x v="10"/>
    <x v="32"/>
    <n v="2"/>
    <m/>
    <m/>
    <m/>
    <m/>
    <m/>
    <m/>
    <m/>
  </r>
  <r>
    <x v="10"/>
    <x v="57"/>
    <n v="2"/>
    <m/>
    <m/>
    <m/>
    <m/>
    <m/>
    <m/>
    <m/>
  </r>
  <r>
    <x v="10"/>
    <x v="34"/>
    <n v="6"/>
    <m/>
    <m/>
    <m/>
    <m/>
    <m/>
    <m/>
    <m/>
  </r>
  <r>
    <x v="10"/>
    <x v="67"/>
    <n v="2"/>
    <m/>
    <m/>
    <m/>
    <m/>
    <m/>
    <m/>
    <m/>
  </r>
  <r>
    <x v="10"/>
    <x v="59"/>
    <n v="1"/>
    <m/>
    <m/>
    <m/>
    <m/>
    <m/>
    <m/>
    <m/>
  </r>
  <r>
    <x v="10"/>
    <x v="1"/>
    <n v="7"/>
    <m/>
    <m/>
    <m/>
    <m/>
    <m/>
    <m/>
    <m/>
  </r>
  <r>
    <x v="10"/>
    <x v="2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36"/>
    <n v="1"/>
    <m/>
    <m/>
    <m/>
    <m/>
    <m/>
    <m/>
    <m/>
  </r>
  <r>
    <x v="10"/>
    <x v="18"/>
    <n v="8"/>
    <m/>
    <m/>
    <m/>
    <m/>
    <m/>
    <m/>
    <m/>
  </r>
  <r>
    <x v="10"/>
    <x v="51"/>
    <n v="2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3"/>
    <n v="21"/>
    <m/>
    <m/>
    <m/>
    <m/>
    <m/>
    <m/>
    <m/>
  </r>
  <r>
    <x v="10"/>
    <x v="4"/>
    <n v="11"/>
    <m/>
    <m/>
    <m/>
    <m/>
    <m/>
    <m/>
    <m/>
  </r>
  <r>
    <x v="10"/>
    <x v="5"/>
    <n v="1"/>
    <m/>
    <m/>
    <m/>
    <m/>
    <m/>
    <m/>
    <m/>
  </r>
  <r>
    <x v="10"/>
    <x v="6"/>
    <n v="8"/>
    <m/>
    <m/>
    <m/>
    <m/>
    <m/>
    <m/>
    <m/>
  </r>
  <r>
    <x v="10"/>
    <x v="20"/>
    <n v="6"/>
    <m/>
    <m/>
    <m/>
    <m/>
    <m/>
    <m/>
    <m/>
  </r>
  <r>
    <x v="10"/>
    <x v="65"/>
    <n v="2"/>
    <m/>
    <m/>
    <m/>
    <m/>
    <m/>
    <m/>
    <m/>
  </r>
  <r>
    <x v="10"/>
    <x v="11"/>
    <n v="5"/>
    <m/>
    <m/>
    <m/>
    <m/>
    <m/>
    <m/>
    <m/>
  </r>
  <r>
    <x v="10"/>
    <x v="33"/>
    <n v="10"/>
    <m/>
    <m/>
    <m/>
    <m/>
    <m/>
    <m/>
    <m/>
  </r>
  <r>
    <x v="10"/>
    <x v="7"/>
    <n v="3"/>
    <m/>
    <m/>
    <m/>
    <m/>
    <m/>
    <m/>
    <m/>
  </r>
  <r>
    <x v="10"/>
    <x v="27"/>
    <n v="2"/>
    <m/>
    <m/>
    <m/>
    <m/>
    <m/>
    <m/>
    <m/>
  </r>
  <r>
    <x v="10"/>
    <x v="8"/>
    <n v="7"/>
    <m/>
    <m/>
    <m/>
    <m/>
    <m/>
    <m/>
    <m/>
  </r>
  <r>
    <x v="10"/>
    <x v="15"/>
    <n v="2"/>
    <m/>
    <m/>
    <m/>
    <m/>
    <m/>
    <m/>
    <m/>
  </r>
  <r>
    <x v="10"/>
    <x v="3"/>
    <n v="2"/>
    <m/>
    <m/>
    <m/>
    <m/>
    <m/>
    <m/>
    <m/>
  </r>
  <r>
    <x v="10"/>
    <x v="5"/>
    <n v="1"/>
    <m/>
    <m/>
    <m/>
    <m/>
    <m/>
    <m/>
    <m/>
  </r>
  <r>
    <x v="10"/>
    <x v="33"/>
    <n v="5"/>
    <m/>
    <m/>
    <m/>
    <m/>
    <m/>
    <m/>
    <m/>
  </r>
  <r>
    <x v="10"/>
    <x v="42"/>
    <n v="2"/>
    <m/>
    <m/>
    <m/>
    <m/>
    <m/>
    <m/>
    <m/>
  </r>
  <r>
    <x v="10"/>
    <x v="9"/>
    <n v="1"/>
    <m/>
    <m/>
    <m/>
    <m/>
    <m/>
    <m/>
    <m/>
  </r>
  <r>
    <x v="10"/>
    <x v="3"/>
    <n v="2"/>
    <m/>
    <m/>
    <m/>
    <m/>
    <m/>
    <m/>
    <m/>
  </r>
  <r>
    <x v="10"/>
    <x v="57"/>
    <n v="2"/>
    <m/>
    <m/>
    <m/>
    <m/>
    <m/>
    <m/>
    <m/>
  </r>
  <r>
    <x v="10"/>
    <x v="59"/>
    <n v="1"/>
    <m/>
    <m/>
    <m/>
    <m/>
    <m/>
    <m/>
    <m/>
  </r>
  <r>
    <x v="10"/>
    <x v="2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18"/>
    <n v="8"/>
    <m/>
    <m/>
    <m/>
    <m/>
    <m/>
    <m/>
    <m/>
  </r>
  <r>
    <x v="10"/>
    <x v="51"/>
    <n v="2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3"/>
    <n v="21"/>
    <m/>
    <m/>
    <m/>
    <m/>
    <m/>
    <m/>
    <m/>
  </r>
  <r>
    <x v="10"/>
    <x v="5"/>
    <n v="1"/>
    <m/>
    <m/>
    <m/>
    <m/>
    <m/>
    <m/>
    <m/>
  </r>
  <r>
    <x v="10"/>
    <x v="6"/>
    <n v="2"/>
    <m/>
    <m/>
    <m/>
    <m/>
    <m/>
    <m/>
    <m/>
  </r>
  <r>
    <x v="10"/>
    <x v="20"/>
    <n v="5"/>
    <m/>
    <m/>
    <m/>
    <m/>
    <m/>
    <m/>
    <m/>
  </r>
  <r>
    <x v="10"/>
    <x v="11"/>
    <n v="5"/>
    <m/>
    <m/>
    <m/>
    <m/>
    <m/>
    <m/>
    <m/>
  </r>
  <r>
    <x v="10"/>
    <x v="33"/>
    <n v="3"/>
    <m/>
    <m/>
    <m/>
    <m/>
    <m/>
    <m/>
    <m/>
  </r>
  <r>
    <x v="10"/>
    <x v="27"/>
    <n v="2"/>
    <m/>
    <m/>
    <m/>
    <m/>
    <m/>
    <m/>
    <m/>
  </r>
  <r>
    <x v="10"/>
    <x v="75"/>
    <n v="2"/>
    <m/>
    <m/>
    <m/>
    <m/>
    <m/>
    <m/>
    <m/>
  </r>
  <r>
    <x v="10"/>
    <x v="76"/>
    <n v="9"/>
    <m/>
    <m/>
    <m/>
    <m/>
    <m/>
    <m/>
    <m/>
  </r>
  <r>
    <x v="10"/>
    <x v="59"/>
    <n v="8"/>
    <m/>
    <m/>
    <m/>
    <m/>
    <m/>
    <m/>
    <m/>
  </r>
  <r>
    <x v="10"/>
    <x v="3"/>
    <n v="13"/>
    <m/>
    <m/>
    <m/>
    <m/>
    <m/>
    <m/>
    <m/>
  </r>
  <r>
    <x v="10"/>
    <x v="33"/>
    <n v="9"/>
    <m/>
    <m/>
    <m/>
    <m/>
    <m/>
    <m/>
    <m/>
  </r>
  <r>
    <x v="10"/>
    <x v="8"/>
    <n v="6"/>
    <m/>
    <m/>
    <m/>
    <m/>
    <m/>
    <m/>
    <m/>
  </r>
  <r>
    <x v="10"/>
    <x v="3"/>
    <n v="1"/>
    <m/>
    <m/>
    <m/>
    <m/>
    <m/>
    <m/>
    <m/>
  </r>
  <r>
    <x v="10"/>
    <x v="0"/>
    <n v="3"/>
    <m/>
    <m/>
    <m/>
    <m/>
    <m/>
    <m/>
    <m/>
  </r>
  <r>
    <x v="10"/>
    <x v="32"/>
    <n v="2"/>
    <m/>
    <m/>
    <m/>
    <m/>
    <m/>
    <m/>
    <m/>
  </r>
  <r>
    <x v="10"/>
    <x v="34"/>
    <n v="6"/>
    <m/>
    <m/>
    <m/>
    <m/>
    <m/>
    <m/>
    <m/>
  </r>
  <r>
    <x v="10"/>
    <x v="67"/>
    <n v="2"/>
    <m/>
    <m/>
    <m/>
    <m/>
    <m/>
    <m/>
    <m/>
  </r>
  <r>
    <x v="10"/>
    <x v="1"/>
    <n v="7"/>
    <m/>
    <m/>
    <m/>
    <m/>
    <m/>
    <m/>
    <m/>
  </r>
  <r>
    <x v="10"/>
    <x v="36"/>
    <n v="1"/>
    <m/>
    <m/>
    <m/>
    <m/>
    <m/>
    <m/>
    <m/>
  </r>
  <r>
    <x v="10"/>
    <x v="4"/>
    <n v="11"/>
    <m/>
    <m/>
    <m/>
    <m/>
    <m/>
    <m/>
    <m/>
  </r>
  <r>
    <x v="10"/>
    <x v="6"/>
    <n v="6"/>
    <m/>
    <m/>
    <m/>
    <m/>
    <m/>
    <m/>
    <m/>
  </r>
  <r>
    <x v="10"/>
    <x v="65"/>
    <n v="2"/>
    <m/>
    <m/>
    <m/>
    <m/>
    <m/>
    <m/>
    <m/>
  </r>
  <r>
    <x v="10"/>
    <x v="33"/>
    <n v="7"/>
    <m/>
    <m/>
    <m/>
    <m/>
    <m/>
    <m/>
    <m/>
  </r>
  <r>
    <x v="10"/>
    <x v="7"/>
    <n v="3"/>
    <m/>
    <m/>
    <m/>
    <m/>
    <m/>
    <m/>
    <m/>
  </r>
  <r>
    <x v="10"/>
    <x v="8"/>
    <n v="7"/>
    <m/>
    <m/>
    <m/>
    <m/>
    <m/>
    <m/>
    <m/>
  </r>
  <r>
    <x v="10"/>
    <x v="3"/>
    <n v="2"/>
    <m/>
    <m/>
    <m/>
    <m/>
    <m/>
    <m/>
    <m/>
  </r>
  <r>
    <x v="10"/>
    <x v="2"/>
    <n v="1"/>
    <m/>
    <m/>
    <m/>
    <m/>
    <m/>
    <m/>
    <m/>
  </r>
  <r>
    <x v="10"/>
    <x v="5"/>
    <n v="1"/>
    <m/>
    <m/>
    <m/>
    <m/>
    <m/>
    <m/>
    <m/>
  </r>
  <r>
    <x v="10"/>
    <x v="3"/>
    <n v="11"/>
    <m/>
    <m/>
    <m/>
    <m/>
    <m/>
    <m/>
    <m/>
  </r>
  <r>
    <x v="10"/>
    <x v="37"/>
    <n v="5"/>
    <m/>
    <m/>
    <m/>
    <m/>
    <m/>
    <m/>
    <m/>
  </r>
  <r>
    <x v="10"/>
    <x v="30"/>
    <n v="5"/>
    <m/>
    <m/>
    <m/>
    <m/>
    <m/>
    <m/>
    <m/>
  </r>
  <r>
    <x v="10"/>
    <x v="11"/>
    <n v="5"/>
    <m/>
    <m/>
    <m/>
    <m/>
    <m/>
    <m/>
    <m/>
  </r>
  <r>
    <x v="10"/>
    <x v="12"/>
    <n v="1"/>
    <m/>
    <m/>
    <m/>
    <m/>
    <m/>
    <m/>
    <m/>
  </r>
  <r>
    <x v="10"/>
    <x v="15"/>
    <n v="1"/>
    <m/>
    <m/>
    <m/>
    <m/>
    <m/>
    <m/>
    <m/>
  </r>
  <r>
    <x v="10"/>
    <x v="48"/>
    <n v="2"/>
    <m/>
    <m/>
    <m/>
    <m/>
    <m/>
    <m/>
    <m/>
  </r>
  <r>
    <x v="10"/>
    <x v="3"/>
    <n v="2"/>
    <m/>
    <m/>
    <m/>
    <m/>
    <m/>
    <m/>
    <m/>
  </r>
  <r>
    <x v="10"/>
    <x v="21"/>
    <n v="1"/>
    <m/>
    <m/>
    <m/>
    <m/>
    <m/>
    <m/>
    <m/>
  </r>
  <r>
    <x v="10"/>
    <x v="57"/>
    <n v="35"/>
    <m/>
    <m/>
    <m/>
    <m/>
    <m/>
    <m/>
    <m/>
  </r>
  <r>
    <x v="10"/>
    <x v="60"/>
    <n v="1"/>
    <m/>
    <m/>
    <m/>
    <m/>
    <m/>
    <m/>
    <m/>
  </r>
  <r>
    <x v="10"/>
    <x v="3"/>
    <n v="1"/>
    <m/>
    <m/>
    <m/>
    <m/>
    <m/>
    <m/>
    <m/>
  </r>
  <r>
    <x v="10"/>
    <x v="4"/>
    <n v="15"/>
    <m/>
    <m/>
    <m/>
    <m/>
    <m/>
    <m/>
    <m/>
  </r>
  <r>
    <x v="10"/>
    <x v="33"/>
    <n v="3"/>
    <m/>
    <m/>
    <m/>
    <m/>
    <m/>
    <m/>
    <m/>
  </r>
  <r>
    <x v="10"/>
    <x v="8"/>
    <n v="1"/>
    <m/>
    <m/>
    <m/>
    <m/>
    <m/>
    <m/>
    <m/>
  </r>
  <r>
    <x v="10"/>
    <x v="61"/>
    <n v="4"/>
    <m/>
    <m/>
    <m/>
    <m/>
    <m/>
    <m/>
    <m/>
  </r>
  <r>
    <x v="10"/>
    <x v="22"/>
    <n v="39"/>
    <m/>
    <m/>
    <m/>
    <m/>
    <m/>
    <m/>
    <m/>
  </r>
  <r>
    <x v="10"/>
    <x v="23"/>
    <n v="8"/>
    <m/>
    <m/>
    <m/>
    <m/>
    <m/>
    <m/>
    <m/>
  </r>
  <r>
    <x v="10"/>
    <x v="24"/>
    <n v="5"/>
    <m/>
    <m/>
    <m/>
    <m/>
    <m/>
    <m/>
    <m/>
  </r>
  <r>
    <x v="10"/>
    <x v="63"/>
    <n v="6"/>
    <m/>
    <m/>
    <m/>
    <m/>
    <m/>
    <m/>
    <m/>
  </r>
  <r>
    <x v="10"/>
    <x v="74"/>
    <n v="4"/>
    <m/>
    <m/>
    <m/>
    <m/>
    <m/>
    <m/>
    <m/>
  </r>
  <r>
    <x v="10"/>
    <x v="70"/>
    <n v="1"/>
    <m/>
    <m/>
    <m/>
    <m/>
    <m/>
    <m/>
    <m/>
  </r>
  <r>
    <x v="10"/>
    <x v="26"/>
    <n v="30"/>
    <m/>
    <m/>
    <m/>
    <m/>
    <m/>
    <m/>
    <m/>
  </r>
  <r>
    <x v="10"/>
    <x v="49"/>
    <n v="2"/>
    <m/>
    <m/>
    <m/>
    <m/>
    <m/>
    <m/>
    <m/>
  </r>
  <r>
    <x v="10"/>
    <x v="74"/>
    <n v="4"/>
    <m/>
    <m/>
    <m/>
    <m/>
    <m/>
    <m/>
    <m/>
  </r>
  <r>
    <x v="10"/>
    <x v="63"/>
    <n v="6"/>
    <m/>
    <m/>
    <m/>
    <m/>
    <m/>
    <m/>
    <m/>
  </r>
  <r>
    <x v="10"/>
    <x v="15"/>
    <n v="2"/>
    <m/>
    <m/>
    <m/>
    <m/>
    <m/>
    <m/>
    <m/>
  </r>
  <r>
    <x v="10"/>
    <x v="3"/>
    <n v="2"/>
    <m/>
    <m/>
    <m/>
    <m/>
    <m/>
    <m/>
    <m/>
  </r>
  <r>
    <x v="10"/>
    <x v="5"/>
    <n v="2"/>
    <m/>
    <m/>
    <m/>
    <m/>
    <m/>
    <m/>
    <m/>
  </r>
  <r>
    <x v="10"/>
    <x v="33"/>
    <n v="5"/>
    <m/>
    <m/>
    <m/>
    <m/>
    <m/>
    <m/>
    <m/>
  </r>
  <r>
    <x v="10"/>
    <x v="40"/>
    <n v="3"/>
    <m/>
    <m/>
    <m/>
    <m/>
    <m/>
    <m/>
    <m/>
  </r>
  <r>
    <x v="10"/>
    <x v="42"/>
    <n v="2"/>
    <m/>
    <m/>
    <m/>
    <m/>
    <m/>
    <m/>
    <m/>
  </r>
  <r>
    <x v="10"/>
    <x v="28"/>
    <n v="1"/>
    <m/>
    <m/>
    <m/>
    <m/>
    <m/>
    <m/>
    <m/>
  </r>
  <r>
    <x v="10"/>
    <x v="32"/>
    <n v="1"/>
    <m/>
    <m/>
    <m/>
    <m/>
    <m/>
    <m/>
    <m/>
  </r>
  <r>
    <x v="10"/>
    <x v="1"/>
    <n v="6"/>
    <m/>
    <m/>
    <m/>
    <m/>
    <m/>
    <m/>
    <m/>
  </r>
  <r>
    <x v="10"/>
    <x v="15"/>
    <n v="1"/>
    <m/>
    <m/>
    <m/>
    <m/>
    <m/>
    <m/>
    <m/>
  </r>
  <r>
    <x v="10"/>
    <x v="4"/>
    <n v="1"/>
    <m/>
    <m/>
    <m/>
    <m/>
    <m/>
    <m/>
    <m/>
  </r>
  <r>
    <x v="10"/>
    <x v="33"/>
    <n v="1"/>
    <m/>
    <m/>
    <m/>
    <m/>
    <m/>
    <m/>
    <m/>
  </r>
  <r>
    <x v="10"/>
    <x v="42"/>
    <n v="1"/>
    <m/>
    <m/>
    <m/>
    <m/>
    <m/>
    <m/>
    <m/>
  </r>
  <r>
    <x v="10"/>
    <x v="8"/>
    <n v="1"/>
    <m/>
    <m/>
    <m/>
    <m/>
    <m/>
    <m/>
    <m/>
  </r>
  <r>
    <x v="10"/>
    <x v="21"/>
    <n v="1"/>
    <m/>
    <m/>
    <m/>
    <m/>
    <m/>
    <m/>
    <m/>
  </r>
  <r>
    <x v="10"/>
    <x v="28"/>
    <n v="1"/>
    <m/>
    <m/>
    <m/>
    <m/>
    <m/>
    <m/>
    <m/>
  </r>
  <r>
    <x v="10"/>
    <x v="32"/>
    <n v="1"/>
    <m/>
    <m/>
    <m/>
    <m/>
    <m/>
    <m/>
    <m/>
  </r>
  <r>
    <x v="10"/>
    <x v="12"/>
    <n v="1"/>
    <m/>
    <m/>
    <m/>
    <m/>
    <m/>
    <m/>
    <m/>
  </r>
  <r>
    <x v="10"/>
    <x v="1"/>
    <n v="6"/>
    <m/>
    <m/>
    <m/>
    <m/>
    <m/>
    <m/>
    <m/>
  </r>
  <r>
    <x v="10"/>
    <x v="2"/>
    <n v="2"/>
    <m/>
    <m/>
    <m/>
    <m/>
    <m/>
    <m/>
    <m/>
  </r>
  <r>
    <x v="10"/>
    <x v="15"/>
    <n v="2"/>
    <m/>
    <m/>
    <m/>
    <m/>
    <m/>
    <m/>
    <m/>
  </r>
  <r>
    <x v="10"/>
    <x v="9"/>
    <n v="1"/>
    <m/>
    <m/>
    <m/>
    <m/>
    <m/>
    <m/>
    <m/>
  </r>
  <r>
    <x v="10"/>
    <x v="48"/>
    <n v="2"/>
    <m/>
    <m/>
    <m/>
    <m/>
    <m/>
    <m/>
    <m/>
  </r>
  <r>
    <x v="10"/>
    <x v="51"/>
    <n v="2"/>
    <m/>
    <m/>
    <m/>
    <m/>
    <m/>
    <m/>
    <m/>
  </r>
  <r>
    <x v="10"/>
    <x v="3"/>
    <n v="2"/>
    <m/>
    <m/>
    <m/>
    <m/>
    <m/>
    <m/>
    <m/>
  </r>
  <r>
    <x v="10"/>
    <x v="4"/>
    <n v="1"/>
    <m/>
    <m/>
    <m/>
    <m/>
    <m/>
    <m/>
    <m/>
  </r>
  <r>
    <x v="10"/>
    <x v="6"/>
    <n v="2"/>
    <m/>
    <m/>
    <m/>
    <m/>
    <m/>
    <m/>
    <m/>
  </r>
  <r>
    <x v="10"/>
    <x v="52"/>
    <n v="1"/>
    <m/>
    <m/>
    <m/>
    <m/>
    <m/>
    <m/>
    <m/>
  </r>
  <r>
    <x v="10"/>
    <x v="33"/>
    <n v="1"/>
    <m/>
    <m/>
    <m/>
    <m/>
    <m/>
    <m/>
    <m/>
  </r>
  <r>
    <x v="10"/>
    <x v="53"/>
    <n v="2"/>
    <m/>
    <m/>
    <m/>
    <m/>
    <m/>
    <m/>
    <m/>
  </r>
  <r>
    <x v="10"/>
    <x v="54"/>
    <n v="1"/>
    <m/>
    <m/>
    <m/>
    <m/>
    <m/>
    <m/>
    <m/>
  </r>
  <r>
    <x v="10"/>
    <x v="42"/>
    <n v="1"/>
    <m/>
    <m/>
    <m/>
    <m/>
    <m/>
    <m/>
    <m/>
  </r>
  <r>
    <x v="10"/>
    <x v="8"/>
    <n v="1"/>
    <m/>
    <m/>
    <m/>
    <m/>
    <m/>
    <m/>
    <m/>
  </r>
  <r>
    <x v="10"/>
    <x v="28"/>
    <n v="3"/>
    <m/>
    <m/>
    <m/>
    <m/>
    <m/>
    <m/>
    <m/>
  </r>
  <r>
    <x v="10"/>
    <x v="2"/>
    <n v="3"/>
    <m/>
    <m/>
    <m/>
    <m/>
    <m/>
    <m/>
    <m/>
  </r>
  <r>
    <x v="10"/>
    <x v="18"/>
    <n v="5"/>
    <m/>
    <m/>
    <m/>
    <m/>
    <m/>
    <m/>
    <m/>
  </r>
  <r>
    <x v="10"/>
    <x v="37"/>
    <n v="1"/>
    <m/>
    <m/>
    <m/>
    <m/>
    <m/>
    <m/>
    <m/>
  </r>
  <r>
    <x v="10"/>
    <x v="30"/>
    <n v="1"/>
    <m/>
    <m/>
    <m/>
    <m/>
    <m/>
    <m/>
    <m/>
  </r>
  <r>
    <x v="10"/>
    <x v="3"/>
    <n v="9"/>
    <m/>
    <m/>
    <m/>
    <m/>
    <m/>
    <m/>
    <m/>
  </r>
  <r>
    <x v="10"/>
    <x v="19"/>
    <n v="1"/>
    <m/>
    <m/>
    <m/>
    <m/>
    <m/>
    <m/>
    <m/>
  </r>
  <r>
    <x v="10"/>
    <x v="6"/>
    <n v="3"/>
    <m/>
    <m/>
    <m/>
    <m/>
    <m/>
    <m/>
    <m/>
  </r>
  <r>
    <x v="10"/>
    <x v="20"/>
    <n v="1"/>
    <m/>
    <m/>
    <m/>
    <m/>
    <m/>
    <m/>
    <m/>
  </r>
  <r>
    <x v="10"/>
    <x v="65"/>
    <n v="1"/>
    <m/>
    <m/>
    <m/>
    <m/>
    <m/>
    <m/>
    <m/>
  </r>
  <r>
    <x v="10"/>
    <x v="11"/>
    <n v="7"/>
    <m/>
    <m/>
    <m/>
    <m/>
    <m/>
    <m/>
    <m/>
  </r>
  <r>
    <x v="10"/>
    <x v="33"/>
    <n v="4"/>
    <m/>
    <m/>
    <m/>
    <m/>
    <m/>
    <m/>
    <m/>
  </r>
  <r>
    <x v="10"/>
    <x v="7"/>
    <n v="1"/>
    <m/>
    <m/>
    <m/>
    <m/>
    <m/>
    <m/>
    <m/>
  </r>
  <r>
    <x v="10"/>
    <x v="8"/>
    <n v="2"/>
    <m/>
    <m/>
    <m/>
    <m/>
    <m/>
    <m/>
    <m/>
  </r>
  <r>
    <x v="10"/>
    <x v="66"/>
    <n v="1"/>
    <m/>
    <m/>
    <m/>
    <m/>
    <m/>
    <m/>
    <m/>
  </r>
  <r>
    <x v="10"/>
    <x v="3"/>
    <n v="1"/>
    <m/>
    <m/>
    <m/>
    <m/>
    <m/>
    <m/>
    <m/>
  </r>
  <r>
    <x v="10"/>
    <x v="27"/>
    <n v="1"/>
    <m/>
    <m/>
    <m/>
    <m/>
    <m/>
    <m/>
    <m/>
  </r>
  <r>
    <x v="10"/>
    <x v="20"/>
    <n v="1"/>
    <m/>
    <m/>
    <m/>
    <m/>
    <m/>
    <m/>
    <m/>
  </r>
  <r>
    <x v="10"/>
    <x v="57"/>
    <n v="2"/>
    <m/>
    <m/>
    <m/>
    <m/>
    <m/>
    <m/>
    <m/>
  </r>
  <r>
    <x v="10"/>
    <x v="5"/>
    <n v="1"/>
    <m/>
    <m/>
    <m/>
    <m/>
    <m/>
    <m/>
    <m/>
  </r>
  <r>
    <x v="10"/>
    <x v="15"/>
    <n v="8"/>
    <m/>
    <m/>
    <m/>
    <m/>
    <m/>
    <m/>
    <m/>
  </r>
  <r>
    <x v="10"/>
    <x v="60"/>
    <n v="8"/>
    <m/>
    <m/>
    <m/>
    <m/>
    <m/>
    <m/>
    <m/>
  </r>
  <r>
    <x v="10"/>
    <x v="18"/>
    <n v="8"/>
    <m/>
    <m/>
    <m/>
    <m/>
    <m/>
    <m/>
    <m/>
  </r>
  <r>
    <x v="10"/>
    <x v="23"/>
    <n v="2"/>
    <m/>
    <m/>
    <m/>
    <m/>
    <m/>
    <m/>
    <m/>
  </r>
  <r>
    <x v="10"/>
    <x v="31"/>
    <n v="2"/>
    <m/>
    <m/>
    <m/>
    <m/>
    <m/>
    <m/>
    <m/>
  </r>
  <r>
    <x v="10"/>
    <x v="51"/>
    <n v="2"/>
    <m/>
    <m/>
    <m/>
    <m/>
    <m/>
    <m/>
    <m/>
  </r>
  <r>
    <x v="10"/>
    <x v="28"/>
    <n v="12"/>
    <m/>
    <m/>
    <m/>
    <m/>
    <m/>
    <m/>
    <m/>
  </r>
  <r>
    <x v="10"/>
    <x v="32"/>
    <n v="17"/>
    <m/>
    <m/>
    <m/>
    <m/>
    <m/>
    <m/>
    <m/>
  </r>
  <r>
    <x v="10"/>
    <x v="58"/>
    <n v="2"/>
    <m/>
    <m/>
    <m/>
    <m/>
    <m/>
    <m/>
    <m/>
  </r>
  <r>
    <x v="10"/>
    <x v="67"/>
    <n v="12"/>
    <m/>
    <m/>
    <m/>
    <m/>
    <m/>
    <m/>
    <m/>
  </r>
  <r>
    <x v="10"/>
    <x v="17"/>
    <n v="1"/>
    <m/>
    <m/>
    <m/>
    <m/>
    <m/>
    <m/>
    <m/>
  </r>
  <r>
    <x v="10"/>
    <x v="6"/>
    <n v="18"/>
    <m/>
    <m/>
    <m/>
    <m/>
    <m/>
    <m/>
    <m/>
  </r>
  <r>
    <x v="10"/>
    <x v="20"/>
    <n v="4"/>
    <m/>
    <m/>
    <m/>
    <m/>
    <m/>
    <m/>
    <m/>
  </r>
  <r>
    <x v="10"/>
    <x v="33"/>
    <n v="30"/>
    <m/>
    <m/>
    <m/>
    <m/>
    <m/>
    <m/>
    <m/>
  </r>
  <r>
    <x v="10"/>
    <x v="39"/>
    <n v="10"/>
    <m/>
    <m/>
    <m/>
    <m/>
    <m/>
    <m/>
    <m/>
  </r>
  <r>
    <x v="10"/>
    <x v="8"/>
    <n v="14"/>
    <m/>
    <m/>
    <m/>
    <m/>
    <m/>
    <m/>
    <m/>
  </r>
  <r>
    <x v="10"/>
    <x v="28"/>
    <n v="2"/>
    <m/>
    <m/>
    <m/>
    <m/>
    <m/>
    <m/>
    <m/>
  </r>
  <r>
    <x v="10"/>
    <x v="32"/>
    <n v="1"/>
    <m/>
    <m/>
    <m/>
    <m/>
    <m/>
    <m/>
    <m/>
  </r>
  <r>
    <x v="10"/>
    <x v="29"/>
    <n v="1"/>
    <m/>
    <m/>
    <m/>
    <m/>
    <m/>
    <m/>
    <m/>
  </r>
  <r>
    <x v="10"/>
    <x v="15"/>
    <n v="17"/>
    <m/>
    <m/>
    <m/>
    <m/>
    <m/>
    <m/>
    <m/>
  </r>
  <r>
    <x v="10"/>
    <x v="18"/>
    <n v="13"/>
    <m/>
    <m/>
    <m/>
    <m/>
    <m/>
    <m/>
    <m/>
  </r>
  <r>
    <x v="10"/>
    <x v="51"/>
    <n v="1"/>
    <m/>
    <m/>
    <m/>
    <m/>
    <m/>
    <m/>
    <m/>
  </r>
  <r>
    <x v="10"/>
    <x v="3"/>
    <n v="33"/>
    <m/>
    <m/>
    <m/>
    <m/>
    <m/>
    <m/>
    <m/>
  </r>
  <r>
    <x v="10"/>
    <x v="65"/>
    <n v="1"/>
    <m/>
    <m/>
    <m/>
    <m/>
    <m/>
    <m/>
    <m/>
  </r>
  <r>
    <x v="10"/>
    <x v="3"/>
    <n v="4"/>
    <m/>
    <m/>
    <m/>
    <m/>
    <m/>
    <m/>
    <m/>
  </r>
  <r>
    <x v="10"/>
    <x v="6"/>
    <n v="2"/>
    <m/>
    <m/>
    <m/>
    <m/>
    <m/>
    <m/>
    <m/>
  </r>
  <r>
    <x v="10"/>
    <x v="33"/>
    <n v="3"/>
    <m/>
    <m/>
    <m/>
    <m/>
    <m/>
    <m/>
    <m/>
  </r>
  <r>
    <x v="10"/>
    <x v="5"/>
    <n v="5"/>
    <m/>
    <m/>
    <m/>
    <m/>
    <m/>
    <m/>
    <m/>
  </r>
  <r>
    <x v="10"/>
    <x v="67"/>
    <n v="10"/>
    <m/>
    <m/>
    <m/>
    <m/>
    <m/>
    <m/>
    <m/>
  </r>
  <r>
    <x v="10"/>
    <x v="6"/>
    <n v="10"/>
    <m/>
    <m/>
    <m/>
    <m/>
    <m/>
    <m/>
    <m/>
  </r>
  <r>
    <x v="10"/>
    <x v="33"/>
    <n v="30"/>
    <m/>
    <m/>
    <m/>
    <m/>
    <m/>
    <m/>
    <m/>
  </r>
  <r>
    <x v="10"/>
    <x v="7"/>
    <n v="10"/>
    <m/>
    <m/>
    <m/>
    <m/>
    <m/>
    <m/>
    <m/>
  </r>
  <r>
    <x v="10"/>
    <x v="8"/>
    <n v="10"/>
    <m/>
    <m/>
    <m/>
    <m/>
    <m/>
    <m/>
    <m/>
  </r>
  <r>
    <x v="10"/>
    <x v="3"/>
    <n v="1"/>
    <m/>
    <m/>
    <m/>
    <m/>
    <m/>
    <m/>
    <m/>
  </r>
  <r>
    <x v="10"/>
    <x v="0"/>
    <n v="1"/>
    <m/>
    <m/>
    <m/>
    <m/>
    <m/>
    <m/>
    <m/>
  </r>
  <r>
    <x v="10"/>
    <x v="28"/>
    <n v="3"/>
    <m/>
    <m/>
    <m/>
    <m/>
    <m/>
    <m/>
    <m/>
  </r>
  <r>
    <x v="10"/>
    <x v="34"/>
    <n v="1"/>
    <m/>
    <m/>
    <m/>
    <m/>
    <m/>
    <m/>
    <m/>
  </r>
  <r>
    <x v="10"/>
    <x v="56"/>
    <n v="2"/>
    <m/>
    <m/>
    <m/>
    <m/>
    <m/>
    <m/>
    <m/>
  </r>
  <r>
    <x v="10"/>
    <x v="67"/>
    <n v="2"/>
    <m/>
    <m/>
    <m/>
    <m/>
    <m/>
    <m/>
    <m/>
  </r>
  <r>
    <x v="10"/>
    <x v="35"/>
    <n v="1"/>
    <m/>
    <m/>
    <m/>
    <m/>
    <m/>
    <m/>
    <m/>
  </r>
  <r>
    <x v="10"/>
    <x v="2"/>
    <n v="1"/>
    <m/>
    <m/>
    <m/>
    <m/>
    <m/>
    <m/>
    <m/>
  </r>
  <r>
    <x v="10"/>
    <x v="68"/>
    <n v="1"/>
    <m/>
    <m/>
    <m/>
    <m/>
    <m/>
    <m/>
    <m/>
  </r>
  <r>
    <x v="10"/>
    <x v="36"/>
    <n v="1"/>
    <m/>
    <m/>
    <m/>
    <m/>
    <m/>
    <m/>
    <m/>
  </r>
  <r>
    <x v="10"/>
    <x v="30"/>
    <n v="1"/>
    <m/>
    <m/>
    <m/>
    <m/>
    <m/>
    <m/>
    <m/>
  </r>
  <r>
    <x v="10"/>
    <x v="3"/>
    <n v="8"/>
    <m/>
    <m/>
    <m/>
    <m/>
    <m/>
    <m/>
    <m/>
  </r>
  <r>
    <x v="10"/>
    <x v="5"/>
    <n v="2"/>
    <m/>
    <m/>
    <m/>
    <m/>
    <m/>
    <m/>
    <m/>
  </r>
  <r>
    <x v="10"/>
    <x v="6"/>
    <n v="12"/>
    <m/>
    <m/>
    <m/>
    <m/>
    <m/>
    <m/>
    <m/>
  </r>
  <r>
    <x v="10"/>
    <x v="38"/>
    <n v="1"/>
    <m/>
    <m/>
    <m/>
    <m/>
    <m/>
    <m/>
    <m/>
  </r>
  <r>
    <x v="10"/>
    <x v="11"/>
    <n v="2"/>
    <m/>
    <m/>
    <m/>
    <m/>
    <m/>
    <m/>
    <m/>
  </r>
  <r>
    <x v="10"/>
    <x v="33"/>
    <n v="3"/>
    <m/>
    <m/>
    <m/>
    <m/>
    <m/>
    <m/>
    <m/>
  </r>
  <r>
    <x v="10"/>
    <x v="7"/>
    <n v="1"/>
    <m/>
    <m/>
    <m/>
    <m/>
    <m/>
    <m/>
    <m/>
  </r>
  <r>
    <x v="10"/>
    <x v="39"/>
    <n v="1"/>
    <m/>
    <m/>
    <m/>
    <m/>
    <m/>
    <m/>
    <m/>
  </r>
  <r>
    <x v="10"/>
    <x v="40"/>
    <n v="2"/>
    <m/>
    <m/>
    <m/>
    <m/>
    <m/>
    <m/>
    <m/>
  </r>
  <r>
    <x v="10"/>
    <x v="41"/>
    <n v="5"/>
    <m/>
    <m/>
    <m/>
    <m/>
    <m/>
    <m/>
    <m/>
  </r>
  <r>
    <x v="10"/>
    <x v="27"/>
    <n v="2"/>
    <m/>
    <m/>
    <m/>
    <m/>
    <m/>
    <m/>
    <m/>
  </r>
  <r>
    <x v="10"/>
    <x v="42"/>
    <n v="1"/>
    <m/>
    <m/>
    <m/>
    <m/>
    <m/>
    <m/>
    <m/>
  </r>
  <r>
    <x v="10"/>
    <x v="43"/>
    <n v="4"/>
    <m/>
    <m/>
    <m/>
    <m/>
    <m/>
    <m/>
    <m/>
  </r>
  <r>
    <x v="10"/>
    <x v="10"/>
    <n v="1"/>
    <m/>
    <m/>
    <m/>
    <m/>
    <m/>
    <m/>
    <m/>
  </r>
  <r>
    <x v="10"/>
    <x v="44"/>
    <n v="2"/>
    <m/>
    <m/>
    <m/>
    <m/>
    <m/>
    <m/>
    <m/>
  </r>
  <r>
    <x v="10"/>
    <x v="45"/>
    <n v="1"/>
    <m/>
    <m/>
    <m/>
    <m/>
    <m/>
    <m/>
    <m/>
  </r>
  <r>
    <x v="10"/>
    <x v="46"/>
    <n v="1"/>
    <m/>
    <m/>
    <m/>
    <m/>
    <m/>
    <m/>
    <m/>
  </r>
  <r>
    <x v="10"/>
    <x v="32"/>
    <n v="17"/>
    <m/>
    <m/>
    <m/>
    <m/>
    <m/>
    <m/>
    <m/>
  </r>
  <r>
    <x v="10"/>
    <x v="58"/>
    <n v="1"/>
    <m/>
    <m/>
    <m/>
    <m/>
    <m/>
    <m/>
    <m/>
  </r>
  <r>
    <x v="10"/>
    <x v="17"/>
    <n v="1"/>
    <m/>
    <m/>
    <m/>
    <m/>
    <m/>
    <m/>
    <m/>
  </r>
  <r>
    <x v="10"/>
    <x v="20"/>
    <n v="4"/>
    <m/>
    <m/>
    <m/>
    <m/>
    <m/>
    <m/>
    <m/>
  </r>
  <r>
    <x v="10"/>
    <x v="8"/>
    <n v="2"/>
    <m/>
    <m/>
    <m/>
    <m/>
    <m/>
    <m/>
    <m/>
  </r>
  <r>
    <x v="10"/>
    <x v="3"/>
    <n v="2"/>
    <m/>
    <m/>
    <m/>
    <m/>
    <m/>
    <m/>
    <m/>
  </r>
  <r>
    <x v="10"/>
    <x v="40"/>
    <n v="3"/>
    <m/>
    <m/>
    <m/>
    <m/>
    <m/>
    <m/>
    <m/>
  </r>
  <r>
    <x v="11"/>
    <x v="57"/>
    <n v="2"/>
    <m/>
    <m/>
    <m/>
    <m/>
    <m/>
    <m/>
    <m/>
  </r>
  <r>
    <x v="11"/>
    <x v="58"/>
    <n v="1"/>
    <m/>
    <m/>
    <m/>
    <m/>
    <m/>
    <m/>
    <m/>
  </r>
  <r>
    <x v="11"/>
    <x v="15"/>
    <n v="1"/>
    <m/>
    <m/>
    <m/>
    <m/>
    <m/>
    <m/>
    <m/>
  </r>
  <r>
    <x v="11"/>
    <x v="36"/>
    <n v="1"/>
    <m/>
    <m/>
    <m/>
    <m/>
    <m/>
    <m/>
    <m/>
  </r>
  <r>
    <x v="11"/>
    <x v="51"/>
    <n v="3"/>
    <m/>
    <m/>
    <m/>
    <m/>
    <m/>
    <m/>
    <m/>
  </r>
  <r>
    <x v="11"/>
    <x v="37"/>
    <n v="1"/>
    <m/>
    <m/>
    <m/>
    <m/>
    <m/>
    <m/>
    <m/>
  </r>
  <r>
    <x v="11"/>
    <x v="3"/>
    <n v="6"/>
    <m/>
    <m/>
    <m/>
    <m/>
    <m/>
    <m/>
    <m/>
  </r>
  <r>
    <x v="11"/>
    <x v="4"/>
    <n v="12"/>
    <m/>
    <m/>
    <m/>
    <m/>
    <m/>
    <m/>
    <m/>
  </r>
  <r>
    <x v="11"/>
    <x v="5"/>
    <n v="1"/>
    <m/>
    <m/>
    <m/>
    <m/>
    <m/>
    <m/>
    <m/>
  </r>
  <r>
    <x v="11"/>
    <x v="6"/>
    <n v="2"/>
    <m/>
    <m/>
    <m/>
    <m/>
    <m/>
    <m/>
    <m/>
  </r>
  <r>
    <x v="11"/>
    <x v="20"/>
    <n v="1"/>
    <m/>
    <m/>
    <m/>
    <m/>
    <m/>
    <m/>
    <m/>
  </r>
  <r>
    <x v="11"/>
    <x v="11"/>
    <n v="1"/>
    <m/>
    <m/>
    <m/>
    <m/>
    <m/>
    <m/>
    <m/>
  </r>
  <r>
    <x v="11"/>
    <x v="27"/>
    <n v="1"/>
    <m/>
    <m/>
    <m/>
    <m/>
    <m/>
    <m/>
    <m/>
  </r>
  <r>
    <x v="11"/>
    <x v="15"/>
    <n v="2"/>
    <m/>
    <m/>
    <m/>
    <m/>
    <m/>
    <m/>
    <m/>
  </r>
  <r>
    <x v="11"/>
    <x v="3"/>
    <n v="3"/>
    <m/>
    <m/>
    <m/>
    <m/>
    <m/>
    <m/>
    <m/>
  </r>
  <r>
    <x v="11"/>
    <x v="33"/>
    <n v="5"/>
    <m/>
    <m/>
    <m/>
    <m/>
    <m/>
    <m/>
    <m/>
  </r>
  <r>
    <x v="11"/>
    <x v="42"/>
    <n v="2"/>
    <m/>
    <m/>
    <m/>
    <m/>
    <m/>
    <m/>
    <m/>
  </r>
  <r>
    <x v="11"/>
    <x v="15"/>
    <n v="1"/>
    <m/>
    <m/>
    <m/>
    <m/>
    <m/>
    <m/>
    <m/>
  </r>
  <r>
    <x v="11"/>
    <x v="59"/>
    <n v="1"/>
    <m/>
    <m/>
    <m/>
    <m/>
    <m/>
    <m/>
    <m/>
  </r>
  <r>
    <x v="11"/>
    <x v="9"/>
    <n v="1"/>
    <m/>
    <m/>
    <m/>
    <m/>
    <m/>
    <m/>
    <m/>
  </r>
  <r>
    <x v="11"/>
    <x v="37"/>
    <n v="1"/>
    <m/>
    <m/>
    <m/>
    <m/>
    <m/>
    <m/>
    <m/>
  </r>
  <r>
    <x v="11"/>
    <x v="30"/>
    <n v="1"/>
    <m/>
    <m/>
    <m/>
    <m/>
    <m/>
    <m/>
    <m/>
  </r>
  <r>
    <x v="11"/>
    <x v="3"/>
    <n v="11"/>
    <m/>
    <m/>
    <m/>
    <m/>
    <m/>
    <m/>
    <m/>
  </r>
  <r>
    <x v="11"/>
    <x v="10"/>
    <n v="2"/>
    <m/>
    <m/>
    <m/>
    <m/>
    <m/>
    <m/>
    <m/>
  </r>
  <r>
    <x v="11"/>
    <x v="57"/>
    <n v="2"/>
    <m/>
    <m/>
    <m/>
    <m/>
    <m/>
    <m/>
    <m/>
  </r>
  <r>
    <x v="11"/>
    <x v="58"/>
    <n v="1"/>
    <m/>
    <m/>
    <m/>
    <m/>
    <m/>
    <m/>
    <m/>
  </r>
  <r>
    <x v="11"/>
    <x v="15"/>
    <n v="1"/>
    <m/>
    <m/>
    <m/>
    <m/>
    <m/>
    <m/>
    <m/>
  </r>
  <r>
    <x v="11"/>
    <x v="51"/>
    <n v="3"/>
    <m/>
    <m/>
    <m/>
    <m/>
    <m/>
    <m/>
    <m/>
  </r>
  <r>
    <x v="11"/>
    <x v="37"/>
    <n v="1"/>
    <m/>
    <m/>
    <m/>
    <m/>
    <m/>
    <m/>
    <m/>
  </r>
  <r>
    <x v="11"/>
    <x v="3"/>
    <n v="6"/>
    <m/>
    <m/>
    <m/>
    <m/>
    <m/>
    <m/>
    <m/>
  </r>
  <r>
    <x v="11"/>
    <x v="5"/>
    <n v="1"/>
    <m/>
    <m/>
    <m/>
    <m/>
    <m/>
    <m/>
    <m/>
  </r>
  <r>
    <x v="11"/>
    <x v="6"/>
    <n v="2"/>
    <m/>
    <m/>
    <m/>
    <m/>
    <m/>
    <m/>
    <m/>
  </r>
  <r>
    <x v="11"/>
    <x v="11"/>
    <n v="1"/>
    <m/>
    <m/>
    <m/>
    <m/>
    <m/>
    <m/>
    <m/>
  </r>
  <r>
    <x v="11"/>
    <x v="28"/>
    <n v="2"/>
    <m/>
    <m/>
    <m/>
    <m/>
    <m/>
    <m/>
    <m/>
  </r>
  <r>
    <x v="11"/>
    <x v="60"/>
    <n v="2"/>
    <m/>
    <m/>
    <m/>
    <m/>
    <m/>
    <m/>
    <m/>
  </r>
  <r>
    <x v="11"/>
    <x v="37"/>
    <n v="2"/>
    <m/>
    <m/>
    <m/>
    <m/>
    <m/>
    <m/>
    <m/>
  </r>
  <r>
    <x v="11"/>
    <x v="6"/>
    <n v="2"/>
    <m/>
    <m/>
    <m/>
    <m/>
    <m/>
    <m/>
    <m/>
  </r>
  <r>
    <x v="11"/>
    <x v="20"/>
    <n v="1"/>
    <m/>
    <m/>
    <m/>
    <m/>
    <m/>
    <m/>
    <m/>
  </r>
  <r>
    <x v="11"/>
    <x v="40"/>
    <n v="2"/>
    <m/>
    <m/>
    <m/>
    <m/>
    <m/>
    <m/>
    <m/>
  </r>
  <r>
    <x v="11"/>
    <x v="36"/>
    <n v="1"/>
    <m/>
    <m/>
    <m/>
    <m/>
    <m/>
    <m/>
    <m/>
  </r>
  <r>
    <x v="11"/>
    <x v="4"/>
    <n v="12"/>
    <m/>
    <m/>
    <m/>
    <m/>
    <m/>
    <m/>
    <m/>
  </r>
  <r>
    <x v="11"/>
    <x v="27"/>
    <n v="1"/>
    <m/>
    <m/>
    <m/>
    <m/>
    <m/>
    <m/>
    <m/>
  </r>
  <r>
    <x v="11"/>
    <x v="3"/>
    <n v="2"/>
    <m/>
    <m/>
    <m/>
    <m/>
    <m/>
    <m/>
    <m/>
  </r>
  <r>
    <x v="11"/>
    <x v="58"/>
    <n v="1"/>
    <m/>
    <m/>
    <m/>
    <m/>
    <m/>
    <m/>
    <m/>
  </r>
  <r>
    <x v="11"/>
    <x v="5"/>
    <n v="1"/>
    <m/>
    <m/>
    <m/>
    <m/>
    <m/>
    <m/>
    <m/>
  </r>
  <r>
    <x v="11"/>
    <x v="37"/>
    <n v="1"/>
    <m/>
    <m/>
    <m/>
    <m/>
    <m/>
    <m/>
    <m/>
  </r>
  <r>
    <x v="11"/>
    <x v="11"/>
    <n v="1"/>
    <m/>
    <m/>
    <m/>
    <m/>
    <m/>
    <m/>
    <m/>
  </r>
  <r>
    <x v="11"/>
    <x v="58"/>
    <n v="1"/>
    <m/>
    <m/>
    <m/>
    <m/>
    <m/>
    <m/>
    <m/>
  </r>
  <r>
    <x v="11"/>
    <x v="12"/>
    <n v="1"/>
    <m/>
    <m/>
    <m/>
    <m/>
    <m/>
    <m/>
    <m/>
  </r>
  <r>
    <x v="11"/>
    <x v="14"/>
    <n v="1"/>
    <m/>
    <m/>
    <m/>
    <m/>
    <m/>
    <m/>
    <m/>
  </r>
  <r>
    <x v="11"/>
    <x v="15"/>
    <n v="1"/>
    <m/>
    <m/>
    <m/>
    <m/>
    <m/>
    <m/>
    <m/>
  </r>
  <r>
    <x v="11"/>
    <x v="16"/>
    <n v="1"/>
    <m/>
    <m/>
    <m/>
    <m/>
    <m/>
    <m/>
    <m/>
  </r>
  <r>
    <x v="11"/>
    <x v="60"/>
    <n v="1"/>
    <m/>
    <m/>
    <m/>
    <m/>
    <m/>
    <m/>
    <m/>
  </r>
  <r>
    <x v="11"/>
    <x v="73"/>
    <n v="1"/>
    <m/>
    <m/>
    <m/>
    <m/>
    <m/>
    <m/>
    <m/>
  </r>
  <r>
    <x v="11"/>
    <x v="24"/>
    <n v="1"/>
    <m/>
    <m/>
    <m/>
    <m/>
    <m/>
    <m/>
    <m/>
  </r>
  <r>
    <x v="11"/>
    <x v="19"/>
    <n v="1"/>
    <m/>
    <m/>
    <m/>
    <m/>
    <m/>
    <m/>
    <m/>
  </r>
  <r>
    <x v="11"/>
    <x v="20"/>
    <n v="1"/>
    <m/>
    <m/>
    <m/>
    <m/>
    <m/>
    <m/>
    <m/>
  </r>
  <r>
    <x v="11"/>
    <x v="77"/>
    <n v="1"/>
    <m/>
    <m/>
    <m/>
    <m/>
    <m/>
    <m/>
    <m/>
  </r>
  <r>
    <x v="11"/>
    <x v="78"/>
    <n v="1"/>
    <m/>
    <m/>
    <m/>
    <m/>
    <m/>
    <m/>
    <m/>
  </r>
  <r>
    <x v="11"/>
    <x v="57"/>
    <n v="22"/>
    <m/>
    <m/>
    <m/>
    <m/>
    <m/>
    <m/>
    <m/>
  </r>
  <r>
    <x v="11"/>
    <x v="3"/>
    <n v="1"/>
    <m/>
    <m/>
    <m/>
    <m/>
    <m/>
    <m/>
    <m/>
  </r>
  <r>
    <x v="11"/>
    <x v="4"/>
    <n v="29"/>
    <m/>
    <m/>
    <m/>
    <m/>
    <m/>
    <m/>
    <m/>
  </r>
  <r>
    <x v="11"/>
    <x v="61"/>
    <n v="4"/>
    <m/>
    <m/>
    <m/>
    <m/>
    <m/>
    <m/>
    <m/>
  </r>
  <r>
    <x v="11"/>
    <x v="22"/>
    <n v="18"/>
    <m/>
    <m/>
    <m/>
    <m/>
    <m/>
    <m/>
    <m/>
  </r>
  <r>
    <x v="11"/>
    <x v="23"/>
    <n v="3"/>
    <m/>
    <m/>
    <m/>
    <m/>
    <m/>
    <m/>
    <m/>
  </r>
  <r>
    <x v="11"/>
    <x v="24"/>
    <n v="6"/>
    <m/>
    <m/>
    <m/>
    <m/>
    <m/>
    <m/>
    <m/>
  </r>
  <r>
    <x v="11"/>
    <x v="62"/>
    <n v="2"/>
    <m/>
    <m/>
    <m/>
    <m/>
    <m/>
    <m/>
    <m/>
  </r>
  <r>
    <x v="11"/>
    <x v="63"/>
    <n v="6"/>
    <m/>
    <m/>
    <m/>
    <m/>
    <m/>
    <m/>
    <m/>
  </r>
  <r>
    <x v="11"/>
    <x v="74"/>
    <n v="4"/>
    <m/>
    <m/>
    <m/>
    <m/>
    <m/>
    <m/>
    <m/>
  </r>
  <r>
    <x v="11"/>
    <x v="25"/>
    <n v="2"/>
    <m/>
    <m/>
    <m/>
    <m/>
    <m/>
    <m/>
    <m/>
  </r>
  <r>
    <x v="11"/>
    <x v="49"/>
    <n v="2"/>
    <m/>
    <m/>
    <m/>
    <m/>
    <m/>
    <m/>
    <m/>
  </r>
  <r>
    <x v="11"/>
    <x v="74"/>
    <n v="4"/>
    <m/>
    <m/>
    <m/>
    <m/>
    <m/>
    <m/>
    <m/>
  </r>
  <r>
    <x v="11"/>
    <x v="63"/>
    <n v="6"/>
    <m/>
    <m/>
    <m/>
    <m/>
    <m/>
    <m/>
    <m/>
  </r>
  <r>
    <x v="11"/>
    <x v="15"/>
    <n v="2"/>
    <m/>
    <m/>
    <m/>
    <m/>
    <m/>
    <m/>
    <m/>
  </r>
  <r>
    <x v="11"/>
    <x v="3"/>
    <n v="3"/>
    <m/>
    <m/>
    <m/>
    <m/>
    <m/>
    <m/>
    <m/>
  </r>
  <r>
    <x v="11"/>
    <x v="33"/>
    <n v="5"/>
    <m/>
    <m/>
    <m/>
    <m/>
    <m/>
    <m/>
    <m/>
  </r>
  <r>
    <x v="11"/>
    <x v="40"/>
    <n v="2"/>
    <m/>
    <m/>
    <m/>
    <m/>
    <m/>
    <m/>
    <m/>
  </r>
  <r>
    <x v="11"/>
    <x v="42"/>
    <n v="2"/>
    <m/>
    <m/>
    <m/>
    <m/>
    <m/>
    <m/>
    <m/>
  </r>
  <r>
    <x v="11"/>
    <x v="6"/>
    <n v="2"/>
    <m/>
    <m/>
    <m/>
    <m/>
    <m/>
    <m/>
    <m/>
  </r>
  <r>
    <x v="11"/>
    <x v="1"/>
    <n v="6"/>
    <m/>
    <m/>
    <m/>
    <m/>
    <m/>
    <m/>
    <m/>
  </r>
  <r>
    <x v="11"/>
    <x v="28"/>
    <n v="5"/>
    <m/>
    <m/>
    <m/>
    <m/>
    <m/>
    <m/>
    <m/>
  </r>
  <r>
    <x v="11"/>
    <x v="58"/>
    <n v="1"/>
    <m/>
    <m/>
    <m/>
    <m/>
    <m/>
    <m/>
    <m/>
  </r>
  <r>
    <x v="11"/>
    <x v="12"/>
    <n v="1"/>
    <m/>
    <m/>
    <m/>
    <m/>
    <m/>
    <m/>
    <m/>
  </r>
  <r>
    <x v="11"/>
    <x v="59"/>
    <n v="1"/>
    <m/>
    <m/>
    <m/>
    <m/>
    <m/>
    <m/>
    <m/>
  </r>
  <r>
    <x v="11"/>
    <x v="1"/>
    <n v="6"/>
    <m/>
    <m/>
    <m/>
    <m/>
    <m/>
    <m/>
    <m/>
  </r>
  <r>
    <x v="11"/>
    <x v="15"/>
    <n v="1"/>
    <m/>
    <m/>
    <m/>
    <m/>
    <m/>
    <m/>
    <m/>
  </r>
  <r>
    <x v="11"/>
    <x v="16"/>
    <n v="1"/>
    <m/>
    <m/>
    <m/>
    <m/>
    <m/>
    <m/>
    <m/>
  </r>
  <r>
    <x v="11"/>
    <x v="60"/>
    <n v="1"/>
    <m/>
    <m/>
    <m/>
    <m/>
    <m/>
    <m/>
    <m/>
  </r>
  <r>
    <x v="11"/>
    <x v="9"/>
    <n v="1"/>
    <m/>
    <m/>
    <m/>
    <m/>
    <m/>
    <m/>
    <m/>
  </r>
  <r>
    <x v="11"/>
    <x v="73"/>
    <n v="1"/>
    <m/>
    <m/>
    <m/>
    <m/>
    <m/>
    <m/>
    <m/>
  </r>
  <r>
    <x v="11"/>
    <x v="37"/>
    <n v="1"/>
    <m/>
    <m/>
    <m/>
    <m/>
    <m/>
    <m/>
    <m/>
  </r>
  <r>
    <x v="11"/>
    <x v="24"/>
    <n v="1"/>
    <m/>
    <m/>
    <m/>
    <m/>
    <m/>
    <m/>
    <m/>
  </r>
  <r>
    <x v="11"/>
    <x v="30"/>
    <n v="1"/>
    <m/>
    <m/>
    <m/>
    <m/>
    <m/>
    <m/>
    <m/>
  </r>
  <r>
    <x v="11"/>
    <x v="3"/>
    <n v="11"/>
    <m/>
    <m/>
    <m/>
    <m/>
    <m/>
    <m/>
    <m/>
  </r>
  <r>
    <x v="11"/>
    <x v="19"/>
    <n v="2"/>
    <m/>
    <m/>
    <m/>
    <m/>
    <m/>
    <m/>
    <m/>
  </r>
  <r>
    <x v="11"/>
    <x v="6"/>
    <n v="5"/>
    <m/>
    <m/>
    <m/>
    <m/>
    <m/>
    <m/>
    <m/>
  </r>
  <r>
    <x v="11"/>
    <x v="20"/>
    <n v="1"/>
    <m/>
    <m/>
    <m/>
    <m/>
    <m/>
    <m/>
    <m/>
  </r>
  <r>
    <x v="11"/>
    <x v="10"/>
    <n v="2"/>
    <m/>
    <m/>
    <m/>
    <m/>
    <m/>
    <m/>
    <m/>
  </r>
  <r>
    <x v="11"/>
    <x v="78"/>
    <n v="1"/>
    <m/>
    <m/>
    <m/>
    <m/>
    <m/>
    <m/>
    <m/>
  </r>
  <r>
    <x v="11"/>
    <x v="65"/>
    <n v="2"/>
    <m/>
    <m/>
    <m/>
    <m/>
    <m/>
    <m/>
    <m/>
  </r>
  <r>
    <x v="11"/>
    <x v="77"/>
    <n v="1"/>
    <m/>
    <m/>
    <m/>
    <m/>
    <m/>
    <m/>
    <m/>
  </r>
  <r>
    <x v="11"/>
    <x v="21"/>
    <n v="1"/>
    <m/>
    <m/>
    <m/>
    <m/>
    <m/>
    <m/>
    <m/>
  </r>
  <r>
    <x v="11"/>
    <x v="28"/>
    <n v="10"/>
    <m/>
    <m/>
    <m/>
    <m/>
    <m/>
    <m/>
    <m/>
  </r>
  <r>
    <x v="11"/>
    <x v="47"/>
    <n v="1"/>
    <m/>
    <m/>
    <m/>
    <m/>
    <m/>
    <m/>
    <m/>
  </r>
  <r>
    <x v="11"/>
    <x v="59"/>
    <n v="2"/>
    <m/>
    <m/>
    <m/>
    <m/>
    <m/>
    <m/>
    <m/>
  </r>
  <r>
    <x v="11"/>
    <x v="2"/>
    <n v="1"/>
    <m/>
    <m/>
    <m/>
    <m/>
    <m/>
    <m/>
    <m/>
  </r>
  <r>
    <x v="11"/>
    <x v="51"/>
    <n v="2"/>
    <m/>
    <m/>
    <m/>
    <m/>
    <m/>
    <m/>
    <m/>
  </r>
  <r>
    <x v="11"/>
    <x v="37"/>
    <n v="3"/>
    <m/>
    <m/>
    <m/>
    <m/>
    <m/>
    <m/>
    <m/>
  </r>
  <r>
    <x v="11"/>
    <x v="30"/>
    <n v="1"/>
    <m/>
    <m/>
    <m/>
    <m/>
    <m/>
    <m/>
    <m/>
  </r>
  <r>
    <x v="11"/>
    <x v="3"/>
    <n v="16"/>
    <m/>
    <m/>
    <m/>
    <m/>
    <m/>
    <m/>
    <m/>
  </r>
  <r>
    <x v="11"/>
    <x v="6"/>
    <n v="1"/>
    <m/>
    <m/>
    <m/>
    <m/>
    <m/>
    <m/>
    <m/>
  </r>
  <r>
    <x v="11"/>
    <x v="20"/>
    <n v="1"/>
    <m/>
    <m/>
    <m/>
    <m/>
    <m/>
    <m/>
    <m/>
  </r>
  <r>
    <x v="11"/>
    <x v="65"/>
    <n v="3"/>
    <m/>
    <m/>
    <m/>
    <m/>
    <m/>
    <m/>
    <m/>
  </r>
  <r>
    <x v="11"/>
    <x v="11"/>
    <n v="31"/>
    <m/>
    <m/>
    <m/>
    <m/>
    <m/>
    <m/>
    <m/>
  </r>
  <r>
    <x v="11"/>
    <x v="52"/>
    <n v="1"/>
    <m/>
    <m/>
    <m/>
    <m/>
    <m/>
    <m/>
    <m/>
  </r>
  <r>
    <x v="11"/>
    <x v="33"/>
    <n v="9"/>
    <m/>
    <m/>
    <m/>
    <m/>
    <m/>
    <m/>
    <m/>
  </r>
  <r>
    <x v="11"/>
    <x v="7"/>
    <n v="1"/>
    <m/>
    <m/>
    <m/>
    <m/>
    <m/>
    <m/>
    <m/>
  </r>
  <r>
    <x v="11"/>
    <x v="39"/>
    <n v="1"/>
    <m/>
    <m/>
    <m/>
    <m/>
    <m/>
    <m/>
    <m/>
  </r>
  <r>
    <x v="11"/>
    <x v="8"/>
    <n v="4"/>
    <m/>
    <m/>
    <m/>
    <m/>
    <m/>
    <m/>
    <m/>
  </r>
  <r>
    <x v="11"/>
    <x v="66"/>
    <n v="1"/>
    <m/>
    <m/>
    <m/>
    <m/>
    <m/>
    <m/>
    <m/>
  </r>
  <r>
    <x v="11"/>
    <x v="33"/>
    <n v="1"/>
    <m/>
    <m/>
    <m/>
    <m/>
    <m/>
    <m/>
    <m/>
  </r>
  <r>
    <x v="11"/>
    <x v="27"/>
    <n v="2"/>
    <m/>
    <m/>
    <m/>
    <m/>
    <m/>
    <m/>
    <m/>
  </r>
  <r>
    <x v="11"/>
    <x v="20"/>
    <n v="1"/>
    <m/>
    <m/>
    <m/>
    <m/>
    <m/>
    <m/>
    <m/>
  </r>
  <r>
    <x v="11"/>
    <x v="57"/>
    <n v="2"/>
    <m/>
    <m/>
    <m/>
    <m/>
    <m/>
    <m/>
    <m/>
  </r>
  <r>
    <x v="11"/>
    <x v="5"/>
    <n v="1"/>
    <m/>
    <m/>
    <m/>
    <m/>
    <m/>
    <m/>
    <m/>
  </r>
  <r>
    <x v="11"/>
    <x v="51"/>
    <n v="3"/>
    <m/>
    <m/>
    <m/>
    <m/>
    <m/>
    <m/>
    <m/>
  </r>
  <r>
    <x v="11"/>
    <x v="0"/>
    <n v="4"/>
    <m/>
    <m/>
    <m/>
    <m/>
    <m/>
    <m/>
    <m/>
  </r>
  <r>
    <x v="11"/>
    <x v="32"/>
    <n v="13"/>
    <m/>
    <m/>
    <m/>
    <m/>
    <m/>
    <m/>
    <m/>
  </r>
  <r>
    <x v="11"/>
    <x v="58"/>
    <n v="2"/>
    <m/>
    <m/>
    <m/>
    <m/>
    <m/>
    <m/>
    <m/>
  </r>
  <r>
    <x v="11"/>
    <x v="56"/>
    <n v="1"/>
    <m/>
    <m/>
    <m/>
    <m/>
    <m/>
    <m/>
    <m/>
  </r>
  <r>
    <x v="11"/>
    <x v="1"/>
    <n v="2"/>
    <m/>
    <m/>
    <m/>
    <m/>
    <m/>
    <m/>
    <m/>
  </r>
  <r>
    <x v="11"/>
    <x v="17"/>
    <n v="1"/>
    <m/>
    <m/>
    <m/>
    <m/>
    <m/>
    <m/>
    <m/>
  </r>
  <r>
    <x v="11"/>
    <x v="4"/>
    <n v="1"/>
    <m/>
    <m/>
    <m/>
    <m/>
    <m/>
    <m/>
    <m/>
  </r>
  <r>
    <x v="11"/>
    <x v="5"/>
    <n v="3"/>
    <m/>
    <m/>
    <m/>
    <m/>
    <m/>
    <m/>
    <m/>
  </r>
  <r>
    <x v="11"/>
    <x v="20"/>
    <n v="4"/>
    <m/>
    <m/>
    <m/>
    <m/>
    <m/>
    <m/>
    <m/>
  </r>
  <r>
    <x v="11"/>
    <x v="7"/>
    <n v="1"/>
    <m/>
    <m/>
    <m/>
    <m/>
    <m/>
    <m/>
    <m/>
  </r>
  <r>
    <x v="11"/>
    <x v="42"/>
    <n v="1"/>
    <m/>
    <m/>
    <m/>
    <m/>
    <m/>
    <m/>
    <m/>
  </r>
  <r>
    <x v="11"/>
    <x v="8"/>
    <n v="4"/>
    <m/>
    <m/>
    <m/>
    <m/>
    <m/>
    <m/>
    <m/>
  </r>
  <r>
    <x v="11"/>
    <x v="28"/>
    <n v="2"/>
    <m/>
    <m/>
    <m/>
    <m/>
    <m/>
    <m/>
    <m/>
  </r>
  <r>
    <x v="11"/>
    <x v="32"/>
    <n v="2"/>
    <m/>
    <m/>
    <m/>
    <m/>
    <m/>
    <m/>
    <m/>
  </r>
  <r>
    <x v="11"/>
    <x v="29"/>
    <n v="3"/>
    <m/>
    <m/>
    <m/>
    <m/>
    <m/>
    <m/>
    <m/>
  </r>
  <r>
    <x v="11"/>
    <x v="14"/>
    <n v="1"/>
    <m/>
    <m/>
    <m/>
    <m/>
    <m/>
    <m/>
    <m/>
  </r>
  <r>
    <x v="11"/>
    <x v="15"/>
    <n v="6"/>
    <m/>
    <m/>
    <m/>
    <m/>
    <m/>
    <m/>
    <m/>
  </r>
  <r>
    <x v="11"/>
    <x v="60"/>
    <n v="2"/>
    <m/>
    <m/>
    <m/>
    <m/>
    <m/>
    <m/>
    <m/>
  </r>
  <r>
    <x v="11"/>
    <x v="18"/>
    <n v="6"/>
    <m/>
    <m/>
    <m/>
    <m/>
    <m/>
    <m/>
    <m/>
  </r>
  <r>
    <x v="11"/>
    <x v="37"/>
    <n v="3"/>
    <m/>
    <m/>
    <m/>
    <m/>
    <m/>
    <m/>
    <m/>
  </r>
  <r>
    <x v="11"/>
    <x v="3"/>
    <n v="31"/>
    <m/>
    <m/>
    <m/>
    <m/>
    <m/>
    <m/>
    <m/>
  </r>
  <r>
    <x v="11"/>
    <x v="65"/>
    <n v="1"/>
    <m/>
    <m/>
    <m/>
    <m/>
    <m/>
    <m/>
    <m/>
  </r>
  <r>
    <x v="11"/>
    <x v="41"/>
    <n v="14"/>
    <m/>
    <m/>
    <m/>
    <m/>
    <m/>
    <m/>
    <m/>
  </r>
  <r>
    <x v="11"/>
    <x v="3"/>
    <n v="4"/>
    <m/>
    <m/>
    <m/>
    <m/>
    <m/>
    <m/>
    <m/>
  </r>
  <r>
    <x v="11"/>
    <x v="6"/>
    <n v="2"/>
    <m/>
    <m/>
    <m/>
    <m/>
    <m/>
    <m/>
    <m/>
  </r>
  <r>
    <x v="11"/>
    <x v="3"/>
    <n v="1"/>
    <m/>
    <m/>
    <m/>
    <m/>
    <m/>
    <m/>
    <m/>
  </r>
  <r>
    <x v="11"/>
    <x v="0"/>
    <n v="4"/>
    <m/>
    <m/>
    <m/>
    <m/>
    <m/>
    <m/>
    <m/>
  </r>
  <r>
    <x v="11"/>
    <x v="32"/>
    <n v="13"/>
    <m/>
    <m/>
    <m/>
    <m/>
    <m/>
    <m/>
    <m/>
  </r>
  <r>
    <x v="11"/>
    <x v="58"/>
    <n v="1"/>
    <m/>
    <m/>
    <m/>
    <m/>
    <m/>
    <m/>
    <m/>
  </r>
  <r>
    <x v="11"/>
    <x v="17"/>
    <n v="1"/>
    <m/>
    <m/>
    <m/>
    <m/>
    <m/>
    <m/>
    <m/>
  </r>
  <r>
    <x v="11"/>
    <x v="20"/>
    <n v="4"/>
    <m/>
    <m/>
    <m/>
    <m/>
    <m/>
    <m/>
    <m/>
  </r>
  <r>
    <x v="11"/>
    <x v="8"/>
    <n v="2"/>
    <m/>
    <m/>
    <m/>
    <m/>
    <m/>
    <m/>
    <m/>
  </r>
  <r>
    <x v="11"/>
    <x v="32"/>
    <n v="1"/>
    <m/>
    <m/>
    <m/>
    <m/>
    <m/>
    <m/>
    <m/>
  </r>
  <r>
    <x v="11"/>
    <x v="3"/>
    <n v="1"/>
    <m/>
    <m/>
    <m/>
    <m/>
    <m/>
    <m/>
    <m/>
  </r>
  <r>
    <x v="11"/>
    <x v="33"/>
    <n v="1"/>
    <m/>
    <m/>
    <m/>
    <m/>
    <m/>
    <m/>
    <m/>
  </r>
  <r>
    <x v="11"/>
    <x v="40"/>
    <n v="2"/>
    <m/>
    <m/>
    <m/>
    <m/>
    <m/>
    <m/>
    <m/>
  </r>
  <r>
    <x v="12"/>
    <x v="0"/>
    <n v="1"/>
    <m/>
    <m/>
    <m/>
    <m/>
    <m/>
    <m/>
    <m/>
  </r>
  <r>
    <x v="12"/>
    <x v="32"/>
    <n v="3"/>
    <m/>
    <m/>
    <m/>
    <m/>
    <m/>
    <m/>
    <m/>
  </r>
  <r>
    <x v="12"/>
    <x v="34"/>
    <n v="6"/>
    <m/>
    <m/>
    <m/>
    <m/>
    <m/>
    <m/>
    <m/>
  </r>
  <r>
    <x v="12"/>
    <x v="58"/>
    <n v="1"/>
    <m/>
    <m/>
    <m/>
    <m/>
    <m/>
    <m/>
    <m/>
  </r>
  <r>
    <x v="12"/>
    <x v="67"/>
    <n v="2"/>
    <m/>
    <m/>
    <m/>
    <m/>
    <m/>
    <m/>
    <m/>
  </r>
  <r>
    <x v="12"/>
    <x v="59"/>
    <n v="1"/>
    <m/>
    <m/>
    <m/>
    <m/>
    <m/>
    <m/>
    <m/>
  </r>
  <r>
    <x v="12"/>
    <x v="1"/>
    <n v="4"/>
    <m/>
    <m/>
    <m/>
    <m/>
    <m/>
    <m/>
    <m/>
  </r>
  <r>
    <x v="12"/>
    <x v="15"/>
    <n v="9"/>
    <m/>
    <m/>
    <m/>
    <m/>
    <m/>
    <m/>
    <m/>
  </r>
  <r>
    <x v="12"/>
    <x v="60"/>
    <n v="4"/>
    <m/>
    <m/>
    <m/>
    <m/>
    <m/>
    <m/>
    <m/>
  </r>
  <r>
    <x v="12"/>
    <x v="36"/>
    <n v="1"/>
    <m/>
    <m/>
    <m/>
    <m/>
    <m/>
    <m/>
    <m/>
  </r>
  <r>
    <x v="12"/>
    <x v="18"/>
    <n v="4"/>
    <m/>
    <m/>
    <m/>
    <m/>
    <m/>
    <m/>
    <m/>
  </r>
  <r>
    <x v="12"/>
    <x v="51"/>
    <n v="2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3"/>
    <n v="16"/>
    <m/>
    <m/>
    <m/>
    <m/>
    <m/>
    <m/>
    <m/>
  </r>
  <r>
    <x v="12"/>
    <x v="4"/>
    <n v="2"/>
    <m/>
    <m/>
    <m/>
    <m/>
    <m/>
    <m/>
    <m/>
  </r>
  <r>
    <x v="12"/>
    <x v="6"/>
    <n v="8"/>
    <m/>
    <m/>
    <m/>
    <m/>
    <m/>
    <m/>
    <m/>
  </r>
  <r>
    <x v="12"/>
    <x v="20"/>
    <n v="6"/>
    <m/>
    <m/>
    <m/>
    <m/>
    <m/>
    <m/>
    <m/>
  </r>
  <r>
    <x v="12"/>
    <x v="65"/>
    <n v="2"/>
    <m/>
    <m/>
    <m/>
    <m/>
    <m/>
    <m/>
    <m/>
  </r>
  <r>
    <x v="12"/>
    <x v="11"/>
    <n v="2"/>
    <m/>
    <m/>
    <m/>
    <m/>
    <m/>
    <m/>
    <m/>
  </r>
  <r>
    <x v="12"/>
    <x v="52"/>
    <n v="2"/>
    <m/>
    <m/>
    <m/>
    <m/>
    <m/>
    <m/>
    <m/>
  </r>
  <r>
    <x v="12"/>
    <x v="33"/>
    <n v="10"/>
    <m/>
    <m/>
    <m/>
    <m/>
    <m/>
    <m/>
    <m/>
  </r>
  <r>
    <x v="12"/>
    <x v="7"/>
    <n v="1"/>
    <m/>
    <m/>
    <m/>
    <m/>
    <m/>
    <m/>
    <m/>
  </r>
  <r>
    <x v="12"/>
    <x v="27"/>
    <n v="2"/>
    <m/>
    <m/>
    <m/>
    <m/>
    <m/>
    <m/>
    <m/>
  </r>
  <r>
    <x v="12"/>
    <x v="8"/>
    <n v="2"/>
    <m/>
    <m/>
    <m/>
    <m/>
    <m/>
    <m/>
    <m/>
  </r>
  <r>
    <x v="12"/>
    <x v="15"/>
    <n v="1"/>
    <m/>
    <m/>
    <m/>
    <m/>
    <m/>
    <m/>
    <m/>
  </r>
  <r>
    <x v="12"/>
    <x v="3"/>
    <n v="3"/>
    <m/>
    <m/>
    <m/>
    <m/>
    <m/>
    <m/>
    <m/>
  </r>
  <r>
    <x v="12"/>
    <x v="5"/>
    <n v="1"/>
    <m/>
    <m/>
    <m/>
    <m/>
    <m/>
    <m/>
    <m/>
  </r>
  <r>
    <x v="12"/>
    <x v="33"/>
    <n v="5"/>
    <m/>
    <m/>
    <m/>
    <m/>
    <m/>
    <m/>
    <m/>
  </r>
  <r>
    <x v="12"/>
    <x v="42"/>
    <n v="2"/>
    <m/>
    <m/>
    <m/>
    <m/>
    <m/>
    <m/>
    <m/>
  </r>
  <r>
    <x v="12"/>
    <x v="15"/>
    <n v="1"/>
    <m/>
    <m/>
    <m/>
    <m/>
    <m/>
    <m/>
    <m/>
  </r>
  <r>
    <x v="12"/>
    <x v="3"/>
    <n v="1"/>
    <m/>
    <m/>
    <m/>
    <m/>
    <m/>
    <m/>
    <m/>
  </r>
  <r>
    <x v="12"/>
    <x v="10"/>
    <n v="1"/>
    <m/>
    <m/>
    <m/>
    <m/>
    <m/>
    <m/>
    <m/>
  </r>
  <r>
    <x v="12"/>
    <x v="11"/>
    <n v="1"/>
    <m/>
    <m/>
    <m/>
    <m/>
    <m/>
    <m/>
    <m/>
  </r>
  <r>
    <x v="12"/>
    <x v="58"/>
    <n v="1"/>
    <m/>
    <m/>
    <m/>
    <m/>
    <m/>
    <m/>
    <m/>
  </r>
  <r>
    <x v="12"/>
    <x v="59"/>
    <n v="1"/>
    <m/>
    <m/>
    <m/>
    <m/>
    <m/>
    <m/>
    <m/>
  </r>
  <r>
    <x v="12"/>
    <x v="15"/>
    <n v="9"/>
    <m/>
    <m/>
    <m/>
    <m/>
    <m/>
    <m/>
    <m/>
  </r>
  <r>
    <x v="12"/>
    <x v="60"/>
    <n v="4"/>
    <m/>
    <m/>
    <m/>
    <m/>
    <m/>
    <m/>
    <m/>
  </r>
  <r>
    <x v="12"/>
    <x v="18"/>
    <n v="4"/>
    <m/>
    <m/>
    <m/>
    <m/>
    <m/>
    <m/>
    <m/>
  </r>
  <r>
    <x v="12"/>
    <x v="51"/>
    <n v="2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3"/>
    <n v="16"/>
    <m/>
    <m/>
    <m/>
    <m/>
    <m/>
    <m/>
    <m/>
  </r>
  <r>
    <x v="12"/>
    <x v="6"/>
    <n v="4"/>
    <m/>
    <m/>
    <m/>
    <m/>
    <m/>
    <m/>
    <m/>
  </r>
  <r>
    <x v="12"/>
    <x v="20"/>
    <n v="5"/>
    <m/>
    <m/>
    <m/>
    <m/>
    <m/>
    <m/>
    <m/>
  </r>
  <r>
    <x v="12"/>
    <x v="11"/>
    <n v="2"/>
    <m/>
    <m/>
    <m/>
    <m/>
    <m/>
    <m/>
    <m/>
  </r>
  <r>
    <x v="12"/>
    <x v="52"/>
    <n v="2"/>
    <m/>
    <m/>
    <m/>
    <m/>
    <m/>
    <m/>
    <m/>
  </r>
  <r>
    <x v="12"/>
    <x v="33"/>
    <n v="3"/>
    <m/>
    <m/>
    <m/>
    <m/>
    <m/>
    <m/>
    <m/>
  </r>
  <r>
    <x v="12"/>
    <x v="27"/>
    <n v="1"/>
    <m/>
    <m/>
    <m/>
    <m/>
    <m/>
    <m/>
    <m/>
  </r>
  <r>
    <x v="12"/>
    <x v="75"/>
    <n v="2"/>
    <m/>
    <m/>
    <m/>
    <m/>
    <m/>
    <m/>
    <m/>
  </r>
  <r>
    <x v="12"/>
    <x v="76"/>
    <n v="7"/>
    <m/>
    <m/>
    <m/>
    <m/>
    <m/>
    <m/>
    <m/>
  </r>
  <r>
    <x v="12"/>
    <x v="28"/>
    <n v="5"/>
    <m/>
    <m/>
    <m/>
    <m/>
    <m/>
    <m/>
    <m/>
  </r>
  <r>
    <x v="12"/>
    <x v="59"/>
    <n v="2"/>
    <m/>
    <m/>
    <m/>
    <m/>
    <m/>
    <m/>
    <m/>
  </r>
  <r>
    <x v="12"/>
    <x v="1"/>
    <n v="2"/>
    <m/>
    <m/>
    <m/>
    <m/>
    <m/>
    <m/>
    <m/>
  </r>
  <r>
    <x v="12"/>
    <x v="60"/>
    <n v="4"/>
    <m/>
    <m/>
    <m/>
    <m/>
    <m/>
    <m/>
    <m/>
  </r>
  <r>
    <x v="12"/>
    <x v="37"/>
    <n v="4"/>
    <m/>
    <m/>
    <m/>
    <m/>
    <m/>
    <m/>
    <m/>
  </r>
  <r>
    <x v="12"/>
    <x v="3"/>
    <n v="1"/>
    <m/>
    <m/>
    <m/>
    <m/>
    <m/>
    <m/>
    <m/>
  </r>
  <r>
    <x v="12"/>
    <x v="6"/>
    <n v="2"/>
    <m/>
    <m/>
    <m/>
    <m/>
    <m/>
    <m/>
    <m/>
  </r>
  <r>
    <x v="12"/>
    <x v="33"/>
    <n v="5"/>
    <m/>
    <m/>
    <m/>
    <m/>
    <m/>
    <m/>
    <m/>
  </r>
  <r>
    <x v="12"/>
    <x v="40"/>
    <n v="1"/>
    <m/>
    <m/>
    <m/>
    <m/>
    <m/>
    <m/>
    <m/>
  </r>
  <r>
    <x v="12"/>
    <x v="8"/>
    <n v="1"/>
    <m/>
    <m/>
    <m/>
    <m/>
    <m/>
    <m/>
    <m/>
  </r>
  <r>
    <x v="12"/>
    <x v="0"/>
    <n v="1"/>
    <m/>
    <m/>
    <m/>
    <m/>
    <m/>
    <m/>
    <m/>
  </r>
  <r>
    <x v="12"/>
    <x v="32"/>
    <n v="3"/>
    <m/>
    <m/>
    <m/>
    <m/>
    <m/>
    <m/>
    <m/>
  </r>
  <r>
    <x v="12"/>
    <x v="34"/>
    <n v="6"/>
    <m/>
    <m/>
    <m/>
    <m/>
    <m/>
    <m/>
    <m/>
  </r>
  <r>
    <x v="12"/>
    <x v="67"/>
    <n v="2"/>
    <m/>
    <m/>
    <m/>
    <m/>
    <m/>
    <m/>
    <m/>
  </r>
  <r>
    <x v="12"/>
    <x v="1"/>
    <n v="4"/>
    <m/>
    <m/>
    <m/>
    <m/>
    <m/>
    <m/>
    <m/>
  </r>
  <r>
    <x v="12"/>
    <x v="36"/>
    <n v="1"/>
    <m/>
    <m/>
    <m/>
    <m/>
    <m/>
    <m/>
    <m/>
  </r>
  <r>
    <x v="12"/>
    <x v="4"/>
    <n v="2"/>
    <m/>
    <m/>
    <m/>
    <m/>
    <m/>
    <m/>
    <m/>
  </r>
  <r>
    <x v="12"/>
    <x v="6"/>
    <n v="4"/>
    <m/>
    <m/>
    <m/>
    <m/>
    <m/>
    <m/>
    <m/>
  </r>
  <r>
    <x v="12"/>
    <x v="65"/>
    <n v="2"/>
    <m/>
    <m/>
    <m/>
    <m/>
    <m/>
    <m/>
    <m/>
  </r>
  <r>
    <x v="12"/>
    <x v="33"/>
    <n v="7"/>
    <m/>
    <m/>
    <m/>
    <m/>
    <m/>
    <m/>
    <m/>
  </r>
  <r>
    <x v="12"/>
    <x v="7"/>
    <n v="1"/>
    <m/>
    <m/>
    <m/>
    <m/>
    <m/>
    <m/>
    <m/>
  </r>
  <r>
    <x v="12"/>
    <x v="27"/>
    <n v="1"/>
    <m/>
    <m/>
    <m/>
    <m/>
    <m/>
    <m/>
    <m/>
  </r>
  <r>
    <x v="12"/>
    <x v="8"/>
    <n v="2"/>
    <m/>
    <m/>
    <m/>
    <m/>
    <m/>
    <m/>
    <m/>
  </r>
  <r>
    <x v="12"/>
    <x v="58"/>
    <n v="1"/>
    <m/>
    <m/>
    <m/>
    <m/>
    <m/>
    <m/>
    <m/>
  </r>
  <r>
    <x v="12"/>
    <x v="3"/>
    <n v="10"/>
    <m/>
    <m/>
    <m/>
    <m/>
    <m/>
    <m/>
    <m/>
  </r>
  <r>
    <x v="12"/>
    <x v="37"/>
    <n v="3"/>
    <m/>
    <m/>
    <m/>
    <m/>
    <m/>
    <m/>
    <m/>
  </r>
  <r>
    <x v="12"/>
    <x v="30"/>
    <n v="4"/>
    <m/>
    <m/>
    <m/>
    <m/>
    <m/>
    <m/>
    <m/>
  </r>
  <r>
    <x v="12"/>
    <x v="11"/>
    <n v="2"/>
    <m/>
    <m/>
    <m/>
    <m/>
    <m/>
    <m/>
    <m/>
  </r>
  <r>
    <x v="12"/>
    <x v="12"/>
    <n v="1"/>
    <m/>
    <m/>
    <m/>
    <m/>
    <m/>
    <m/>
    <m/>
  </r>
  <r>
    <x v="12"/>
    <x v="73"/>
    <n v="1"/>
    <m/>
    <m/>
    <m/>
    <m/>
    <m/>
    <m/>
    <m/>
  </r>
  <r>
    <x v="12"/>
    <x v="57"/>
    <n v="2"/>
    <m/>
    <m/>
    <m/>
    <m/>
    <m/>
    <m/>
    <m/>
  </r>
  <r>
    <x v="12"/>
    <x v="21"/>
    <n v="1"/>
    <m/>
    <m/>
    <m/>
    <m/>
    <m/>
    <m/>
    <m/>
  </r>
  <r>
    <x v="12"/>
    <x v="57"/>
    <n v="34"/>
    <m/>
    <m/>
    <m/>
    <m/>
    <m/>
    <m/>
    <m/>
  </r>
  <r>
    <x v="12"/>
    <x v="3"/>
    <n v="3"/>
    <m/>
    <m/>
    <m/>
    <m/>
    <m/>
    <m/>
    <m/>
  </r>
  <r>
    <x v="12"/>
    <x v="4"/>
    <n v="26"/>
    <m/>
    <m/>
    <m/>
    <m/>
    <m/>
    <m/>
    <m/>
  </r>
  <r>
    <x v="12"/>
    <x v="33"/>
    <n v="3"/>
    <m/>
    <m/>
    <m/>
    <m/>
    <m/>
    <m/>
    <m/>
  </r>
  <r>
    <x v="12"/>
    <x v="8"/>
    <n v="1"/>
    <m/>
    <m/>
    <m/>
    <m/>
    <m/>
    <m/>
    <m/>
  </r>
  <r>
    <x v="12"/>
    <x v="61"/>
    <n v="4"/>
    <m/>
    <m/>
    <m/>
    <m/>
    <m/>
    <m/>
    <m/>
  </r>
  <r>
    <x v="12"/>
    <x v="22"/>
    <n v="41"/>
    <m/>
    <m/>
    <m/>
    <m/>
    <m/>
    <m/>
    <m/>
  </r>
  <r>
    <x v="12"/>
    <x v="23"/>
    <n v="30"/>
    <m/>
    <m/>
    <m/>
    <m/>
    <m/>
    <m/>
    <m/>
  </r>
  <r>
    <x v="12"/>
    <x v="24"/>
    <n v="2"/>
    <m/>
    <m/>
    <m/>
    <m/>
    <m/>
    <m/>
    <m/>
  </r>
  <r>
    <x v="12"/>
    <x v="62"/>
    <n v="15"/>
    <m/>
    <m/>
    <m/>
    <m/>
    <m/>
    <m/>
    <m/>
  </r>
  <r>
    <x v="12"/>
    <x v="63"/>
    <n v="2"/>
    <m/>
    <m/>
    <m/>
    <m/>
    <m/>
    <m/>
    <m/>
  </r>
  <r>
    <x v="12"/>
    <x v="74"/>
    <n v="2"/>
    <m/>
    <m/>
    <m/>
    <m/>
    <m/>
    <m/>
    <m/>
  </r>
  <r>
    <x v="12"/>
    <x v="25"/>
    <n v="15"/>
    <m/>
    <m/>
    <m/>
    <m/>
    <m/>
    <m/>
    <m/>
  </r>
  <r>
    <x v="12"/>
    <x v="70"/>
    <n v="1"/>
    <m/>
    <m/>
    <m/>
    <m/>
    <m/>
    <m/>
    <m/>
  </r>
  <r>
    <x v="12"/>
    <x v="26"/>
    <n v="30"/>
    <m/>
    <m/>
    <m/>
    <m/>
    <m/>
    <m/>
    <m/>
  </r>
  <r>
    <x v="12"/>
    <x v="74"/>
    <n v="2"/>
    <m/>
    <m/>
    <m/>
    <m/>
    <m/>
    <m/>
    <m/>
  </r>
  <r>
    <x v="12"/>
    <x v="63"/>
    <n v="5"/>
    <m/>
    <m/>
    <m/>
    <m/>
    <m/>
    <m/>
    <m/>
  </r>
  <r>
    <x v="12"/>
    <x v="15"/>
    <n v="1"/>
    <m/>
    <m/>
    <m/>
    <m/>
    <m/>
    <m/>
    <m/>
  </r>
  <r>
    <x v="12"/>
    <x v="3"/>
    <n v="3"/>
    <m/>
    <m/>
    <m/>
    <m/>
    <m/>
    <m/>
    <m/>
  </r>
  <r>
    <x v="12"/>
    <x v="5"/>
    <n v="1"/>
    <m/>
    <m/>
    <m/>
    <m/>
    <m/>
    <m/>
    <m/>
  </r>
  <r>
    <x v="12"/>
    <x v="33"/>
    <n v="5"/>
    <m/>
    <m/>
    <m/>
    <m/>
    <m/>
    <m/>
    <m/>
  </r>
  <r>
    <x v="12"/>
    <x v="40"/>
    <n v="3"/>
    <m/>
    <m/>
    <m/>
    <m/>
    <m/>
    <m/>
    <m/>
  </r>
  <r>
    <x v="12"/>
    <x v="42"/>
    <n v="2"/>
    <m/>
    <m/>
    <m/>
    <m/>
    <m/>
    <m/>
    <m/>
  </r>
  <r>
    <x v="12"/>
    <x v="6"/>
    <n v="3"/>
    <m/>
    <m/>
    <m/>
    <m/>
    <m/>
    <m/>
    <m/>
  </r>
  <r>
    <x v="12"/>
    <x v="1"/>
    <n v="2"/>
    <m/>
    <m/>
    <m/>
    <m/>
    <m/>
    <m/>
    <m/>
  </r>
  <r>
    <x v="12"/>
    <x v="21"/>
    <n v="2"/>
    <m/>
    <m/>
    <m/>
    <m/>
    <m/>
    <m/>
    <m/>
  </r>
  <r>
    <x v="12"/>
    <x v="28"/>
    <n v="1"/>
    <m/>
    <m/>
    <m/>
    <m/>
    <m/>
    <m/>
    <m/>
  </r>
  <r>
    <x v="12"/>
    <x v="12"/>
    <n v="1"/>
    <m/>
    <m/>
    <m/>
    <m/>
    <m/>
    <m/>
    <m/>
  </r>
  <r>
    <x v="12"/>
    <x v="1"/>
    <n v="2"/>
    <m/>
    <m/>
    <m/>
    <m/>
    <m/>
    <m/>
    <m/>
  </r>
  <r>
    <x v="12"/>
    <x v="73"/>
    <n v="1"/>
    <m/>
    <m/>
    <m/>
    <m/>
    <m/>
    <m/>
    <m/>
  </r>
  <r>
    <x v="12"/>
    <x v="51"/>
    <n v="1"/>
    <m/>
    <m/>
    <m/>
    <m/>
    <m/>
    <m/>
    <m/>
  </r>
  <r>
    <x v="12"/>
    <x v="3"/>
    <n v="1"/>
    <m/>
    <m/>
    <m/>
    <m/>
    <m/>
    <m/>
    <m/>
  </r>
  <r>
    <x v="12"/>
    <x v="10"/>
    <n v="1"/>
    <m/>
    <m/>
    <m/>
    <m/>
    <m/>
    <m/>
    <m/>
  </r>
  <r>
    <x v="12"/>
    <x v="65"/>
    <n v="1"/>
    <m/>
    <m/>
    <m/>
    <m/>
    <m/>
    <m/>
    <m/>
  </r>
  <r>
    <x v="12"/>
    <x v="11"/>
    <n v="1"/>
    <m/>
    <m/>
    <m/>
    <m/>
    <m/>
    <m/>
    <m/>
  </r>
  <r>
    <x v="12"/>
    <x v="52"/>
    <n v="2"/>
    <m/>
    <m/>
    <m/>
    <m/>
    <m/>
    <m/>
    <m/>
  </r>
  <r>
    <x v="12"/>
    <x v="53"/>
    <n v="2"/>
    <m/>
    <m/>
    <m/>
    <m/>
    <m/>
    <m/>
    <m/>
  </r>
  <r>
    <x v="12"/>
    <x v="54"/>
    <n v="2"/>
    <m/>
    <m/>
    <m/>
    <m/>
    <m/>
    <m/>
    <m/>
  </r>
  <r>
    <x v="12"/>
    <x v="28"/>
    <n v="6"/>
    <m/>
    <m/>
    <m/>
    <m/>
    <m/>
    <m/>
    <m/>
  </r>
  <r>
    <x v="12"/>
    <x v="2"/>
    <n v="3"/>
    <m/>
    <m/>
    <m/>
    <m/>
    <m/>
    <m/>
    <m/>
  </r>
  <r>
    <x v="12"/>
    <x v="18"/>
    <n v="2"/>
    <m/>
    <m/>
    <m/>
    <m/>
    <m/>
    <m/>
    <m/>
  </r>
  <r>
    <x v="12"/>
    <x v="30"/>
    <n v="2"/>
    <m/>
    <m/>
    <m/>
    <m/>
    <m/>
    <m/>
    <m/>
  </r>
  <r>
    <x v="12"/>
    <x v="3"/>
    <n v="10"/>
    <m/>
    <m/>
    <m/>
    <m/>
    <m/>
    <m/>
    <m/>
  </r>
  <r>
    <x v="12"/>
    <x v="19"/>
    <n v="1"/>
    <m/>
    <m/>
    <m/>
    <m/>
    <m/>
    <m/>
    <m/>
  </r>
  <r>
    <x v="12"/>
    <x v="6"/>
    <n v="2"/>
    <m/>
    <m/>
    <m/>
    <m/>
    <m/>
    <m/>
    <m/>
  </r>
  <r>
    <x v="12"/>
    <x v="65"/>
    <n v="1"/>
    <m/>
    <m/>
    <m/>
    <m/>
    <m/>
    <m/>
    <m/>
  </r>
  <r>
    <x v="12"/>
    <x v="11"/>
    <n v="2"/>
    <m/>
    <m/>
    <m/>
    <m/>
    <m/>
    <m/>
    <m/>
  </r>
  <r>
    <x v="12"/>
    <x v="33"/>
    <n v="10"/>
    <m/>
    <m/>
    <m/>
    <m/>
    <m/>
    <m/>
    <m/>
  </r>
  <r>
    <x v="12"/>
    <x v="41"/>
    <n v="1"/>
    <m/>
    <m/>
    <m/>
    <m/>
    <m/>
    <m/>
    <m/>
  </r>
  <r>
    <x v="12"/>
    <x v="8"/>
    <n v="2"/>
    <m/>
    <m/>
    <m/>
    <m/>
    <m/>
    <m/>
    <m/>
  </r>
  <r>
    <x v="12"/>
    <x v="66"/>
    <n v="2"/>
    <m/>
    <m/>
    <m/>
    <m/>
    <m/>
    <m/>
    <m/>
  </r>
  <r>
    <x v="12"/>
    <x v="33"/>
    <n v="2"/>
    <m/>
    <m/>
    <m/>
    <m/>
    <m/>
    <m/>
    <m/>
  </r>
  <r>
    <x v="12"/>
    <x v="52"/>
    <n v="2"/>
    <m/>
    <m/>
    <m/>
    <m/>
    <m/>
    <m/>
    <m/>
  </r>
  <r>
    <x v="12"/>
    <x v="33"/>
    <n v="2"/>
    <m/>
    <m/>
    <m/>
    <m/>
    <m/>
    <m/>
    <m/>
  </r>
  <r>
    <x v="12"/>
    <x v="20"/>
    <n v="1"/>
    <m/>
    <m/>
    <m/>
    <m/>
    <m/>
    <m/>
    <m/>
  </r>
  <r>
    <x v="12"/>
    <x v="5"/>
    <n v="1"/>
    <m/>
    <m/>
    <m/>
    <m/>
    <m/>
    <m/>
    <m/>
  </r>
  <r>
    <x v="12"/>
    <x v="15"/>
    <n v="8"/>
    <m/>
    <m/>
    <m/>
    <m/>
    <m/>
    <m/>
    <m/>
  </r>
  <r>
    <x v="12"/>
    <x v="60"/>
    <n v="4"/>
    <m/>
    <m/>
    <m/>
    <m/>
    <m/>
    <m/>
    <m/>
  </r>
  <r>
    <x v="12"/>
    <x v="18"/>
    <n v="4"/>
    <m/>
    <m/>
    <m/>
    <m/>
    <m/>
    <m/>
    <m/>
  </r>
  <r>
    <x v="12"/>
    <x v="23"/>
    <n v="1"/>
    <m/>
    <m/>
    <m/>
    <m/>
    <m/>
    <m/>
    <m/>
  </r>
  <r>
    <x v="12"/>
    <x v="31"/>
    <n v="2"/>
    <m/>
    <m/>
    <m/>
    <m/>
    <m/>
    <m/>
    <m/>
  </r>
  <r>
    <x v="12"/>
    <x v="51"/>
    <n v="2"/>
    <m/>
    <m/>
    <m/>
    <m/>
    <m/>
    <m/>
    <m/>
  </r>
  <r>
    <x v="12"/>
    <x v="0"/>
    <n v="3"/>
    <m/>
    <m/>
    <m/>
    <m/>
    <m/>
    <m/>
    <m/>
  </r>
  <r>
    <x v="12"/>
    <x v="28"/>
    <n v="14"/>
    <m/>
    <m/>
    <m/>
    <m/>
    <m/>
    <m/>
    <m/>
  </r>
  <r>
    <x v="12"/>
    <x v="32"/>
    <n v="30"/>
    <m/>
    <m/>
    <m/>
    <m/>
    <m/>
    <m/>
    <m/>
  </r>
  <r>
    <x v="12"/>
    <x v="34"/>
    <n v="50"/>
    <m/>
    <m/>
    <m/>
    <m/>
    <m/>
    <m/>
    <m/>
  </r>
  <r>
    <x v="12"/>
    <x v="67"/>
    <n v="30"/>
    <m/>
    <m/>
    <m/>
    <m/>
    <m/>
    <m/>
    <m/>
  </r>
  <r>
    <x v="12"/>
    <x v="1"/>
    <n v="10"/>
    <m/>
    <m/>
    <m/>
    <m/>
    <m/>
    <m/>
    <m/>
  </r>
  <r>
    <x v="12"/>
    <x v="36"/>
    <n v="23"/>
    <m/>
    <m/>
    <m/>
    <m/>
    <m/>
    <m/>
    <m/>
  </r>
  <r>
    <x v="12"/>
    <x v="6"/>
    <n v="30"/>
    <m/>
    <m/>
    <m/>
    <m/>
    <m/>
    <m/>
    <m/>
  </r>
  <r>
    <x v="12"/>
    <x v="20"/>
    <n v="1"/>
    <m/>
    <m/>
    <m/>
    <m/>
    <m/>
    <m/>
    <m/>
  </r>
  <r>
    <x v="12"/>
    <x v="33"/>
    <n v="100"/>
    <m/>
    <m/>
    <m/>
    <m/>
    <m/>
    <m/>
    <m/>
  </r>
  <r>
    <x v="12"/>
    <x v="39"/>
    <n v="20"/>
    <m/>
    <m/>
    <m/>
    <m/>
    <m/>
    <m/>
    <m/>
  </r>
  <r>
    <x v="12"/>
    <x v="8"/>
    <n v="34"/>
    <m/>
    <m/>
    <m/>
    <m/>
    <m/>
    <m/>
    <m/>
  </r>
  <r>
    <x v="12"/>
    <x v="28"/>
    <n v="1"/>
    <m/>
    <m/>
    <m/>
    <m/>
    <m/>
    <m/>
    <m/>
  </r>
  <r>
    <x v="12"/>
    <x v="29"/>
    <n v="1"/>
    <m/>
    <m/>
    <m/>
    <m/>
    <m/>
    <m/>
    <m/>
  </r>
  <r>
    <x v="12"/>
    <x v="1"/>
    <n v="4"/>
    <m/>
    <m/>
    <m/>
    <m/>
    <m/>
    <m/>
    <m/>
  </r>
  <r>
    <x v="12"/>
    <x v="14"/>
    <n v="8"/>
    <m/>
    <m/>
    <m/>
    <m/>
    <m/>
    <m/>
    <m/>
  </r>
  <r>
    <x v="12"/>
    <x v="15"/>
    <n v="22"/>
    <m/>
    <m/>
    <m/>
    <m/>
    <m/>
    <m/>
    <m/>
  </r>
  <r>
    <x v="12"/>
    <x v="60"/>
    <n v="2"/>
    <m/>
    <m/>
    <m/>
    <m/>
    <m/>
    <m/>
    <m/>
  </r>
  <r>
    <x v="12"/>
    <x v="18"/>
    <n v="18"/>
    <m/>
    <m/>
    <m/>
    <m/>
    <m/>
    <m/>
    <m/>
  </r>
  <r>
    <x v="12"/>
    <x v="51"/>
    <n v="3"/>
    <m/>
    <m/>
    <m/>
    <m/>
    <m/>
    <m/>
    <m/>
  </r>
  <r>
    <x v="12"/>
    <x v="37"/>
    <n v="1"/>
    <m/>
    <m/>
    <m/>
    <m/>
    <m/>
    <m/>
    <m/>
  </r>
  <r>
    <x v="12"/>
    <x v="30"/>
    <n v="2"/>
    <m/>
    <m/>
    <m/>
    <m/>
    <m/>
    <m/>
    <m/>
  </r>
  <r>
    <x v="12"/>
    <x v="3"/>
    <n v="99"/>
    <m/>
    <m/>
    <m/>
    <m/>
    <m/>
    <m/>
    <m/>
  </r>
  <r>
    <x v="12"/>
    <x v="4"/>
    <n v="2"/>
    <m/>
    <m/>
    <m/>
    <m/>
    <m/>
    <m/>
    <m/>
  </r>
  <r>
    <x v="12"/>
    <x v="6"/>
    <n v="1"/>
    <m/>
    <m/>
    <m/>
    <m/>
    <m/>
    <m/>
    <m/>
  </r>
  <r>
    <x v="12"/>
    <x v="65"/>
    <n v="9"/>
    <m/>
    <m/>
    <m/>
    <m/>
    <m/>
    <m/>
    <m/>
  </r>
  <r>
    <x v="12"/>
    <x v="33"/>
    <n v="5"/>
    <m/>
    <m/>
    <m/>
    <m/>
    <m/>
    <m/>
    <m/>
  </r>
  <r>
    <x v="12"/>
    <x v="39"/>
    <n v="4"/>
    <m/>
    <m/>
    <m/>
    <m/>
    <m/>
    <m/>
    <m/>
  </r>
  <r>
    <x v="12"/>
    <x v="53"/>
    <n v="6"/>
    <m/>
    <m/>
    <m/>
    <m/>
    <m/>
    <m/>
    <m/>
  </r>
  <r>
    <x v="12"/>
    <x v="54"/>
    <n v="5"/>
    <m/>
    <m/>
    <m/>
    <m/>
    <m/>
    <m/>
    <m/>
  </r>
  <r>
    <x v="12"/>
    <x v="41"/>
    <n v="62"/>
    <m/>
    <m/>
    <m/>
    <m/>
    <m/>
    <m/>
    <m/>
  </r>
  <r>
    <x v="12"/>
    <x v="3"/>
    <n v="4"/>
    <m/>
    <m/>
    <m/>
    <m/>
    <m/>
    <m/>
    <m/>
  </r>
  <r>
    <x v="12"/>
    <x v="6"/>
    <n v="4"/>
    <m/>
    <m/>
    <m/>
    <m/>
    <m/>
    <m/>
    <m/>
  </r>
  <r>
    <x v="12"/>
    <x v="33"/>
    <n v="3"/>
    <m/>
    <m/>
    <m/>
    <m/>
    <m/>
    <m/>
    <m/>
  </r>
  <r>
    <x v="12"/>
    <x v="1"/>
    <n v="4"/>
    <m/>
    <m/>
    <m/>
    <m/>
    <m/>
    <m/>
    <m/>
  </r>
  <r>
    <x v="12"/>
    <x v="67"/>
    <n v="30"/>
    <m/>
    <m/>
    <m/>
    <m/>
    <m/>
    <m/>
    <m/>
  </r>
  <r>
    <x v="12"/>
    <x v="6"/>
    <n v="30"/>
    <m/>
    <m/>
    <m/>
    <m/>
    <m/>
    <m/>
    <m/>
  </r>
  <r>
    <x v="12"/>
    <x v="33"/>
    <n v="100"/>
    <m/>
    <m/>
    <m/>
    <m/>
    <m/>
    <m/>
    <m/>
  </r>
  <r>
    <x v="12"/>
    <x v="7"/>
    <n v="20"/>
    <m/>
    <m/>
    <m/>
    <m/>
    <m/>
    <m/>
    <m/>
  </r>
  <r>
    <x v="12"/>
    <x v="8"/>
    <n v="30"/>
    <m/>
    <m/>
    <m/>
    <m/>
    <m/>
    <m/>
    <m/>
  </r>
  <r>
    <x v="12"/>
    <x v="15"/>
    <n v="3"/>
    <m/>
    <m/>
    <m/>
    <m/>
    <m/>
    <m/>
    <m/>
  </r>
  <r>
    <x v="12"/>
    <x v="3"/>
    <n v="3"/>
    <m/>
    <m/>
    <m/>
    <m/>
    <m/>
    <m/>
    <m/>
  </r>
  <r>
    <x v="12"/>
    <x v="65"/>
    <n v="3"/>
    <m/>
    <m/>
    <m/>
    <m/>
    <m/>
    <m/>
    <m/>
  </r>
  <r>
    <x v="12"/>
    <x v="28"/>
    <n v="2"/>
    <m/>
    <m/>
    <m/>
    <m/>
    <m/>
    <m/>
    <m/>
  </r>
  <r>
    <x v="12"/>
    <x v="32"/>
    <n v="1"/>
    <m/>
    <m/>
    <m/>
    <m/>
    <m/>
    <m/>
    <m/>
  </r>
  <r>
    <x v="12"/>
    <x v="34"/>
    <n v="5"/>
    <m/>
    <m/>
    <m/>
    <m/>
    <m/>
    <m/>
    <m/>
  </r>
  <r>
    <x v="12"/>
    <x v="58"/>
    <n v="2"/>
    <m/>
    <m/>
    <m/>
    <m/>
    <m/>
    <m/>
    <m/>
  </r>
  <r>
    <x v="12"/>
    <x v="67"/>
    <n v="2"/>
    <m/>
    <m/>
    <m/>
    <m/>
    <m/>
    <m/>
    <m/>
  </r>
  <r>
    <x v="12"/>
    <x v="35"/>
    <n v="1"/>
    <m/>
    <m/>
    <m/>
    <m/>
    <m/>
    <m/>
    <m/>
  </r>
  <r>
    <x v="12"/>
    <x v="13"/>
    <n v="2"/>
    <m/>
    <m/>
    <m/>
    <m/>
    <m/>
    <m/>
    <m/>
  </r>
  <r>
    <x v="12"/>
    <x v="14"/>
    <n v="1"/>
    <m/>
    <m/>
    <m/>
    <m/>
    <m/>
    <m/>
    <m/>
  </r>
  <r>
    <x v="12"/>
    <x v="2"/>
    <n v="1"/>
    <m/>
    <m/>
    <m/>
    <m/>
    <m/>
    <m/>
    <m/>
  </r>
  <r>
    <x v="12"/>
    <x v="15"/>
    <n v="2"/>
    <m/>
    <m/>
    <m/>
    <m/>
    <m/>
    <m/>
    <m/>
  </r>
  <r>
    <x v="12"/>
    <x v="68"/>
    <n v="1"/>
    <m/>
    <m/>
    <m/>
    <m/>
    <m/>
    <m/>
    <m/>
  </r>
  <r>
    <x v="12"/>
    <x v="60"/>
    <n v="1"/>
    <m/>
    <m/>
    <m/>
    <m/>
    <m/>
    <m/>
    <m/>
  </r>
  <r>
    <x v="12"/>
    <x v="17"/>
    <n v="1"/>
    <m/>
    <m/>
    <m/>
    <m/>
    <m/>
    <m/>
    <m/>
  </r>
  <r>
    <x v="12"/>
    <x v="36"/>
    <n v="2"/>
    <m/>
    <m/>
    <m/>
    <m/>
    <m/>
    <m/>
    <m/>
  </r>
  <r>
    <x v="12"/>
    <x v="18"/>
    <n v="1"/>
    <m/>
    <m/>
    <m/>
    <m/>
    <m/>
    <m/>
    <m/>
  </r>
  <r>
    <x v="12"/>
    <x v="48"/>
    <n v="1"/>
    <m/>
    <m/>
    <m/>
    <m/>
    <m/>
    <m/>
    <m/>
  </r>
  <r>
    <x v="12"/>
    <x v="30"/>
    <n v="1"/>
    <m/>
    <m/>
    <m/>
    <m/>
    <m/>
    <m/>
    <m/>
  </r>
  <r>
    <x v="12"/>
    <x v="3"/>
    <n v="7"/>
    <m/>
    <m/>
    <m/>
    <m/>
    <m/>
    <m/>
    <m/>
  </r>
  <r>
    <x v="12"/>
    <x v="4"/>
    <n v="1"/>
    <m/>
    <m/>
    <m/>
    <m/>
    <m/>
    <m/>
    <m/>
  </r>
  <r>
    <x v="12"/>
    <x v="19"/>
    <n v="1"/>
    <m/>
    <m/>
    <m/>
    <m/>
    <m/>
    <m/>
    <m/>
  </r>
  <r>
    <x v="12"/>
    <x v="5"/>
    <n v="1"/>
    <m/>
    <m/>
    <m/>
    <m/>
    <m/>
    <m/>
    <m/>
  </r>
  <r>
    <x v="12"/>
    <x v="6"/>
    <n v="10"/>
    <m/>
    <m/>
    <m/>
    <m/>
    <m/>
    <m/>
    <m/>
  </r>
  <r>
    <x v="12"/>
    <x v="20"/>
    <n v="2"/>
    <m/>
    <m/>
    <m/>
    <m/>
    <m/>
    <m/>
    <m/>
  </r>
  <r>
    <x v="12"/>
    <x v="38"/>
    <n v="3"/>
    <m/>
    <m/>
    <m/>
    <m/>
    <m/>
    <m/>
    <m/>
  </r>
  <r>
    <x v="12"/>
    <x v="11"/>
    <n v="2"/>
    <m/>
    <m/>
    <m/>
    <m/>
    <m/>
    <m/>
    <m/>
  </r>
  <r>
    <x v="12"/>
    <x v="33"/>
    <n v="5"/>
    <m/>
    <m/>
    <m/>
    <m/>
    <m/>
    <m/>
    <m/>
  </r>
  <r>
    <x v="12"/>
    <x v="7"/>
    <n v="1"/>
    <m/>
    <m/>
    <m/>
    <m/>
    <m/>
    <m/>
    <m/>
  </r>
  <r>
    <x v="12"/>
    <x v="53"/>
    <n v="3"/>
    <m/>
    <m/>
    <m/>
    <m/>
    <m/>
    <m/>
    <m/>
  </r>
  <r>
    <x v="12"/>
    <x v="40"/>
    <n v="4"/>
    <m/>
    <m/>
    <m/>
    <m/>
    <m/>
    <m/>
    <m/>
  </r>
  <r>
    <x v="12"/>
    <x v="41"/>
    <n v="5"/>
    <m/>
    <m/>
    <m/>
    <m/>
    <m/>
    <m/>
    <m/>
  </r>
  <r>
    <x v="12"/>
    <x v="27"/>
    <n v="2"/>
    <m/>
    <m/>
    <m/>
    <m/>
    <m/>
    <m/>
    <m/>
  </r>
  <r>
    <x v="12"/>
    <x v="42"/>
    <n v="1"/>
    <m/>
    <m/>
    <m/>
    <m/>
    <m/>
    <m/>
    <m/>
  </r>
  <r>
    <x v="12"/>
    <x v="8"/>
    <n v="3"/>
    <m/>
    <m/>
    <m/>
    <m/>
    <m/>
    <m/>
    <m/>
  </r>
  <r>
    <x v="12"/>
    <x v="43"/>
    <n v="2"/>
    <m/>
    <m/>
    <m/>
    <m/>
    <m/>
    <m/>
    <m/>
  </r>
  <r>
    <x v="12"/>
    <x v="72"/>
    <n v="1"/>
    <m/>
    <m/>
    <m/>
    <m/>
    <m/>
    <m/>
    <m/>
  </r>
  <r>
    <x v="12"/>
    <x v="44"/>
    <n v="2"/>
    <m/>
    <m/>
    <m/>
    <m/>
    <m/>
    <m/>
    <m/>
  </r>
  <r>
    <x v="12"/>
    <x v="45"/>
    <n v="1"/>
    <m/>
    <m/>
    <m/>
    <m/>
    <m/>
    <m/>
    <m/>
  </r>
  <r>
    <x v="12"/>
    <x v="46"/>
    <n v="1"/>
    <m/>
    <m/>
    <m/>
    <m/>
    <m/>
    <m/>
    <m/>
  </r>
  <r>
    <x v="12"/>
    <x v="0"/>
    <n v="3"/>
    <m/>
    <m/>
    <m/>
    <m/>
    <m/>
    <m/>
    <m/>
  </r>
  <r>
    <x v="12"/>
    <x v="32"/>
    <n v="30"/>
    <m/>
    <m/>
    <m/>
    <m/>
    <m/>
    <m/>
    <m/>
  </r>
  <r>
    <x v="12"/>
    <x v="34"/>
    <n v="50"/>
    <m/>
    <m/>
    <m/>
    <m/>
    <m/>
    <m/>
    <m/>
  </r>
  <r>
    <x v="12"/>
    <x v="1"/>
    <n v="4"/>
    <m/>
    <m/>
    <m/>
    <m/>
    <m/>
    <m/>
    <m/>
  </r>
  <r>
    <x v="12"/>
    <x v="36"/>
    <n v="23"/>
    <m/>
    <m/>
    <m/>
    <m/>
    <m/>
    <m/>
    <m/>
  </r>
  <r>
    <x v="12"/>
    <x v="20"/>
    <n v="1"/>
    <m/>
    <m/>
    <m/>
    <m/>
    <m/>
    <m/>
    <m/>
  </r>
  <r>
    <x v="12"/>
    <x v="42"/>
    <n v="30"/>
    <m/>
    <m/>
    <m/>
    <m/>
    <m/>
    <m/>
    <m/>
  </r>
  <r>
    <x v="12"/>
    <x v="8"/>
    <n v="3"/>
    <m/>
    <m/>
    <m/>
    <m/>
    <m/>
    <m/>
    <m/>
  </r>
  <r>
    <x v="12"/>
    <x v="35"/>
    <n v="1"/>
    <m/>
    <m/>
    <m/>
    <m/>
    <m/>
    <m/>
    <m/>
  </r>
  <r>
    <x v="12"/>
    <x v="3"/>
    <n v="1"/>
    <m/>
    <m/>
    <m/>
    <m/>
    <m/>
    <m/>
    <m/>
  </r>
  <r>
    <x v="12"/>
    <x v="6"/>
    <n v="1"/>
    <m/>
    <m/>
    <m/>
    <m/>
    <m/>
    <m/>
    <m/>
  </r>
  <r>
    <x v="12"/>
    <x v="52"/>
    <n v="1"/>
    <m/>
    <m/>
    <m/>
    <m/>
    <m/>
    <m/>
    <m/>
  </r>
  <r>
    <x v="12"/>
    <x v="39"/>
    <n v="1"/>
    <m/>
    <m/>
    <m/>
    <m/>
    <m/>
    <m/>
    <m/>
  </r>
  <r>
    <x v="12"/>
    <x v="41"/>
    <n v="1"/>
    <m/>
    <m/>
    <m/>
    <m/>
    <m/>
    <m/>
    <m/>
  </r>
  <r>
    <x v="12"/>
    <x v="40"/>
    <n v="3"/>
    <m/>
    <m/>
    <m/>
    <m/>
    <m/>
    <m/>
    <m/>
  </r>
  <r>
    <x v="13"/>
    <x v="58"/>
    <n v="1"/>
    <m/>
    <m/>
    <m/>
    <m/>
    <m/>
    <m/>
    <m/>
  </r>
  <r>
    <x v="13"/>
    <x v="15"/>
    <n v="2"/>
    <m/>
    <m/>
    <m/>
    <m/>
    <m/>
    <m/>
    <m/>
  </r>
  <r>
    <x v="13"/>
    <x v="51"/>
    <n v="3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3"/>
    <n v="12"/>
    <m/>
    <m/>
    <m/>
    <m/>
    <m/>
    <m/>
    <m/>
  </r>
  <r>
    <x v="13"/>
    <x v="4"/>
    <n v="12"/>
    <m/>
    <m/>
    <m/>
    <m/>
    <m/>
    <m/>
    <m/>
  </r>
  <r>
    <x v="13"/>
    <x v="6"/>
    <n v="8"/>
    <m/>
    <m/>
    <m/>
    <m/>
    <m/>
    <m/>
    <m/>
  </r>
  <r>
    <x v="13"/>
    <x v="20"/>
    <n v="1"/>
    <m/>
    <m/>
    <m/>
    <m/>
    <m/>
    <m/>
    <m/>
  </r>
  <r>
    <x v="13"/>
    <x v="11"/>
    <n v="7"/>
    <m/>
    <m/>
    <m/>
    <m/>
    <m/>
    <m/>
    <m/>
  </r>
  <r>
    <x v="13"/>
    <x v="27"/>
    <n v="1"/>
    <m/>
    <m/>
    <m/>
    <m/>
    <m/>
    <m/>
    <m/>
  </r>
  <r>
    <x v="13"/>
    <x v="15"/>
    <n v="2"/>
    <m/>
    <m/>
    <m/>
    <m/>
    <m/>
    <m/>
    <m/>
  </r>
  <r>
    <x v="13"/>
    <x v="3"/>
    <n v="5"/>
    <m/>
    <m/>
    <m/>
    <m/>
    <m/>
    <m/>
    <m/>
  </r>
  <r>
    <x v="13"/>
    <x v="33"/>
    <n v="10"/>
    <m/>
    <m/>
    <m/>
    <m/>
    <m/>
    <m/>
    <m/>
  </r>
  <r>
    <x v="13"/>
    <x v="42"/>
    <n v="2"/>
    <m/>
    <m/>
    <m/>
    <m/>
    <m/>
    <m/>
    <m/>
  </r>
  <r>
    <x v="13"/>
    <x v="15"/>
    <n v="1"/>
    <m/>
    <m/>
    <m/>
    <m/>
    <m/>
    <m/>
    <m/>
  </r>
  <r>
    <x v="13"/>
    <x v="50"/>
    <n v="1"/>
    <m/>
    <m/>
    <m/>
    <m/>
    <m/>
    <m/>
    <m/>
  </r>
  <r>
    <x v="13"/>
    <x v="59"/>
    <n v="1"/>
    <m/>
    <m/>
    <m/>
    <m/>
    <m/>
    <m/>
    <m/>
  </r>
  <r>
    <x v="13"/>
    <x v="9"/>
    <n v="1"/>
    <m/>
    <m/>
    <m/>
    <m/>
    <m/>
    <m/>
    <m/>
  </r>
  <r>
    <x v="13"/>
    <x v="37"/>
    <n v="1"/>
    <m/>
    <m/>
    <m/>
    <m/>
    <m/>
    <m/>
    <m/>
  </r>
  <r>
    <x v="13"/>
    <x v="30"/>
    <n v="1"/>
    <m/>
    <m/>
    <m/>
    <m/>
    <m/>
    <m/>
    <m/>
  </r>
  <r>
    <x v="13"/>
    <x v="3"/>
    <n v="12"/>
    <m/>
    <m/>
    <m/>
    <m/>
    <m/>
    <m/>
    <m/>
  </r>
  <r>
    <x v="13"/>
    <x v="10"/>
    <n v="2"/>
    <m/>
    <m/>
    <m/>
    <m/>
    <m/>
    <m/>
    <m/>
  </r>
  <r>
    <x v="13"/>
    <x v="58"/>
    <n v="1"/>
    <m/>
    <m/>
    <m/>
    <m/>
    <m/>
    <m/>
    <m/>
  </r>
  <r>
    <x v="13"/>
    <x v="15"/>
    <n v="2"/>
    <m/>
    <m/>
    <m/>
    <m/>
    <m/>
    <m/>
    <m/>
  </r>
  <r>
    <x v="13"/>
    <x v="51"/>
    <n v="3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3"/>
    <n v="12"/>
    <m/>
    <m/>
    <m/>
    <m/>
    <m/>
    <m/>
    <m/>
  </r>
  <r>
    <x v="13"/>
    <x v="6"/>
    <n v="2"/>
    <m/>
    <m/>
    <m/>
    <m/>
    <m/>
    <m/>
    <m/>
  </r>
  <r>
    <x v="13"/>
    <x v="11"/>
    <n v="7"/>
    <m/>
    <m/>
    <m/>
    <m/>
    <m/>
    <m/>
    <m/>
  </r>
  <r>
    <x v="13"/>
    <x v="76"/>
    <n v="9"/>
    <m/>
    <m/>
    <m/>
    <m/>
    <m/>
    <m/>
    <m/>
  </r>
  <r>
    <x v="13"/>
    <x v="36"/>
    <n v="5"/>
    <m/>
    <m/>
    <m/>
    <m/>
    <m/>
    <m/>
    <m/>
  </r>
  <r>
    <x v="13"/>
    <x v="18"/>
    <n v="5"/>
    <m/>
    <m/>
    <m/>
    <m/>
    <m/>
    <m/>
    <m/>
  </r>
  <r>
    <x v="13"/>
    <x v="3"/>
    <n v="38"/>
    <m/>
    <m/>
    <m/>
    <m/>
    <m/>
    <m/>
    <m/>
  </r>
  <r>
    <x v="13"/>
    <x v="20"/>
    <n v="5"/>
    <m/>
    <m/>
    <m/>
    <m/>
    <m/>
    <m/>
    <m/>
  </r>
  <r>
    <x v="13"/>
    <x v="33"/>
    <n v="5"/>
    <m/>
    <m/>
    <m/>
    <m/>
    <m/>
    <m/>
    <m/>
  </r>
  <r>
    <x v="13"/>
    <x v="40"/>
    <n v="2"/>
    <m/>
    <m/>
    <m/>
    <m/>
    <m/>
    <m/>
    <m/>
  </r>
  <r>
    <x v="13"/>
    <x v="42"/>
    <n v="5"/>
    <m/>
    <m/>
    <m/>
    <m/>
    <m/>
    <m/>
    <m/>
  </r>
  <r>
    <x v="13"/>
    <x v="3"/>
    <n v="4"/>
    <m/>
    <m/>
    <m/>
    <m/>
    <m/>
    <m/>
    <m/>
  </r>
  <r>
    <x v="13"/>
    <x v="4"/>
    <n v="12"/>
    <m/>
    <m/>
    <m/>
    <m/>
    <m/>
    <m/>
    <m/>
  </r>
  <r>
    <x v="13"/>
    <x v="6"/>
    <n v="6"/>
    <m/>
    <m/>
    <m/>
    <m/>
    <m/>
    <m/>
    <m/>
  </r>
  <r>
    <x v="13"/>
    <x v="27"/>
    <n v="1"/>
    <m/>
    <m/>
    <m/>
    <m/>
    <m/>
    <m/>
    <m/>
  </r>
  <r>
    <x v="13"/>
    <x v="3"/>
    <n v="2"/>
    <m/>
    <m/>
    <m/>
    <m/>
    <m/>
    <m/>
    <m/>
  </r>
  <r>
    <x v="13"/>
    <x v="58"/>
    <n v="1"/>
    <m/>
    <m/>
    <m/>
    <m/>
    <m/>
    <m/>
    <m/>
  </r>
  <r>
    <x v="13"/>
    <x v="37"/>
    <n v="8"/>
    <m/>
    <m/>
    <m/>
    <m/>
    <m/>
    <m/>
    <m/>
  </r>
  <r>
    <x v="13"/>
    <x v="30"/>
    <n v="4"/>
    <m/>
    <m/>
    <m/>
    <m/>
    <m/>
    <m/>
    <m/>
  </r>
  <r>
    <x v="13"/>
    <x v="11"/>
    <n v="7"/>
    <m/>
    <m/>
    <m/>
    <m/>
    <m/>
    <m/>
    <m/>
  </r>
  <r>
    <x v="13"/>
    <x v="58"/>
    <n v="1"/>
    <m/>
    <m/>
    <m/>
    <m/>
    <m/>
    <m/>
    <m/>
  </r>
  <r>
    <x v="13"/>
    <x v="12"/>
    <n v="1"/>
    <m/>
    <m/>
    <m/>
    <m/>
    <m/>
    <m/>
    <m/>
  </r>
  <r>
    <x v="13"/>
    <x v="14"/>
    <n v="1"/>
    <m/>
    <m/>
    <m/>
    <m/>
    <m/>
    <m/>
    <m/>
  </r>
  <r>
    <x v="13"/>
    <x v="15"/>
    <n v="1"/>
    <m/>
    <m/>
    <m/>
    <m/>
    <m/>
    <m/>
    <m/>
  </r>
  <r>
    <x v="13"/>
    <x v="16"/>
    <n v="1"/>
    <m/>
    <m/>
    <m/>
    <m/>
    <m/>
    <m/>
    <m/>
  </r>
  <r>
    <x v="13"/>
    <x v="60"/>
    <n v="1"/>
    <m/>
    <m/>
    <m/>
    <m/>
    <m/>
    <m/>
    <m/>
  </r>
  <r>
    <x v="13"/>
    <x v="73"/>
    <n v="1"/>
    <m/>
    <m/>
    <m/>
    <m/>
    <m/>
    <m/>
    <m/>
  </r>
  <r>
    <x v="13"/>
    <x v="24"/>
    <n v="1"/>
    <m/>
    <m/>
    <m/>
    <m/>
    <m/>
    <m/>
    <m/>
  </r>
  <r>
    <x v="13"/>
    <x v="19"/>
    <n v="1"/>
    <m/>
    <m/>
    <m/>
    <m/>
    <m/>
    <m/>
    <m/>
  </r>
  <r>
    <x v="13"/>
    <x v="20"/>
    <n v="17"/>
    <m/>
    <m/>
    <m/>
    <m/>
    <m/>
    <m/>
    <m/>
  </r>
  <r>
    <x v="13"/>
    <x v="77"/>
    <n v="1"/>
    <m/>
    <m/>
    <m/>
    <m/>
    <m/>
    <m/>
    <m/>
  </r>
  <r>
    <x v="13"/>
    <x v="78"/>
    <n v="1"/>
    <m/>
    <m/>
    <m/>
    <m/>
    <m/>
    <m/>
    <m/>
  </r>
  <r>
    <x v="13"/>
    <x v="3"/>
    <n v="6"/>
    <m/>
    <m/>
    <m/>
    <m/>
    <m/>
    <m/>
    <m/>
  </r>
  <r>
    <x v="13"/>
    <x v="57"/>
    <n v="34"/>
    <m/>
    <m/>
    <m/>
    <m/>
    <m/>
    <m/>
    <m/>
  </r>
  <r>
    <x v="13"/>
    <x v="3"/>
    <n v="2"/>
    <m/>
    <m/>
    <m/>
    <m/>
    <m/>
    <m/>
    <m/>
  </r>
  <r>
    <x v="13"/>
    <x v="4"/>
    <n v="38"/>
    <m/>
    <m/>
    <m/>
    <m/>
    <m/>
    <m/>
    <m/>
  </r>
  <r>
    <x v="13"/>
    <x v="8"/>
    <n v="1"/>
    <m/>
    <m/>
    <m/>
    <m/>
    <m/>
    <m/>
    <m/>
  </r>
  <r>
    <x v="13"/>
    <x v="61"/>
    <n v="4"/>
    <m/>
    <m/>
    <m/>
    <m/>
    <m/>
    <m/>
    <m/>
  </r>
  <r>
    <x v="13"/>
    <x v="22"/>
    <n v="65"/>
    <m/>
    <m/>
    <m/>
    <m/>
    <m/>
    <m/>
    <m/>
  </r>
  <r>
    <x v="13"/>
    <x v="23"/>
    <n v="5"/>
    <m/>
    <m/>
    <m/>
    <m/>
    <m/>
    <m/>
    <m/>
  </r>
  <r>
    <x v="13"/>
    <x v="24"/>
    <n v="13"/>
    <m/>
    <m/>
    <m/>
    <m/>
    <m/>
    <m/>
    <m/>
  </r>
  <r>
    <x v="13"/>
    <x v="62"/>
    <n v="2"/>
    <m/>
    <m/>
    <m/>
    <m/>
    <m/>
    <m/>
    <m/>
  </r>
  <r>
    <x v="13"/>
    <x v="63"/>
    <n v="6"/>
    <m/>
    <m/>
    <m/>
    <m/>
    <m/>
    <m/>
    <m/>
  </r>
  <r>
    <x v="13"/>
    <x v="74"/>
    <n v="4"/>
    <m/>
    <m/>
    <m/>
    <m/>
    <m/>
    <m/>
    <m/>
  </r>
  <r>
    <x v="13"/>
    <x v="25"/>
    <n v="2"/>
    <m/>
    <m/>
    <m/>
    <m/>
    <m/>
    <m/>
    <m/>
  </r>
  <r>
    <x v="13"/>
    <x v="49"/>
    <n v="3"/>
    <m/>
    <m/>
    <m/>
    <m/>
    <m/>
    <m/>
    <m/>
  </r>
  <r>
    <x v="13"/>
    <x v="74"/>
    <n v="4"/>
    <m/>
    <m/>
    <m/>
    <m/>
    <m/>
    <m/>
    <m/>
  </r>
  <r>
    <x v="13"/>
    <x v="63"/>
    <n v="10"/>
    <m/>
    <m/>
    <m/>
    <m/>
    <m/>
    <m/>
    <m/>
  </r>
  <r>
    <x v="13"/>
    <x v="15"/>
    <n v="2"/>
    <m/>
    <m/>
    <m/>
    <m/>
    <m/>
    <m/>
    <m/>
  </r>
  <r>
    <x v="13"/>
    <x v="3"/>
    <n v="5"/>
    <m/>
    <m/>
    <m/>
    <m/>
    <m/>
    <m/>
    <m/>
  </r>
  <r>
    <x v="13"/>
    <x v="5"/>
    <n v="1"/>
    <m/>
    <m/>
    <m/>
    <m/>
    <m/>
    <m/>
    <m/>
  </r>
  <r>
    <x v="13"/>
    <x v="33"/>
    <n v="10"/>
    <m/>
    <m/>
    <m/>
    <m/>
    <m/>
    <m/>
    <m/>
  </r>
  <r>
    <x v="13"/>
    <x v="40"/>
    <n v="13"/>
    <m/>
    <m/>
    <m/>
    <m/>
    <m/>
    <m/>
    <m/>
  </r>
  <r>
    <x v="13"/>
    <x v="42"/>
    <n v="2"/>
    <m/>
    <m/>
    <m/>
    <m/>
    <m/>
    <m/>
    <m/>
  </r>
  <r>
    <x v="13"/>
    <x v="6"/>
    <n v="5"/>
    <m/>
    <m/>
    <m/>
    <m/>
    <m/>
    <m/>
    <m/>
  </r>
  <r>
    <x v="13"/>
    <x v="2"/>
    <n v="2"/>
    <m/>
    <m/>
    <m/>
    <m/>
    <m/>
    <m/>
    <m/>
  </r>
  <r>
    <x v="13"/>
    <x v="27"/>
    <n v="4"/>
    <m/>
    <m/>
    <m/>
    <m/>
    <m/>
    <m/>
    <m/>
  </r>
  <r>
    <x v="13"/>
    <x v="1"/>
    <n v="15"/>
    <m/>
    <m/>
    <m/>
    <m/>
    <m/>
    <m/>
    <m/>
  </r>
  <r>
    <x v="13"/>
    <x v="21"/>
    <n v="1"/>
    <m/>
    <m/>
    <m/>
    <m/>
    <m/>
    <m/>
    <m/>
  </r>
  <r>
    <x v="13"/>
    <x v="28"/>
    <n v="6"/>
    <m/>
    <m/>
    <m/>
    <m/>
    <m/>
    <m/>
    <m/>
  </r>
  <r>
    <x v="13"/>
    <x v="71"/>
    <n v="1"/>
    <m/>
    <m/>
    <m/>
    <m/>
    <m/>
    <m/>
    <m/>
  </r>
  <r>
    <x v="13"/>
    <x v="58"/>
    <n v="1"/>
    <m/>
    <m/>
    <m/>
    <m/>
    <m/>
    <m/>
    <m/>
  </r>
  <r>
    <x v="13"/>
    <x v="12"/>
    <n v="1"/>
    <m/>
    <m/>
    <m/>
    <m/>
    <m/>
    <m/>
    <m/>
  </r>
  <r>
    <x v="13"/>
    <x v="59"/>
    <n v="1"/>
    <m/>
    <m/>
    <m/>
    <m/>
    <m/>
    <m/>
    <m/>
  </r>
  <r>
    <x v="13"/>
    <x v="1"/>
    <n v="15"/>
    <m/>
    <m/>
    <m/>
    <m/>
    <m/>
    <m/>
    <m/>
  </r>
  <r>
    <x v="13"/>
    <x v="15"/>
    <n v="1"/>
    <m/>
    <m/>
    <m/>
    <m/>
    <m/>
    <m/>
    <m/>
  </r>
  <r>
    <x v="13"/>
    <x v="16"/>
    <n v="1"/>
    <m/>
    <m/>
    <m/>
    <m/>
    <m/>
    <m/>
    <m/>
  </r>
  <r>
    <x v="13"/>
    <x v="60"/>
    <n v="1"/>
    <m/>
    <m/>
    <m/>
    <m/>
    <m/>
    <m/>
    <m/>
  </r>
  <r>
    <x v="13"/>
    <x v="9"/>
    <n v="1"/>
    <m/>
    <m/>
    <m/>
    <m/>
    <m/>
    <m/>
    <m/>
  </r>
  <r>
    <x v="13"/>
    <x v="73"/>
    <n v="1"/>
    <m/>
    <m/>
    <m/>
    <m/>
    <m/>
    <m/>
    <m/>
  </r>
  <r>
    <x v="13"/>
    <x v="51"/>
    <n v="1"/>
    <m/>
    <m/>
    <m/>
    <m/>
    <m/>
    <m/>
    <m/>
  </r>
  <r>
    <x v="13"/>
    <x v="37"/>
    <n v="1"/>
    <m/>
    <m/>
    <m/>
    <m/>
    <m/>
    <m/>
    <m/>
  </r>
  <r>
    <x v="13"/>
    <x v="24"/>
    <n v="1"/>
    <m/>
    <m/>
    <m/>
    <m/>
    <m/>
    <m/>
    <m/>
  </r>
  <r>
    <x v="13"/>
    <x v="30"/>
    <n v="1"/>
    <m/>
    <m/>
    <m/>
    <m/>
    <m/>
    <m/>
    <m/>
  </r>
  <r>
    <x v="13"/>
    <x v="3"/>
    <n v="12"/>
    <m/>
    <m/>
    <m/>
    <m/>
    <m/>
    <m/>
    <m/>
  </r>
  <r>
    <x v="13"/>
    <x v="19"/>
    <n v="1"/>
    <m/>
    <m/>
    <m/>
    <m/>
    <m/>
    <m/>
    <m/>
  </r>
  <r>
    <x v="13"/>
    <x v="20"/>
    <n v="17"/>
    <m/>
    <m/>
    <m/>
    <m/>
    <m/>
    <m/>
    <m/>
  </r>
  <r>
    <x v="13"/>
    <x v="10"/>
    <n v="2"/>
    <m/>
    <m/>
    <m/>
    <m/>
    <m/>
    <m/>
    <m/>
  </r>
  <r>
    <x v="13"/>
    <x v="78"/>
    <n v="1"/>
    <m/>
    <m/>
    <m/>
    <m/>
    <m/>
    <m/>
    <m/>
  </r>
  <r>
    <x v="13"/>
    <x v="11"/>
    <n v="1"/>
    <m/>
    <m/>
    <m/>
    <m/>
    <m/>
    <m/>
    <m/>
  </r>
  <r>
    <x v="13"/>
    <x v="52"/>
    <n v="1"/>
    <m/>
    <m/>
    <m/>
    <m/>
    <m/>
    <m/>
    <m/>
  </r>
  <r>
    <x v="13"/>
    <x v="53"/>
    <n v="1"/>
    <m/>
    <m/>
    <m/>
    <m/>
    <m/>
    <m/>
    <m/>
  </r>
  <r>
    <x v="13"/>
    <x v="54"/>
    <n v="1"/>
    <m/>
    <m/>
    <m/>
    <m/>
    <m/>
    <m/>
    <m/>
  </r>
  <r>
    <x v="13"/>
    <x v="27"/>
    <n v="4"/>
    <m/>
    <m/>
    <m/>
    <m/>
    <m/>
    <m/>
    <m/>
  </r>
  <r>
    <x v="13"/>
    <x v="77"/>
    <n v="1"/>
    <m/>
    <m/>
    <m/>
    <m/>
    <m/>
    <m/>
    <m/>
  </r>
  <r>
    <x v="13"/>
    <x v="21"/>
    <n v="4"/>
    <m/>
    <m/>
    <m/>
    <m/>
    <m/>
    <m/>
    <m/>
  </r>
  <r>
    <x v="13"/>
    <x v="28"/>
    <n v="11"/>
    <m/>
    <m/>
    <m/>
    <m/>
    <m/>
    <m/>
    <m/>
  </r>
  <r>
    <x v="13"/>
    <x v="32"/>
    <n v="4"/>
    <m/>
    <m/>
    <m/>
    <m/>
    <m/>
    <m/>
    <m/>
  </r>
  <r>
    <x v="13"/>
    <x v="67"/>
    <n v="1"/>
    <m/>
    <m/>
    <m/>
    <m/>
    <m/>
    <m/>
    <m/>
  </r>
  <r>
    <x v="13"/>
    <x v="59"/>
    <n v="2"/>
    <m/>
    <m/>
    <m/>
    <m/>
    <m/>
    <m/>
    <m/>
  </r>
  <r>
    <x v="13"/>
    <x v="2"/>
    <n v="12"/>
    <m/>
    <m/>
    <m/>
    <m/>
    <m/>
    <m/>
    <m/>
  </r>
  <r>
    <x v="13"/>
    <x v="29"/>
    <n v="7"/>
    <m/>
    <m/>
    <m/>
    <m/>
    <m/>
    <m/>
    <m/>
  </r>
  <r>
    <x v="13"/>
    <x v="18"/>
    <n v="1"/>
    <m/>
    <m/>
    <m/>
    <m/>
    <m/>
    <m/>
    <m/>
  </r>
  <r>
    <x v="13"/>
    <x v="51"/>
    <n v="2"/>
    <m/>
    <m/>
    <m/>
    <m/>
    <m/>
    <m/>
    <m/>
  </r>
  <r>
    <x v="13"/>
    <x v="37"/>
    <n v="3"/>
    <m/>
    <m/>
    <m/>
    <m/>
    <m/>
    <m/>
    <m/>
  </r>
  <r>
    <x v="13"/>
    <x v="30"/>
    <n v="9"/>
    <m/>
    <m/>
    <m/>
    <m/>
    <m/>
    <m/>
    <m/>
  </r>
  <r>
    <x v="13"/>
    <x v="3"/>
    <n v="52"/>
    <m/>
    <m/>
    <m/>
    <m/>
    <m/>
    <m/>
    <m/>
  </r>
  <r>
    <x v="13"/>
    <x v="19"/>
    <n v="2"/>
    <m/>
    <m/>
    <m/>
    <m/>
    <m/>
    <m/>
    <m/>
  </r>
  <r>
    <x v="13"/>
    <x v="6"/>
    <n v="4"/>
    <m/>
    <m/>
    <m/>
    <m/>
    <m/>
    <m/>
    <m/>
  </r>
  <r>
    <x v="13"/>
    <x v="65"/>
    <n v="3"/>
    <m/>
    <m/>
    <m/>
    <m/>
    <m/>
    <m/>
    <m/>
  </r>
  <r>
    <x v="13"/>
    <x v="11"/>
    <n v="31"/>
    <m/>
    <m/>
    <m/>
    <m/>
    <m/>
    <m/>
    <m/>
  </r>
  <r>
    <x v="13"/>
    <x v="52"/>
    <n v="4"/>
    <m/>
    <m/>
    <m/>
    <m/>
    <m/>
    <m/>
    <m/>
  </r>
  <r>
    <x v="13"/>
    <x v="33"/>
    <n v="18"/>
    <m/>
    <m/>
    <m/>
    <m/>
    <m/>
    <m/>
    <m/>
  </r>
  <r>
    <x v="13"/>
    <x v="7"/>
    <n v="3"/>
    <m/>
    <m/>
    <m/>
    <m/>
    <m/>
    <m/>
    <m/>
  </r>
  <r>
    <x v="13"/>
    <x v="39"/>
    <n v="3"/>
    <m/>
    <m/>
    <m/>
    <m/>
    <m/>
    <m/>
    <m/>
  </r>
  <r>
    <x v="13"/>
    <x v="27"/>
    <n v="1"/>
    <m/>
    <m/>
    <m/>
    <m/>
    <m/>
    <m/>
    <m/>
  </r>
  <r>
    <x v="13"/>
    <x v="42"/>
    <n v="5"/>
    <m/>
    <m/>
    <m/>
    <m/>
    <m/>
    <m/>
    <m/>
  </r>
  <r>
    <x v="13"/>
    <x v="8"/>
    <n v="20"/>
    <m/>
    <m/>
    <m/>
    <m/>
    <m/>
    <m/>
    <m/>
  </r>
  <r>
    <x v="13"/>
    <x v="66"/>
    <n v="1"/>
    <m/>
    <m/>
    <m/>
    <m/>
    <m/>
    <m/>
    <m/>
  </r>
  <r>
    <x v="13"/>
    <x v="3"/>
    <n v="4"/>
    <m/>
    <m/>
    <m/>
    <m/>
    <m/>
    <m/>
    <m/>
  </r>
  <r>
    <x v="13"/>
    <x v="33"/>
    <n v="7"/>
    <m/>
    <m/>
    <m/>
    <m/>
    <m/>
    <m/>
    <m/>
  </r>
  <r>
    <x v="13"/>
    <x v="27"/>
    <n v="2"/>
    <m/>
    <m/>
    <m/>
    <m/>
    <m/>
    <m/>
    <m/>
  </r>
  <r>
    <x v="13"/>
    <x v="33"/>
    <n v="5"/>
    <m/>
    <m/>
    <m/>
    <m/>
    <m/>
    <m/>
    <m/>
  </r>
  <r>
    <x v="13"/>
    <x v="20"/>
    <n v="1"/>
    <m/>
    <m/>
    <m/>
    <m/>
    <m/>
    <m/>
    <m/>
  </r>
  <r>
    <x v="13"/>
    <x v="5"/>
    <n v="1"/>
    <m/>
    <m/>
    <m/>
    <m/>
    <m/>
    <m/>
    <m/>
  </r>
  <r>
    <x v="13"/>
    <x v="51"/>
    <n v="3"/>
    <m/>
    <m/>
    <m/>
    <m/>
    <m/>
    <m/>
    <m/>
  </r>
  <r>
    <x v="13"/>
    <x v="11"/>
    <n v="1"/>
    <m/>
    <m/>
    <m/>
    <m/>
    <m/>
    <m/>
    <m/>
  </r>
  <r>
    <x v="13"/>
    <x v="58"/>
    <n v="2"/>
    <m/>
    <m/>
    <m/>
    <m/>
    <m/>
    <m/>
    <m/>
  </r>
  <r>
    <x v="13"/>
    <x v="17"/>
    <n v="1"/>
    <m/>
    <m/>
    <m/>
    <m/>
    <m/>
    <m/>
    <m/>
  </r>
  <r>
    <x v="13"/>
    <x v="6"/>
    <n v="8"/>
    <m/>
    <m/>
    <m/>
    <m/>
    <m/>
    <m/>
    <m/>
  </r>
  <r>
    <x v="13"/>
    <x v="20"/>
    <n v="4"/>
    <m/>
    <m/>
    <m/>
    <m/>
    <m/>
    <m/>
    <m/>
  </r>
  <r>
    <x v="13"/>
    <x v="54"/>
    <n v="2"/>
    <m/>
    <m/>
    <m/>
    <m/>
    <m/>
    <m/>
    <m/>
  </r>
  <r>
    <x v="13"/>
    <x v="8"/>
    <n v="4"/>
    <m/>
    <m/>
    <m/>
    <m/>
    <m/>
    <m/>
    <m/>
  </r>
  <r>
    <x v="13"/>
    <x v="28"/>
    <n v="3"/>
    <m/>
    <m/>
    <m/>
    <m/>
    <m/>
    <m/>
    <m/>
  </r>
  <r>
    <x v="13"/>
    <x v="32"/>
    <n v="2"/>
    <m/>
    <m/>
    <m/>
    <m/>
    <m/>
    <m/>
    <m/>
  </r>
  <r>
    <x v="13"/>
    <x v="29"/>
    <n v="2"/>
    <m/>
    <m/>
    <m/>
    <m/>
    <m/>
    <m/>
    <m/>
  </r>
  <r>
    <x v="13"/>
    <x v="15"/>
    <n v="7"/>
    <m/>
    <m/>
    <m/>
    <m/>
    <m/>
    <m/>
    <m/>
  </r>
  <r>
    <x v="13"/>
    <x v="60"/>
    <n v="4"/>
    <m/>
    <m/>
    <m/>
    <m/>
    <m/>
    <m/>
    <m/>
  </r>
  <r>
    <x v="13"/>
    <x v="18"/>
    <n v="6"/>
    <m/>
    <m/>
    <m/>
    <m/>
    <m/>
    <m/>
    <m/>
  </r>
  <r>
    <x v="13"/>
    <x v="37"/>
    <n v="3"/>
    <m/>
    <m/>
    <m/>
    <m/>
    <m/>
    <m/>
    <m/>
  </r>
  <r>
    <x v="13"/>
    <x v="3"/>
    <n v="47"/>
    <m/>
    <m/>
    <m/>
    <m/>
    <m/>
    <m/>
    <m/>
  </r>
  <r>
    <x v="13"/>
    <x v="41"/>
    <n v="2"/>
    <m/>
    <m/>
    <m/>
    <m/>
    <m/>
    <m/>
    <m/>
  </r>
  <r>
    <x v="13"/>
    <x v="33"/>
    <n v="2"/>
    <m/>
    <m/>
    <m/>
    <m/>
    <m/>
    <m/>
    <m/>
  </r>
  <r>
    <x v="13"/>
    <x v="3"/>
    <n v="4"/>
    <m/>
    <m/>
    <m/>
    <m/>
    <m/>
    <m/>
    <m/>
  </r>
  <r>
    <x v="13"/>
    <x v="6"/>
    <n v="2"/>
    <m/>
    <m/>
    <m/>
    <m/>
    <m/>
    <m/>
    <m/>
  </r>
  <r>
    <x v="13"/>
    <x v="50"/>
    <n v="2"/>
    <m/>
    <m/>
    <m/>
    <m/>
    <m/>
    <m/>
    <m/>
  </r>
  <r>
    <x v="13"/>
    <x v="15"/>
    <n v="3"/>
    <m/>
    <m/>
    <m/>
    <m/>
    <m/>
    <m/>
    <m/>
  </r>
  <r>
    <x v="13"/>
    <x v="3"/>
    <n v="3"/>
    <m/>
    <m/>
    <m/>
    <m/>
    <m/>
    <m/>
    <m/>
  </r>
  <r>
    <x v="13"/>
    <x v="65"/>
    <n v="3"/>
    <m/>
    <m/>
    <m/>
    <m/>
    <m/>
    <m/>
    <m/>
  </r>
  <r>
    <x v="13"/>
    <x v="0"/>
    <n v="5"/>
    <m/>
    <m/>
    <m/>
    <m/>
    <m/>
    <m/>
    <m/>
  </r>
  <r>
    <x v="13"/>
    <x v="28"/>
    <n v="7"/>
    <m/>
    <m/>
    <m/>
    <m/>
    <m/>
    <m/>
    <m/>
  </r>
  <r>
    <x v="13"/>
    <x v="32"/>
    <n v="4"/>
    <m/>
    <m/>
    <m/>
    <m/>
    <m/>
    <m/>
    <m/>
  </r>
  <r>
    <x v="13"/>
    <x v="34"/>
    <n v="8"/>
    <m/>
    <m/>
    <m/>
    <m/>
    <m/>
    <m/>
    <m/>
  </r>
  <r>
    <x v="13"/>
    <x v="58"/>
    <n v="4"/>
    <m/>
    <m/>
    <m/>
    <m/>
    <m/>
    <m/>
    <m/>
  </r>
  <r>
    <x v="13"/>
    <x v="56"/>
    <n v="4"/>
    <m/>
    <m/>
    <m/>
    <m/>
    <m/>
    <m/>
    <m/>
  </r>
  <r>
    <x v="13"/>
    <x v="67"/>
    <n v="2"/>
    <m/>
    <m/>
    <m/>
    <m/>
    <m/>
    <m/>
    <m/>
  </r>
  <r>
    <x v="13"/>
    <x v="35"/>
    <n v="3"/>
    <m/>
    <m/>
    <m/>
    <m/>
    <m/>
    <m/>
    <m/>
  </r>
  <r>
    <x v="13"/>
    <x v="13"/>
    <n v="2"/>
    <m/>
    <m/>
    <m/>
    <m/>
    <m/>
    <m/>
    <m/>
  </r>
  <r>
    <x v="13"/>
    <x v="14"/>
    <n v="4"/>
    <m/>
    <m/>
    <m/>
    <m/>
    <m/>
    <m/>
    <m/>
  </r>
  <r>
    <x v="13"/>
    <x v="2"/>
    <n v="2"/>
    <m/>
    <m/>
    <m/>
    <m/>
    <m/>
    <m/>
    <m/>
  </r>
  <r>
    <x v="13"/>
    <x v="15"/>
    <n v="5"/>
    <m/>
    <m/>
    <m/>
    <m/>
    <m/>
    <m/>
    <m/>
  </r>
  <r>
    <x v="13"/>
    <x v="68"/>
    <n v="1"/>
    <m/>
    <m/>
    <m/>
    <m/>
    <m/>
    <m/>
    <m/>
  </r>
  <r>
    <x v="13"/>
    <x v="60"/>
    <n v="4"/>
    <m/>
    <m/>
    <m/>
    <m/>
    <m/>
    <m/>
    <m/>
  </r>
  <r>
    <x v="13"/>
    <x v="17"/>
    <n v="3"/>
    <m/>
    <m/>
    <m/>
    <m/>
    <m/>
    <m/>
    <m/>
  </r>
  <r>
    <x v="13"/>
    <x v="36"/>
    <n v="5"/>
    <m/>
    <m/>
    <m/>
    <m/>
    <m/>
    <m/>
    <m/>
  </r>
  <r>
    <x v="13"/>
    <x v="18"/>
    <n v="4"/>
    <m/>
    <m/>
    <m/>
    <m/>
    <m/>
    <m/>
    <m/>
  </r>
  <r>
    <x v="13"/>
    <x v="48"/>
    <n v="2"/>
    <m/>
    <m/>
    <m/>
    <m/>
    <m/>
    <m/>
    <m/>
  </r>
  <r>
    <x v="13"/>
    <x v="37"/>
    <n v="4"/>
    <m/>
    <m/>
    <m/>
    <m/>
    <m/>
    <m/>
    <m/>
  </r>
  <r>
    <x v="13"/>
    <x v="30"/>
    <n v="3"/>
    <m/>
    <m/>
    <m/>
    <m/>
    <m/>
    <m/>
    <m/>
  </r>
  <r>
    <x v="13"/>
    <x v="3"/>
    <n v="16"/>
    <m/>
    <m/>
    <m/>
    <m/>
    <m/>
    <m/>
    <m/>
  </r>
  <r>
    <x v="13"/>
    <x v="4"/>
    <n v="3"/>
    <m/>
    <m/>
    <m/>
    <m/>
    <m/>
    <m/>
    <m/>
  </r>
  <r>
    <x v="13"/>
    <x v="19"/>
    <n v="3"/>
    <m/>
    <m/>
    <m/>
    <m/>
    <m/>
    <m/>
    <m/>
  </r>
  <r>
    <x v="13"/>
    <x v="5"/>
    <n v="6"/>
    <m/>
    <m/>
    <m/>
    <m/>
    <m/>
    <m/>
    <m/>
  </r>
  <r>
    <x v="13"/>
    <x v="6"/>
    <n v="16"/>
    <m/>
    <m/>
    <m/>
    <m/>
    <m/>
    <m/>
    <m/>
  </r>
  <r>
    <x v="13"/>
    <x v="20"/>
    <n v="4"/>
    <m/>
    <m/>
    <m/>
    <m/>
    <m/>
    <m/>
    <m/>
  </r>
  <r>
    <x v="13"/>
    <x v="38"/>
    <n v="5"/>
    <m/>
    <m/>
    <m/>
    <m/>
    <m/>
    <m/>
    <m/>
  </r>
  <r>
    <x v="13"/>
    <x v="11"/>
    <n v="2"/>
    <m/>
    <m/>
    <m/>
    <m/>
    <m/>
    <m/>
    <m/>
  </r>
  <r>
    <x v="13"/>
    <x v="52"/>
    <n v="4"/>
    <m/>
    <m/>
    <m/>
    <m/>
    <m/>
    <m/>
    <m/>
  </r>
  <r>
    <x v="13"/>
    <x v="33"/>
    <n v="14"/>
    <m/>
    <m/>
    <m/>
    <m/>
    <m/>
    <m/>
    <m/>
  </r>
  <r>
    <x v="13"/>
    <x v="7"/>
    <n v="9"/>
    <m/>
    <m/>
    <m/>
    <m/>
    <m/>
    <m/>
    <m/>
  </r>
  <r>
    <x v="13"/>
    <x v="39"/>
    <n v="3"/>
    <m/>
    <m/>
    <m/>
    <m/>
    <m/>
    <m/>
    <m/>
  </r>
  <r>
    <x v="13"/>
    <x v="53"/>
    <n v="6"/>
    <m/>
    <m/>
    <m/>
    <m/>
    <m/>
    <m/>
    <m/>
  </r>
  <r>
    <x v="13"/>
    <x v="54"/>
    <n v="3"/>
    <m/>
    <m/>
    <m/>
    <m/>
    <m/>
    <m/>
    <m/>
  </r>
  <r>
    <x v="13"/>
    <x v="40"/>
    <n v="8"/>
    <m/>
    <m/>
    <m/>
    <m/>
    <m/>
    <m/>
    <m/>
  </r>
  <r>
    <x v="13"/>
    <x v="41"/>
    <n v="14"/>
    <m/>
    <m/>
    <m/>
    <m/>
    <m/>
    <m/>
    <m/>
  </r>
  <r>
    <x v="13"/>
    <x v="27"/>
    <n v="6"/>
    <m/>
    <m/>
    <m/>
    <m/>
    <m/>
    <m/>
    <m/>
  </r>
  <r>
    <x v="13"/>
    <x v="42"/>
    <n v="7"/>
    <m/>
    <m/>
    <m/>
    <m/>
    <m/>
    <m/>
    <m/>
  </r>
  <r>
    <x v="13"/>
    <x v="8"/>
    <n v="10"/>
    <m/>
    <m/>
    <m/>
    <m/>
    <m/>
    <m/>
    <m/>
  </r>
  <r>
    <x v="13"/>
    <x v="43"/>
    <n v="4"/>
    <m/>
    <m/>
    <m/>
    <m/>
    <m/>
    <m/>
    <m/>
  </r>
  <r>
    <x v="13"/>
    <x v="72"/>
    <n v="1"/>
    <m/>
    <m/>
    <m/>
    <m/>
    <m/>
    <m/>
    <m/>
  </r>
  <r>
    <x v="13"/>
    <x v="44"/>
    <n v="6"/>
    <m/>
    <m/>
    <m/>
    <m/>
    <m/>
    <m/>
    <m/>
  </r>
  <r>
    <x v="13"/>
    <x v="45"/>
    <n v="3"/>
    <m/>
    <m/>
    <m/>
    <m/>
    <m/>
    <m/>
    <m/>
  </r>
  <r>
    <x v="13"/>
    <x v="46"/>
    <n v="2"/>
    <m/>
    <m/>
    <m/>
    <m/>
    <m/>
    <m/>
    <m/>
  </r>
  <r>
    <x v="13"/>
    <x v="32"/>
    <n v="5"/>
    <m/>
    <m/>
    <m/>
    <m/>
    <m/>
    <m/>
    <m/>
  </r>
  <r>
    <x v="13"/>
    <x v="58"/>
    <n v="1"/>
    <m/>
    <m/>
    <m/>
    <m/>
    <m/>
    <m/>
    <m/>
  </r>
  <r>
    <x v="13"/>
    <x v="17"/>
    <n v="1"/>
    <m/>
    <m/>
    <m/>
    <m/>
    <m/>
    <m/>
    <m/>
  </r>
  <r>
    <x v="13"/>
    <x v="20"/>
    <n v="4"/>
    <m/>
    <m/>
    <m/>
    <m/>
    <m/>
    <m/>
    <m/>
  </r>
  <r>
    <x v="13"/>
    <x v="54"/>
    <n v="1"/>
    <m/>
    <m/>
    <m/>
    <m/>
    <m/>
    <m/>
    <m/>
  </r>
  <r>
    <x v="13"/>
    <x v="8"/>
    <n v="3"/>
    <m/>
    <m/>
    <m/>
    <m/>
    <m/>
    <m/>
    <m/>
  </r>
  <r>
    <x v="13"/>
    <x v="50"/>
    <n v="2"/>
    <m/>
    <m/>
    <m/>
    <m/>
    <m/>
    <m/>
    <m/>
  </r>
  <r>
    <x v="13"/>
    <x v="0"/>
    <n v="1"/>
    <m/>
    <m/>
    <m/>
    <m/>
    <m/>
    <m/>
    <m/>
  </r>
  <r>
    <x v="13"/>
    <x v="21"/>
    <n v="3"/>
    <m/>
    <m/>
    <m/>
    <m/>
    <m/>
    <m/>
    <m/>
  </r>
  <r>
    <x v="13"/>
    <x v="28"/>
    <n v="1"/>
    <m/>
    <m/>
    <m/>
    <m/>
    <m/>
    <m/>
    <m/>
  </r>
  <r>
    <x v="13"/>
    <x v="32"/>
    <n v="3"/>
    <m/>
    <m/>
    <m/>
    <m/>
    <m/>
    <m/>
    <m/>
  </r>
  <r>
    <x v="13"/>
    <x v="47"/>
    <n v="1"/>
    <m/>
    <m/>
    <m/>
    <m/>
    <m/>
    <m/>
    <m/>
  </r>
  <r>
    <x v="13"/>
    <x v="34"/>
    <n v="1"/>
    <m/>
    <m/>
    <m/>
    <m/>
    <m/>
    <m/>
    <m/>
  </r>
  <r>
    <x v="13"/>
    <x v="58"/>
    <n v="2"/>
    <m/>
    <m/>
    <m/>
    <m/>
    <m/>
    <m/>
    <m/>
  </r>
  <r>
    <x v="13"/>
    <x v="69"/>
    <n v="1"/>
    <m/>
    <m/>
    <m/>
    <m/>
    <m/>
    <m/>
    <m/>
  </r>
  <r>
    <x v="13"/>
    <x v="67"/>
    <n v="1"/>
    <m/>
    <m/>
    <m/>
    <m/>
    <m/>
    <m/>
    <m/>
  </r>
  <r>
    <x v="13"/>
    <x v="35"/>
    <n v="1"/>
    <m/>
    <m/>
    <m/>
    <m/>
    <m/>
    <m/>
    <m/>
  </r>
  <r>
    <x v="13"/>
    <x v="59"/>
    <n v="3"/>
    <m/>
    <m/>
    <m/>
    <m/>
    <m/>
    <m/>
    <m/>
  </r>
  <r>
    <x v="13"/>
    <x v="1"/>
    <n v="3"/>
    <m/>
    <m/>
    <m/>
    <m/>
    <m/>
    <m/>
    <m/>
  </r>
  <r>
    <x v="13"/>
    <x v="13"/>
    <n v="1"/>
    <m/>
    <m/>
    <m/>
    <m/>
    <m/>
    <m/>
    <m/>
  </r>
  <r>
    <x v="13"/>
    <x v="14"/>
    <n v="1"/>
    <m/>
    <m/>
    <m/>
    <m/>
    <m/>
    <m/>
    <m/>
  </r>
  <r>
    <x v="13"/>
    <x v="2"/>
    <n v="1"/>
    <m/>
    <m/>
    <m/>
    <m/>
    <m/>
    <m/>
    <m/>
  </r>
  <r>
    <x v="13"/>
    <x v="15"/>
    <n v="3"/>
    <m/>
    <m/>
    <m/>
    <m/>
    <m/>
    <m/>
    <m/>
  </r>
  <r>
    <x v="13"/>
    <x v="68"/>
    <n v="3"/>
    <m/>
    <m/>
    <m/>
    <m/>
    <m/>
    <m/>
    <m/>
  </r>
  <r>
    <x v="13"/>
    <x v="60"/>
    <n v="1"/>
    <m/>
    <m/>
    <m/>
    <m/>
    <m/>
    <m/>
    <m/>
  </r>
  <r>
    <x v="13"/>
    <x v="36"/>
    <n v="1"/>
    <m/>
    <m/>
    <m/>
    <m/>
    <m/>
    <m/>
    <m/>
  </r>
  <r>
    <x v="13"/>
    <x v="18"/>
    <n v="2"/>
    <m/>
    <m/>
    <m/>
    <m/>
    <m/>
    <m/>
    <m/>
  </r>
  <r>
    <x v="13"/>
    <x v="51"/>
    <n v="3"/>
    <m/>
    <m/>
    <m/>
    <m/>
    <m/>
    <m/>
    <m/>
  </r>
  <r>
    <x v="13"/>
    <x v="37"/>
    <n v="2"/>
    <m/>
    <m/>
    <m/>
    <m/>
    <m/>
    <m/>
    <m/>
  </r>
  <r>
    <x v="13"/>
    <x v="30"/>
    <n v="2"/>
    <m/>
    <m/>
    <m/>
    <m/>
    <m/>
    <m/>
    <m/>
  </r>
  <r>
    <x v="13"/>
    <x v="3"/>
    <n v="8"/>
    <m/>
    <m/>
    <m/>
    <m/>
    <m/>
    <m/>
    <m/>
  </r>
  <r>
    <x v="13"/>
    <x v="5"/>
    <n v="2"/>
    <m/>
    <m/>
    <m/>
    <m/>
    <m/>
    <m/>
    <m/>
  </r>
  <r>
    <x v="13"/>
    <x v="6"/>
    <n v="3"/>
    <m/>
    <m/>
    <m/>
    <m/>
    <m/>
    <m/>
    <m/>
  </r>
  <r>
    <x v="13"/>
    <x v="20"/>
    <n v="3"/>
    <m/>
    <m/>
    <m/>
    <m/>
    <m/>
    <m/>
    <m/>
  </r>
  <r>
    <x v="13"/>
    <x v="65"/>
    <n v="1"/>
    <m/>
    <m/>
    <m/>
    <m/>
    <m/>
    <m/>
    <m/>
  </r>
  <r>
    <x v="13"/>
    <x v="11"/>
    <n v="1"/>
    <m/>
    <m/>
    <m/>
    <m/>
    <m/>
    <m/>
    <m/>
  </r>
  <r>
    <x v="13"/>
    <x v="52"/>
    <n v="2"/>
    <m/>
    <m/>
    <m/>
    <m/>
    <m/>
    <m/>
    <m/>
  </r>
  <r>
    <x v="13"/>
    <x v="33"/>
    <n v="5"/>
    <m/>
    <m/>
    <m/>
    <m/>
    <m/>
    <m/>
    <m/>
  </r>
  <r>
    <x v="13"/>
    <x v="7"/>
    <n v="1"/>
    <m/>
    <m/>
    <m/>
    <m/>
    <m/>
    <m/>
    <m/>
  </r>
  <r>
    <x v="13"/>
    <x v="53"/>
    <n v="1"/>
    <m/>
    <m/>
    <m/>
    <m/>
    <m/>
    <m/>
    <m/>
  </r>
  <r>
    <x v="13"/>
    <x v="40"/>
    <n v="1"/>
    <m/>
    <m/>
    <m/>
    <m/>
    <m/>
    <m/>
    <m/>
  </r>
  <r>
    <x v="13"/>
    <x v="41"/>
    <n v="4"/>
    <m/>
    <m/>
    <m/>
    <m/>
    <m/>
    <m/>
    <m/>
  </r>
  <r>
    <x v="13"/>
    <x v="27"/>
    <n v="3"/>
    <m/>
    <m/>
    <m/>
    <m/>
    <m/>
    <m/>
    <m/>
  </r>
  <r>
    <x v="13"/>
    <x v="42"/>
    <n v="2"/>
    <m/>
    <m/>
    <m/>
    <m/>
    <m/>
    <m/>
    <m/>
  </r>
  <r>
    <x v="13"/>
    <x v="8"/>
    <n v="3"/>
    <m/>
    <m/>
    <m/>
    <m/>
    <m/>
    <m/>
    <m/>
  </r>
  <r>
    <x v="13"/>
    <x v="40"/>
    <n v="13"/>
    <m/>
    <m/>
    <m/>
    <m/>
    <m/>
    <m/>
    <m/>
  </r>
  <r>
    <x v="14"/>
    <x v="79"/>
    <n v="3"/>
    <m/>
    <m/>
    <m/>
    <m/>
    <m/>
    <m/>
    <m/>
  </r>
  <r>
    <x v="15"/>
    <x v="79"/>
    <n v="26"/>
    <m/>
    <m/>
    <m/>
    <m/>
    <m/>
    <m/>
    <m/>
  </r>
  <r>
    <x v="16"/>
    <x v="79"/>
    <n v="53"/>
    <m/>
    <m/>
    <m/>
    <m/>
    <m/>
    <m/>
    <m/>
  </r>
  <r>
    <x v="17"/>
    <x v="79"/>
    <n v="53"/>
    <m/>
    <m/>
    <m/>
    <m/>
    <m/>
    <m/>
    <m/>
  </r>
  <r>
    <x v="18"/>
    <x v="79"/>
    <n v="137"/>
    <m/>
    <m/>
    <m/>
    <m/>
    <m/>
    <m/>
    <m/>
  </r>
  <r>
    <x v="19"/>
    <x v="79"/>
    <n v="52"/>
    <m/>
    <m/>
    <m/>
    <m/>
    <m/>
    <m/>
    <m/>
  </r>
  <r>
    <x v="20"/>
    <x v="79"/>
    <n v="77"/>
    <m/>
    <m/>
    <m/>
    <m/>
    <m/>
    <m/>
    <m/>
  </r>
  <r>
    <x v="21"/>
    <x v="79"/>
    <n v="33"/>
    <m/>
    <m/>
    <m/>
    <m/>
    <m/>
    <m/>
    <m/>
  </r>
  <r>
    <x v="22"/>
    <x v="79"/>
    <n v="63"/>
    <m/>
    <m/>
    <m/>
    <m/>
    <m/>
    <m/>
    <m/>
  </r>
  <r>
    <x v="23"/>
    <x v="79"/>
    <n v="111"/>
    <m/>
    <m/>
    <m/>
    <m/>
    <m/>
    <m/>
    <m/>
  </r>
  <r>
    <x v="24"/>
    <x v="79"/>
    <n v="40"/>
    <m/>
    <m/>
    <m/>
    <m/>
    <m/>
    <m/>
    <m/>
  </r>
  <r>
    <x v="25"/>
    <x v="79"/>
    <n v="18"/>
    <m/>
    <m/>
    <m/>
    <m/>
    <m/>
    <m/>
    <m/>
  </r>
  <r>
    <x v="26"/>
    <x v="79"/>
    <n v="2"/>
    <m/>
    <m/>
    <m/>
    <m/>
    <m/>
    <m/>
    <m/>
  </r>
  <r>
    <x v="25"/>
    <x v="79"/>
    <n v="2"/>
    <m/>
    <m/>
    <m/>
    <m/>
    <m/>
    <m/>
    <m/>
  </r>
  <r>
    <x v="14"/>
    <x v="79"/>
    <n v="2"/>
    <m/>
    <m/>
    <m/>
    <m/>
    <m/>
    <m/>
    <m/>
  </r>
  <r>
    <x v="15"/>
    <x v="79"/>
    <n v="11"/>
    <m/>
    <m/>
    <m/>
    <m/>
    <m/>
    <m/>
    <m/>
  </r>
  <r>
    <x v="16"/>
    <x v="79"/>
    <n v="11"/>
    <m/>
    <m/>
    <m/>
    <m/>
    <m/>
    <m/>
    <m/>
  </r>
  <r>
    <x v="17"/>
    <x v="79"/>
    <n v="7"/>
    <m/>
    <m/>
    <m/>
    <m/>
    <m/>
    <m/>
    <m/>
  </r>
  <r>
    <x v="18"/>
    <x v="79"/>
    <n v="11"/>
    <m/>
    <m/>
    <m/>
    <m/>
    <m/>
    <m/>
    <m/>
  </r>
  <r>
    <x v="19"/>
    <x v="79"/>
    <n v="11"/>
    <m/>
    <m/>
    <m/>
    <m/>
    <m/>
    <m/>
    <m/>
  </r>
  <r>
    <x v="20"/>
    <x v="79"/>
    <n v="12"/>
    <m/>
    <m/>
    <m/>
    <m/>
    <m/>
    <m/>
    <m/>
  </r>
  <r>
    <x v="21"/>
    <x v="79"/>
    <n v="11"/>
    <m/>
    <m/>
    <m/>
    <m/>
    <m/>
    <m/>
    <m/>
  </r>
  <r>
    <x v="22"/>
    <x v="79"/>
    <n v="11"/>
    <m/>
    <m/>
    <m/>
    <m/>
    <m/>
    <m/>
    <m/>
  </r>
  <r>
    <x v="23"/>
    <x v="79"/>
    <n v="11"/>
    <m/>
    <m/>
    <m/>
    <m/>
    <m/>
    <m/>
    <m/>
  </r>
  <r>
    <x v="24"/>
    <x v="79"/>
    <n v="8"/>
    <m/>
    <m/>
    <m/>
    <m/>
    <m/>
    <m/>
    <m/>
  </r>
  <r>
    <x v="15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4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5"/>
    <x v="79"/>
    <n v="1"/>
    <m/>
    <m/>
    <m/>
    <m/>
    <m/>
    <m/>
    <m/>
  </r>
  <r>
    <x v="19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5"/>
    <x v="79"/>
    <n v="3"/>
    <m/>
    <m/>
    <m/>
    <m/>
    <m/>
    <m/>
    <m/>
  </r>
  <r>
    <x v="16"/>
    <x v="79"/>
    <n v="3"/>
    <m/>
    <m/>
    <m/>
    <m/>
    <m/>
    <m/>
    <m/>
  </r>
  <r>
    <x v="27"/>
    <x v="79"/>
    <n v="2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2"/>
    <m/>
    <m/>
    <m/>
    <m/>
    <m/>
    <m/>
    <m/>
  </r>
  <r>
    <x v="23"/>
    <x v="79"/>
    <n v="2"/>
    <m/>
    <m/>
    <m/>
    <m/>
    <m/>
    <m/>
    <m/>
  </r>
  <r>
    <x v="24"/>
    <x v="79"/>
    <n v="1"/>
    <m/>
    <m/>
    <m/>
    <m/>
    <m/>
    <m/>
    <m/>
  </r>
  <r>
    <x v="14"/>
    <x v="79"/>
    <n v="2"/>
    <m/>
    <m/>
    <m/>
    <m/>
    <m/>
    <m/>
    <m/>
  </r>
  <r>
    <x v="15"/>
    <x v="79"/>
    <n v="20"/>
    <m/>
    <m/>
    <m/>
    <m/>
    <m/>
    <m/>
    <m/>
  </r>
  <r>
    <x v="16"/>
    <x v="79"/>
    <n v="36"/>
    <m/>
    <m/>
    <m/>
    <m/>
    <m/>
    <m/>
    <m/>
  </r>
  <r>
    <x v="27"/>
    <x v="79"/>
    <n v="37"/>
    <m/>
    <m/>
    <m/>
    <m/>
    <m/>
    <m/>
    <m/>
  </r>
  <r>
    <x v="18"/>
    <x v="79"/>
    <n v="101"/>
    <m/>
    <m/>
    <m/>
    <m/>
    <m/>
    <m/>
    <m/>
  </r>
  <r>
    <x v="19"/>
    <x v="79"/>
    <n v="31"/>
    <m/>
    <m/>
    <m/>
    <m/>
    <m/>
    <m/>
    <m/>
  </r>
  <r>
    <x v="20"/>
    <x v="79"/>
    <n v="43"/>
    <m/>
    <m/>
    <m/>
    <m/>
    <m/>
    <m/>
    <m/>
  </r>
  <r>
    <x v="21"/>
    <x v="79"/>
    <n v="26"/>
    <m/>
    <m/>
    <m/>
    <m/>
    <m/>
    <m/>
    <m/>
  </r>
  <r>
    <x v="22"/>
    <x v="79"/>
    <n v="48"/>
    <m/>
    <m/>
    <m/>
    <m/>
    <m/>
    <m/>
    <m/>
  </r>
  <r>
    <x v="23"/>
    <x v="79"/>
    <n v="76"/>
    <m/>
    <m/>
    <m/>
    <m/>
    <m/>
    <m/>
    <m/>
  </r>
  <r>
    <x v="24"/>
    <x v="79"/>
    <n v="19"/>
    <m/>
    <m/>
    <m/>
    <m/>
    <m/>
    <m/>
    <m/>
  </r>
  <r>
    <x v="25"/>
    <x v="79"/>
    <n v="11"/>
    <m/>
    <m/>
    <m/>
    <m/>
    <m/>
    <m/>
    <m/>
  </r>
  <r>
    <x v="26"/>
    <x v="79"/>
    <n v="2"/>
    <m/>
    <m/>
    <m/>
    <m/>
    <m/>
    <m/>
    <m/>
  </r>
  <r>
    <x v="15"/>
    <x v="79"/>
    <n v="22"/>
    <m/>
    <m/>
    <m/>
    <m/>
    <m/>
    <m/>
    <m/>
  </r>
  <r>
    <x v="16"/>
    <x v="79"/>
    <n v="11"/>
    <m/>
    <m/>
    <m/>
    <m/>
    <m/>
    <m/>
    <m/>
  </r>
  <r>
    <x v="27"/>
    <x v="79"/>
    <n v="2"/>
    <m/>
    <m/>
    <m/>
    <m/>
    <m/>
    <m/>
    <m/>
  </r>
  <r>
    <x v="18"/>
    <x v="79"/>
    <n v="23"/>
    <m/>
    <m/>
    <m/>
    <m/>
    <m/>
    <m/>
    <m/>
  </r>
  <r>
    <x v="19"/>
    <x v="79"/>
    <n v="6"/>
    <m/>
    <m/>
    <m/>
    <m/>
    <m/>
    <m/>
    <m/>
  </r>
  <r>
    <x v="20"/>
    <x v="79"/>
    <n v="103"/>
    <m/>
    <m/>
    <m/>
    <m/>
    <m/>
    <m/>
    <m/>
  </r>
  <r>
    <x v="21"/>
    <x v="79"/>
    <n v="5"/>
    <m/>
    <m/>
    <m/>
    <m/>
    <m/>
    <m/>
    <m/>
  </r>
  <r>
    <x v="22"/>
    <x v="79"/>
    <n v="93"/>
    <m/>
    <m/>
    <m/>
    <m/>
    <m/>
    <m/>
    <m/>
  </r>
  <r>
    <x v="23"/>
    <x v="79"/>
    <n v="13"/>
    <m/>
    <m/>
    <m/>
    <m/>
    <m/>
    <m/>
    <m/>
  </r>
  <r>
    <x v="24"/>
    <x v="79"/>
    <n v="21"/>
    <m/>
    <m/>
    <m/>
    <m/>
    <m/>
    <m/>
    <m/>
  </r>
  <r>
    <x v="25"/>
    <x v="79"/>
    <n v="2"/>
    <m/>
    <m/>
    <m/>
    <m/>
    <m/>
    <m/>
    <m/>
  </r>
  <r>
    <x v="15"/>
    <x v="79"/>
    <n v="5"/>
    <m/>
    <m/>
    <m/>
    <m/>
    <m/>
    <m/>
    <m/>
  </r>
  <r>
    <x v="16"/>
    <x v="79"/>
    <n v="17"/>
    <m/>
    <m/>
    <m/>
    <m/>
    <m/>
    <m/>
    <m/>
  </r>
  <r>
    <x v="27"/>
    <x v="79"/>
    <n v="15"/>
    <m/>
    <m/>
    <m/>
    <m/>
    <m/>
    <m/>
    <m/>
  </r>
  <r>
    <x v="18"/>
    <x v="79"/>
    <n v="36"/>
    <m/>
    <m/>
    <m/>
    <m/>
    <m/>
    <m/>
    <m/>
  </r>
  <r>
    <x v="19"/>
    <x v="79"/>
    <n v="20"/>
    <m/>
    <m/>
    <m/>
    <m/>
    <m/>
    <m/>
    <m/>
  </r>
  <r>
    <x v="20"/>
    <x v="79"/>
    <n v="33"/>
    <m/>
    <m/>
    <m/>
    <m/>
    <m/>
    <m/>
    <m/>
  </r>
  <r>
    <x v="21"/>
    <x v="79"/>
    <n v="7"/>
    <m/>
    <m/>
    <m/>
    <m/>
    <m/>
    <m/>
    <m/>
  </r>
  <r>
    <x v="22"/>
    <x v="79"/>
    <n v="14"/>
    <m/>
    <m/>
    <m/>
    <m/>
    <m/>
    <m/>
    <m/>
  </r>
  <r>
    <x v="23"/>
    <x v="79"/>
    <n v="34"/>
    <m/>
    <m/>
    <m/>
    <m/>
    <m/>
    <m/>
    <m/>
  </r>
  <r>
    <x v="24"/>
    <x v="79"/>
    <n v="20"/>
    <m/>
    <m/>
    <m/>
    <m/>
    <m/>
    <m/>
    <m/>
  </r>
  <r>
    <x v="25"/>
    <x v="79"/>
    <n v="7"/>
    <m/>
    <m/>
    <m/>
    <m/>
    <m/>
    <m/>
    <m/>
  </r>
  <r>
    <x v="21"/>
    <x v="79"/>
    <n v="2"/>
    <m/>
    <m/>
    <m/>
    <m/>
    <m/>
    <m/>
    <m/>
  </r>
  <r>
    <x v="23"/>
    <x v="79"/>
    <n v="2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8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8"/>
    <x v="79"/>
    <n v="20"/>
    <m/>
    <m/>
    <m/>
    <m/>
    <m/>
    <m/>
    <m/>
  </r>
  <r>
    <x v="19"/>
    <x v="79"/>
    <n v="1"/>
    <m/>
    <m/>
    <m/>
    <m/>
    <m/>
    <m/>
    <m/>
  </r>
  <r>
    <x v="23"/>
    <x v="79"/>
    <n v="25"/>
    <m/>
    <m/>
    <m/>
    <m/>
    <m/>
    <m/>
    <m/>
  </r>
  <r>
    <x v="25"/>
    <x v="79"/>
    <n v="2"/>
    <m/>
    <m/>
    <m/>
    <m/>
    <m/>
    <m/>
    <m/>
  </r>
  <r>
    <x v="15"/>
    <x v="79"/>
    <n v="4"/>
    <m/>
    <m/>
    <m/>
    <m/>
    <m/>
    <m/>
    <m/>
  </r>
  <r>
    <x v="16"/>
    <x v="79"/>
    <n v="8"/>
    <m/>
    <m/>
    <m/>
    <m/>
    <m/>
    <m/>
    <m/>
  </r>
  <r>
    <x v="27"/>
    <x v="79"/>
    <n v="4"/>
    <m/>
    <m/>
    <m/>
    <m/>
    <m/>
    <m/>
    <m/>
  </r>
  <r>
    <x v="18"/>
    <x v="79"/>
    <n v="8"/>
    <m/>
    <m/>
    <m/>
    <m/>
    <m/>
    <m/>
    <m/>
  </r>
  <r>
    <x v="19"/>
    <x v="79"/>
    <n v="8"/>
    <m/>
    <m/>
    <m/>
    <m/>
    <m/>
    <m/>
    <m/>
  </r>
  <r>
    <x v="20"/>
    <x v="79"/>
    <n v="8"/>
    <m/>
    <m/>
    <m/>
    <m/>
    <m/>
    <m/>
    <m/>
  </r>
  <r>
    <x v="21"/>
    <x v="79"/>
    <n v="8"/>
    <m/>
    <m/>
    <m/>
    <m/>
    <m/>
    <m/>
    <m/>
  </r>
  <r>
    <x v="22"/>
    <x v="79"/>
    <n v="8"/>
    <m/>
    <m/>
    <m/>
    <m/>
    <m/>
    <m/>
    <m/>
  </r>
  <r>
    <x v="23"/>
    <x v="79"/>
    <n v="9"/>
    <m/>
    <m/>
    <m/>
    <m/>
    <m/>
    <m/>
    <m/>
  </r>
  <r>
    <x v="24"/>
    <x v="79"/>
    <n v="4"/>
    <m/>
    <m/>
    <m/>
    <m/>
    <m/>
    <m/>
    <m/>
  </r>
  <r>
    <x v="25"/>
    <x v="79"/>
    <n v="1"/>
    <m/>
    <m/>
    <m/>
    <m/>
    <m/>
    <m/>
    <m/>
  </r>
  <r>
    <x v="15"/>
    <x v="79"/>
    <n v="3"/>
    <m/>
    <m/>
    <m/>
    <m/>
    <m/>
    <m/>
    <m/>
  </r>
  <r>
    <x v="16"/>
    <x v="79"/>
    <n v="1"/>
    <m/>
    <m/>
    <m/>
    <m/>
    <m/>
    <m/>
    <m/>
  </r>
  <r>
    <x v="27"/>
    <x v="79"/>
    <n v="3"/>
    <m/>
    <m/>
    <m/>
    <m/>
    <m/>
    <m/>
    <m/>
  </r>
  <r>
    <x v="18"/>
    <x v="79"/>
    <n v="3"/>
    <m/>
    <m/>
    <m/>
    <m/>
    <m/>
    <m/>
    <m/>
  </r>
  <r>
    <x v="19"/>
    <x v="79"/>
    <n v="1"/>
    <m/>
    <m/>
    <m/>
    <m/>
    <m/>
    <m/>
    <m/>
  </r>
  <r>
    <x v="20"/>
    <x v="79"/>
    <n v="4"/>
    <m/>
    <m/>
    <m/>
    <m/>
    <m/>
    <m/>
    <m/>
  </r>
  <r>
    <x v="21"/>
    <x v="79"/>
    <n v="9"/>
    <m/>
    <m/>
    <m/>
    <m/>
    <m/>
    <m/>
    <m/>
  </r>
  <r>
    <x v="23"/>
    <x v="79"/>
    <n v="2"/>
    <m/>
    <m/>
    <m/>
    <m/>
    <m/>
    <m/>
    <m/>
  </r>
  <r>
    <x v="27"/>
    <x v="79"/>
    <n v="1"/>
    <m/>
    <m/>
    <m/>
    <m/>
    <m/>
    <m/>
    <m/>
  </r>
  <r>
    <x v="18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14"/>
    <x v="79"/>
    <n v="37"/>
    <m/>
    <m/>
    <m/>
    <m/>
    <m/>
    <m/>
    <m/>
  </r>
  <r>
    <x v="15"/>
    <x v="79"/>
    <n v="68"/>
    <m/>
    <m/>
    <m/>
    <m/>
    <m/>
    <m/>
    <m/>
  </r>
  <r>
    <x v="16"/>
    <x v="79"/>
    <n v="150"/>
    <m/>
    <m/>
    <m/>
    <m/>
    <m/>
    <m/>
    <m/>
  </r>
  <r>
    <x v="27"/>
    <x v="79"/>
    <n v="84"/>
    <m/>
    <m/>
    <m/>
    <m/>
    <m/>
    <m/>
    <m/>
  </r>
  <r>
    <x v="18"/>
    <x v="79"/>
    <n v="68"/>
    <m/>
    <m/>
    <m/>
    <m/>
    <m/>
    <m/>
    <m/>
  </r>
  <r>
    <x v="19"/>
    <x v="79"/>
    <n v="89"/>
    <m/>
    <m/>
    <m/>
    <m/>
    <m/>
    <m/>
    <m/>
  </r>
  <r>
    <x v="20"/>
    <x v="79"/>
    <n v="32"/>
    <m/>
    <m/>
    <m/>
    <m/>
    <m/>
    <m/>
    <m/>
  </r>
  <r>
    <x v="21"/>
    <x v="79"/>
    <n v="68"/>
    <m/>
    <m/>
    <m/>
    <m/>
    <m/>
    <m/>
    <m/>
  </r>
  <r>
    <x v="22"/>
    <x v="79"/>
    <n v="60"/>
    <m/>
    <m/>
    <m/>
    <m/>
    <m/>
    <m/>
    <m/>
  </r>
  <r>
    <x v="23"/>
    <x v="79"/>
    <n v="62"/>
    <m/>
    <m/>
    <m/>
    <m/>
    <m/>
    <m/>
    <m/>
  </r>
  <r>
    <x v="24"/>
    <x v="79"/>
    <n v="81"/>
    <m/>
    <m/>
    <m/>
    <m/>
    <m/>
    <m/>
    <m/>
  </r>
  <r>
    <x v="25"/>
    <x v="79"/>
    <n v="1"/>
    <m/>
    <m/>
    <m/>
    <m/>
    <m/>
    <m/>
    <m/>
  </r>
  <r>
    <x v="14"/>
    <x v="79"/>
    <n v="4"/>
    <m/>
    <m/>
    <m/>
    <m/>
    <m/>
    <m/>
    <m/>
  </r>
  <r>
    <x v="15"/>
    <x v="79"/>
    <n v="13"/>
    <m/>
    <m/>
    <m/>
    <m/>
    <m/>
    <m/>
    <m/>
  </r>
  <r>
    <x v="16"/>
    <x v="79"/>
    <n v="17"/>
    <m/>
    <m/>
    <m/>
    <m/>
    <m/>
    <m/>
    <m/>
  </r>
  <r>
    <x v="27"/>
    <x v="79"/>
    <n v="10"/>
    <m/>
    <m/>
    <m/>
    <m/>
    <m/>
    <m/>
    <m/>
  </r>
  <r>
    <x v="18"/>
    <x v="79"/>
    <n v="19"/>
    <m/>
    <m/>
    <m/>
    <m/>
    <m/>
    <m/>
    <m/>
  </r>
  <r>
    <x v="19"/>
    <x v="79"/>
    <n v="18"/>
    <m/>
    <m/>
    <m/>
    <m/>
    <m/>
    <m/>
    <m/>
  </r>
  <r>
    <x v="20"/>
    <x v="79"/>
    <n v="18"/>
    <m/>
    <m/>
    <m/>
    <m/>
    <m/>
    <m/>
    <m/>
  </r>
  <r>
    <x v="21"/>
    <x v="79"/>
    <n v="19"/>
    <m/>
    <m/>
    <m/>
    <m/>
    <m/>
    <m/>
    <m/>
  </r>
  <r>
    <x v="22"/>
    <x v="79"/>
    <n v="20"/>
    <m/>
    <m/>
    <m/>
    <m/>
    <m/>
    <m/>
    <m/>
  </r>
  <r>
    <x v="23"/>
    <x v="79"/>
    <n v="17"/>
    <m/>
    <m/>
    <m/>
    <m/>
    <m/>
    <m/>
    <m/>
  </r>
  <r>
    <x v="24"/>
    <x v="79"/>
    <n v="21"/>
    <m/>
    <m/>
    <m/>
    <m/>
    <m/>
    <m/>
    <m/>
  </r>
  <r>
    <x v="16"/>
    <x v="79"/>
    <n v="1"/>
    <m/>
    <m/>
    <m/>
    <m/>
    <m/>
    <m/>
    <m/>
  </r>
  <r>
    <x v="15"/>
    <x v="79"/>
    <n v="2"/>
    <m/>
    <m/>
    <m/>
    <m/>
    <m/>
    <m/>
    <m/>
  </r>
  <r>
    <x v="16"/>
    <x v="79"/>
    <n v="3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3"/>
    <m/>
    <m/>
    <m/>
    <m/>
    <m/>
    <m/>
    <m/>
  </r>
  <r>
    <x v="22"/>
    <x v="79"/>
    <n v="3"/>
    <m/>
    <m/>
    <m/>
    <m/>
    <m/>
    <m/>
    <m/>
  </r>
  <r>
    <x v="23"/>
    <x v="79"/>
    <n v="2"/>
    <m/>
    <m/>
    <m/>
    <m/>
    <m/>
    <m/>
    <m/>
  </r>
  <r>
    <x v="24"/>
    <x v="79"/>
    <n v="2"/>
    <m/>
    <m/>
    <m/>
    <m/>
    <m/>
    <m/>
    <m/>
  </r>
  <r>
    <x v="15"/>
    <x v="79"/>
    <n v="1"/>
    <m/>
    <m/>
    <m/>
    <m/>
    <m/>
    <m/>
    <m/>
  </r>
  <r>
    <x v="27"/>
    <x v="79"/>
    <n v="1"/>
    <m/>
    <m/>
    <m/>
    <m/>
    <m/>
    <m/>
    <m/>
  </r>
  <r>
    <x v="21"/>
    <x v="79"/>
    <n v="1"/>
    <m/>
    <m/>
    <m/>
    <m/>
    <m/>
    <m/>
    <m/>
  </r>
  <r>
    <x v="15"/>
    <x v="79"/>
    <n v="16"/>
    <m/>
    <m/>
    <m/>
    <m/>
    <m/>
    <m/>
    <m/>
  </r>
  <r>
    <x v="16"/>
    <x v="79"/>
    <n v="12"/>
    <m/>
    <m/>
    <m/>
    <m/>
    <m/>
    <m/>
    <m/>
  </r>
  <r>
    <x v="27"/>
    <x v="79"/>
    <n v="6"/>
    <m/>
    <m/>
    <m/>
    <m/>
    <m/>
    <m/>
    <m/>
  </r>
  <r>
    <x v="18"/>
    <x v="79"/>
    <n v="9"/>
    <m/>
    <m/>
    <m/>
    <m/>
    <m/>
    <m/>
    <m/>
  </r>
  <r>
    <x v="19"/>
    <x v="79"/>
    <n v="7"/>
    <m/>
    <m/>
    <m/>
    <m/>
    <m/>
    <m/>
    <m/>
  </r>
  <r>
    <x v="20"/>
    <x v="79"/>
    <n v="12"/>
    <m/>
    <m/>
    <m/>
    <m/>
    <m/>
    <m/>
    <m/>
  </r>
  <r>
    <x v="21"/>
    <x v="79"/>
    <n v="19"/>
    <m/>
    <m/>
    <m/>
    <m/>
    <m/>
    <m/>
    <m/>
  </r>
  <r>
    <x v="22"/>
    <x v="79"/>
    <n v="8"/>
    <m/>
    <m/>
    <m/>
    <m/>
    <m/>
    <m/>
    <m/>
  </r>
  <r>
    <x v="23"/>
    <x v="79"/>
    <n v="11"/>
    <m/>
    <m/>
    <m/>
    <m/>
    <m/>
    <m/>
    <m/>
  </r>
  <r>
    <x v="24"/>
    <x v="79"/>
    <n v="4"/>
    <m/>
    <m/>
    <m/>
    <m/>
    <m/>
    <m/>
    <m/>
  </r>
  <r>
    <x v="15"/>
    <x v="79"/>
    <n v="52"/>
    <m/>
    <m/>
    <m/>
    <m/>
    <m/>
    <m/>
    <m/>
  </r>
  <r>
    <x v="16"/>
    <x v="79"/>
    <n v="95"/>
    <m/>
    <m/>
    <m/>
    <m/>
    <m/>
    <m/>
    <m/>
  </r>
  <r>
    <x v="27"/>
    <x v="79"/>
    <n v="60"/>
    <m/>
    <m/>
    <m/>
    <m/>
    <m/>
    <m/>
    <m/>
  </r>
  <r>
    <x v="18"/>
    <x v="79"/>
    <n v="99"/>
    <m/>
    <m/>
    <m/>
    <m/>
    <m/>
    <m/>
    <m/>
  </r>
  <r>
    <x v="19"/>
    <x v="79"/>
    <n v="91"/>
    <m/>
    <m/>
    <m/>
    <m/>
    <m/>
    <m/>
    <m/>
  </r>
  <r>
    <x v="20"/>
    <x v="79"/>
    <n v="82"/>
    <m/>
    <m/>
    <m/>
    <m/>
    <m/>
    <m/>
    <m/>
  </r>
  <r>
    <x v="21"/>
    <x v="79"/>
    <n v="89"/>
    <m/>
    <m/>
    <m/>
    <m/>
    <m/>
    <m/>
    <m/>
  </r>
  <r>
    <x v="22"/>
    <x v="79"/>
    <n v="83"/>
    <m/>
    <m/>
    <m/>
    <m/>
    <m/>
    <m/>
    <m/>
  </r>
  <r>
    <x v="23"/>
    <x v="79"/>
    <n v="90"/>
    <m/>
    <m/>
    <m/>
    <m/>
    <m/>
    <m/>
    <m/>
  </r>
  <r>
    <x v="24"/>
    <x v="79"/>
    <n v="63"/>
    <m/>
    <m/>
    <m/>
    <m/>
    <m/>
    <m/>
    <m/>
  </r>
  <r>
    <x v="25"/>
    <x v="79"/>
    <n v="13"/>
    <m/>
    <m/>
    <m/>
    <m/>
    <m/>
    <m/>
    <m/>
  </r>
  <r>
    <x v="26"/>
    <x v="79"/>
    <n v="4"/>
    <m/>
    <m/>
    <m/>
    <m/>
    <m/>
    <m/>
    <m/>
  </r>
  <r>
    <x v="15"/>
    <x v="79"/>
    <n v="4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8"/>
    <x v="79"/>
    <n v="2"/>
    <m/>
    <m/>
    <m/>
    <m/>
    <m/>
    <m/>
    <m/>
  </r>
  <r>
    <x v="19"/>
    <x v="79"/>
    <n v="3"/>
    <m/>
    <m/>
    <m/>
    <m/>
    <m/>
    <m/>
    <m/>
  </r>
  <r>
    <x v="20"/>
    <x v="79"/>
    <n v="3"/>
    <m/>
    <m/>
    <m/>
    <m/>
    <m/>
    <m/>
    <m/>
  </r>
  <r>
    <x v="21"/>
    <x v="79"/>
    <n v="2"/>
    <m/>
    <m/>
    <m/>
    <m/>
    <m/>
    <m/>
    <m/>
  </r>
  <r>
    <x v="22"/>
    <x v="79"/>
    <n v="3"/>
    <m/>
    <m/>
    <m/>
    <m/>
    <m/>
    <m/>
    <m/>
  </r>
  <r>
    <x v="23"/>
    <x v="79"/>
    <n v="4"/>
    <m/>
    <m/>
    <m/>
    <m/>
    <m/>
    <m/>
    <m/>
  </r>
  <r>
    <x v="24"/>
    <x v="79"/>
    <n v="4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14"/>
    <x v="79"/>
    <n v="1"/>
    <m/>
    <m/>
    <m/>
    <m/>
    <m/>
    <m/>
    <m/>
  </r>
  <r>
    <x v="15"/>
    <x v="79"/>
    <n v="2"/>
    <m/>
    <m/>
    <m/>
    <m/>
    <m/>
    <m/>
    <m/>
  </r>
  <r>
    <x v="16"/>
    <x v="79"/>
    <n v="1"/>
    <m/>
    <m/>
    <m/>
    <m/>
    <m/>
    <m/>
    <m/>
  </r>
  <r>
    <x v="18"/>
    <x v="79"/>
    <n v="2"/>
    <m/>
    <m/>
    <m/>
    <m/>
    <m/>
    <m/>
    <m/>
  </r>
  <r>
    <x v="19"/>
    <x v="79"/>
    <n v="2"/>
    <m/>
    <m/>
    <m/>
    <m/>
    <m/>
    <m/>
    <m/>
  </r>
  <r>
    <x v="20"/>
    <x v="79"/>
    <n v="2"/>
    <m/>
    <m/>
    <m/>
    <m/>
    <m/>
    <m/>
    <m/>
  </r>
  <r>
    <x v="22"/>
    <x v="79"/>
    <n v="4"/>
    <m/>
    <m/>
    <m/>
    <m/>
    <m/>
    <m/>
    <m/>
  </r>
  <r>
    <x v="24"/>
    <x v="79"/>
    <n v="3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8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1"/>
    <x v="79"/>
    <n v="1"/>
    <m/>
    <m/>
    <m/>
    <m/>
    <m/>
    <m/>
    <m/>
  </r>
  <r>
    <x v="22"/>
    <x v="79"/>
    <n v="1"/>
    <m/>
    <m/>
    <m/>
    <m/>
    <m/>
    <m/>
    <m/>
  </r>
  <r>
    <x v="24"/>
    <x v="79"/>
    <n v="1"/>
    <m/>
    <m/>
    <m/>
    <m/>
    <m/>
    <m/>
    <m/>
  </r>
  <r>
    <x v="14"/>
    <x v="79"/>
    <n v="1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27"/>
    <x v="79"/>
    <n v="1"/>
    <m/>
    <m/>
    <m/>
    <m/>
    <m/>
    <m/>
    <m/>
  </r>
  <r>
    <x v="19"/>
    <x v="79"/>
    <n v="1"/>
    <m/>
    <m/>
    <m/>
    <m/>
    <m/>
    <m/>
    <m/>
  </r>
  <r>
    <x v="20"/>
    <x v="79"/>
    <n v="1"/>
    <m/>
    <m/>
    <m/>
    <m/>
    <m/>
    <m/>
    <m/>
  </r>
  <r>
    <x v="22"/>
    <x v="79"/>
    <n v="1"/>
    <m/>
    <m/>
    <m/>
    <m/>
    <m/>
    <m/>
    <m/>
  </r>
  <r>
    <x v="23"/>
    <x v="79"/>
    <n v="1"/>
    <m/>
    <m/>
    <m/>
    <m/>
    <m/>
    <m/>
    <m/>
  </r>
  <r>
    <x v="24"/>
    <x v="79"/>
    <n v="1"/>
    <m/>
    <m/>
    <m/>
    <m/>
    <m/>
    <m/>
    <m/>
  </r>
  <r>
    <x v="15"/>
    <x v="79"/>
    <n v="2"/>
    <m/>
    <m/>
    <m/>
    <m/>
    <m/>
    <m/>
    <m/>
  </r>
  <r>
    <x v="16"/>
    <x v="79"/>
    <n v="2"/>
    <m/>
    <m/>
    <m/>
    <m/>
    <m/>
    <m/>
    <m/>
  </r>
  <r>
    <x v="27"/>
    <x v="79"/>
    <n v="2"/>
    <m/>
    <m/>
    <m/>
    <m/>
    <m/>
    <m/>
    <m/>
  </r>
  <r>
    <x v="18"/>
    <x v="79"/>
    <n v="2"/>
    <m/>
    <m/>
    <m/>
    <m/>
    <m/>
    <m/>
    <m/>
  </r>
  <r>
    <x v="20"/>
    <x v="79"/>
    <n v="2"/>
    <m/>
    <m/>
    <m/>
    <m/>
    <m/>
    <m/>
    <m/>
  </r>
  <r>
    <x v="21"/>
    <x v="79"/>
    <n v="2"/>
    <m/>
    <m/>
    <m/>
    <m/>
    <m/>
    <m/>
    <m/>
  </r>
  <r>
    <x v="22"/>
    <x v="79"/>
    <n v="4"/>
    <m/>
    <m/>
    <m/>
    <m/>
    <m/>
    <m/>
    <m/>
  </r>
  <r>
    <x v="23"/>
    <x v="79"/>
    <n v="2"/>
    <m/>
    <m/>
    <m/>
    <m/>
    <m/>
    <m/>
    <m/>
  </r>
  <r>
    <x v="14"/>
    <x v="79"/>
    <n v="2"/>
    <m/>
    <m/>
    <m/>
    <m/>
    <m/>
    <m/>
    <m/>
  </r>
  <r>
    <x v="15"/>
    <x v="79"/>
    <n v="2"/>
    <m/>
    <m/>
    <m/>
    <m/>
    <m/>
    <m/>
    <m/>
  </r>
  <r>
    <x v="16"/>
    <x v="79"/>
    <n v="6"/>
    <m/>
    <m/>
    <m/>
    <m/>
    <m/>
    <m/>
    <m/>
  </r>
  <r>
    <x v="27"/>
    <x v="79"/>
    <n v="3"/>
    <m/>
    <m/>
    <m/>
    <m/>
    <m/>
    <m/>
    <m/>
  </r>
  <r>
    <x v="18"/>
    <x v="79"/>
    <n v="8"/>
    <m/>
    <m/>
    <m/>
    <m/>
    <m/>
    <m/>
    <m/>
  </r>
  <r>
    <x v="19"/>
    <x v="79"/>
    <n v="6"/>
    <m/>
    <m/>
    <m/>
    <m/>
    <m/>
    <m/>
    <m/>
  </r>
  <r>
    <x v="20"/>
    <x v="79"/>
    <n v="6"/>
    <m/>
    <m/>
    <m/>
    <m/>
    <m/>
    <m/>
    <m/>
  </r>
  <r>
    <x v="21"/>
    <x v="79"/>
    <n v="6"/>
    <m/>
    <m/>
    <m/>
    <m/>
    <m/>
    <m/>
    <m/>
  </r>
  <r>
    <x v="22"/>
    <x v="79"/>
    <n v="6"/>
    <m/>
    <m/>
    <m/>
    <m/>
    <m/>
    <m/>
    <m/>
  </r>
  <r>
    <x v="23"/>
    <x v="79"/>
    <n v="6"/>
    <m/>
    <m/>
    <m/>
    <m/>
    <m/>
    <m/>
    <m/>
  </r>
  <r>
    <x v="24"/>
    <x v="79"/>
    <n v="6"/>
    <m/>
    <m/>
    <m/>
    <m/>
    <m/>
    <m/>
    <m/>
  </r>
  <r>
    <x v="16"/>
    <x v="79"/>
    <n v="3"/>
    <m/>
    <m/>
    <m/>
    <m/>
    <m/>
    <m/>
    <m/>
  </r>
  <r>
    <x v="18"/>
    <x v="79"/>
    <n v="9"/>
    <m/>
    <m/>
    <m/>
    <m/>
    <m/>
    <m/>
    <m/>
  </r>
  <r>
    <x v="19"/>
    <x v="79"/>
    <n v="9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3"/>
    <m/>
    <m/>
    <m/>
    <m/>
    <m/>
    <m/>
    <m/>
  </r>
  <r>
    <x v="23"/>
    <x v="79"/>
    <n v="9"/>
    <m/>
    <m/>
    <m/>
    <m/>
    <m/>
    <m/>
    <m/>
  </r>
  <r>
    <x v="25"/>
    <x v="79"/>
    <n v="1"/>
    <m/>
    <m/>
    <m/>
    <m/>
    <m/>
    <m/>
    <m/>
  </r>
  <r>
    <x v="16"/>
    <x v="79"/>
    <n v="1"/>
    <m/>
    <m/>
    <m/>
    <m/>
    <m/>
    <m/>
    <m/>
  </r>
  <r>
    <x v="18"/>
    <x v="79"/>
    <n v="3"/>
    <m/>
    <m/>
    <m/>
    <m/>
    <m/>
    <m/>
    <m/>
  </r>
  <r>
    <x v="19"/>
    <x v="79"/>
    <n v="4"/>
    <m/>
    <m/>
    <m/>
    <m/>
    <m/>
    <m/>
    <m/>
  </r>
  <r>
    <x v="20"/>
    <x v="79"/>
    <n v="3"/>
    <m/>
    <m/>
    <m/>
    <m/>
    <m/>
    <m/>
    <m/>
  </r>
  <r>
    <x v="21"/>
    <x v="79"/>
    <n v="1"/>
    <m/>
    <m/>
    <m/>
    <m/>
    <m/>
    <m/>
    <m/>
  </r>
  <r>
    <x v="22"/>
    <x v="79"/>
    <n v="2"/>
    <m/>
    <m/>
    <m/>
    <m/>
    <m/>
    <m/>
    <m/>
  </r>
  <r>
    <x v="23"/>
    <x v="79"/>
    <n v="4"/>
    <m/>
    <m/>
    <m/>
    <m/>
    <m/>
    <m/>
    <m/>
  </r>
  <r>
    <x v="24"/>
    <x v="79"/>
    <n v="3"/>
    <m/>
    <m/>
    <m/>
    <m/>
    <m/>
    <m/>
    <m/>
  </r>
  <r>
    <x v="15"/>
    <x v="79"/>
    <n v="1"/>
    <m/>
    <m/>
    <m/>
    <m/>
    <m/>
    <m/>
    <m/>
  </r>
  <r>
    <x v="14"/>
    <x v="79"/>
    <n v="115"/>
    <m/>
    <m/>
    <m/>
    <m/>
    <m/>
    <m/>
    <m/>
  </r>
  <r>
    <x v="15"/>
    <x v="79"/>
    <n v="320"/>
    <m/>
    <m/>
    <m/>
    <m/>
    <m/>
    <m/>
    <m/>
  </r>
  <r>
    <x v="16"/>
    <x v="79"/>
    <n v="104"/>
    <m/>
    <m/>
    <m/>
    <m/>
    <m/>
    <m/>
    <m/>
  </r>
  <r>
    <x v="27"/>
    <x v="79"/>
    <n v="143"/>
    <m/>
    <m/>
    <m/>
    <m/>
    <m/>
    <m/>
    <m/>
  </r>
  <r>
    <x v="18"/>
    <x v="79"/>
    <n v="119"/>
    <m/>
    <m/>
    <m/>
    <m/>
    <m/>
    <m/>
    <m/>
  </r>
  <r>
    <x v="19"/>
    <x v="79"/>
    <n v="51"/>
    <m/>
    <m/>
    <m/>
    <m/>
    <m/>
    <m/>
    <m/>
  </r>
  <r>
    <x v="20"/>
    <x v="79"/>
    <n v="119"/>
    <m/>
    <m/>
    <m/>
    <m/>
    <m/>
    <m/>
    <m/>
  </r>
  <r>
    <x v="21"/>
    <x v="79"/>
    <n v="116"/>
    <m/>
    <m/>
    <m/>
    <m/>
    <m/>
    <m/>
    <m/>
  </r>
  <r>
    <x v="22"/>
    <x v="79"/>
    <n v="199"/>
    <m/>
    <m/>
    <m/>
    <m/>
    <m/>
    <m/>
    <m/>
  </r>
  <r>
    <x v="23"/>
    <x v="79"/>
    <n v="77"/>
    <m/>
    <m/>
    <m/>
    <m/>
    <m/>
    <m/>
    <m/>
  </r>
  <r>
    <x v="24"/>
    <x v="79"/>
    <n v="108"/>
    <m/>
    <m/>
    <m/>
    <m/>
    <m/>
    <m/>
    <m/>
  </r>
  <r>
    <x v="25"/>
    <x v="79"/>
    <n v="642"/>
    <m/>
    <m/>
    <m/>
    <m/>
    <m/>
    <m/>
    <m/>
  </r>
  <r>
    <x v="26"/>
    <x v="79"/>
    <n v="46"/>
    <m/>
    <m/>
    <m/>
    <m/>
    <m/>
    <m/>
    <m/>
  </r>
  <r>
    <x v="15"/>
    <x v="79"/>
    <n v="1"/>
    <m/>
    <m/>
    <m/>
    <m/>
    <m/>
    <m/>
    <m/>
  </r>
  <r>
    <x v="16"/>
    <x v="79"/>
    <n v="1"/>
    <m/>
    <m/>
    <m/>
    <m/>
    <m/>
    <m/>
    <m/>
  </r>
  <r>
    <x v="14"/>
    <x v="79"/>
    <n v="109"/>
    <m/>
    <m/>
    <m/>
    <m/>
    <m/>
    <m/>
    <m/>
  </r>
  <r>
    <x v="15"/>
    <x v="79"/>
    <n v="204"/>
    <m/>
    <m/>
    <m/>
    <m/>
    <m/>
    <m/>
    <m/>
  </r>
  <r>
    <x v="16"/>
    <x v="79"/>
    <n v="75"/>
    <m/>
    <m/>
    <m/>
    <m/>
    <m/>
    <m/>
    <m/>
  </r>
  <r>
    <x v="27"/>
    <x v="79"/>
    <n v="168"/>
    <m/>
    <m/>
    <m/>
    <m/>
    <m/>
    <m/>
    <m/>
  </r>
  <r>
    <x v="18"/>
    <x v="79"/>
    <n v="114"/>
    <m/>
    <m/>
    <m/>
    <m/>
    <m/>
    <m/>
    <m/>
  </r>
  <r>
    <x v="19"/>
    <x v="79"/>
    <n v="72"/>
    <m/>
    <m/>
    <m/>
    <m/>
    <m/>
    <m/>
    <m/>
  </r>
  <r>
    <x v="20"/>
    <x v="79"/>
    <n v="158"/>
    <m/>
    <m/>
    <m/>
    <m/>
    <m/>
    <m/>
    <m/>
  </r>
  <r>
    <x v="21"/>
    <x v="79"/>
    <n v="40"/>
    <m/>
    <m/>
    <m/>
    <m/>
    <m/>
    <m/>
    <m/>
  </r>
  <r>
    <x v="22"/>
    <x v="79"/>
    <n v="196"/>
    <m/>
    <m/>
    <m/>
    <m/>
    <m/>
    <m/>
    <m/>
  </r>
  <r>
    <x v="23"/>
    <x v="79"/>
    <n v="53"/>
    <m/>
    <m/>
    <m/>
    <m/>
    <m/>
    <m/>
    <m/>
  </r>
  <r>
    <x v="24"/>
    <x v="79"/>
    <n v="170"/>
    <m/>
    <m/>
    <m/>
    <m/>
    <m/>
    <m/>
    <m/>
  </r>
  <r>
    <x v="25"/>
    <x v="79"/>
    <n v="782"/>
    <m/>
    <m/>
    <m/>
    <m/>
    <m/>
    <m/>
    <m/>
  </r>
  <r>
    <x v="26"/>
    <x v="79"/>
    <n v="25"/>
    <m/>
    <m/>
    <m/>
    <m/>
    <m/>
    <m/>
    <m/>
  </r>
  <r>
    <x v="27"/>
    <x v="79"/>
    <n v="29"/>
    <m/>
    <m/>
    <m/>
    <m/>
    <m/>
    <m/>
    <m/>
  </r>
  <r>
    <x v="18"/>
    <x v="79"/>
    <n v="29"/>
    <m/>
    <m/>
    <m/>
    <m/>
    <m/>
    <m/>
    <m/>
  </r>
  <r>
    <x v="20"/>
    <x v="79"/>
    <n v="11"/>
    <m/>
    <m/>
    <m/>
    <m/>
    <m/>
    <m/>
    <m/>
  </r>
  <r>
    <x v="15"/>
    <x v="79"/>
    <n v="9"/>
    <m/>
    <m/>
    <m/>
    <m/>
    <m/>
    <m/>
    <m/>
  </r>
  <r>
    <x v="16"/>
    <x v="79"/>
    <n v="10"/>
    <m/>
    <m/>
    <m/>
    <m/>
    <m/>
    <m/>
    <m/>
  </r>
  <r>
    <x v="27"/>
    <x v="79"/>
    <n v="3"/>
    <m/>
    <m/>
    <m/>
    <m/>
    <m/>
    <m/>
    <m/>
  </r>
  <r>
    <x v="18"/>
    <x v="79"/>
    <n v="13"/>
    <m/>
    <m/>
    <m/>
    <m/>
    <m/>
    <m/>
    <m/>
  </r>
  <r>
    <x v="19"/>
    <x v="79"/>
    <n v="5"/>
    <m/>
    <m/>
    <m/>
    <m/>
    <m/>
    <m/>
    <m/>
  </r>
  <r>
    <x v="20"/>
    <x v="79"/>
    <n v="11"/>
    <m/>
    <m/>
    <m/>
    <m/>
    <m/>
    <m/>
    <m/>
  </r>
  <r>
    <x v="21"/>
    <x v="79"/>
    <n v="9"/>
    <m/>
    <m/>
    <m/>
    <m/>
    <m/>
    <m/>
    <m/>
  </r>
  <r>
    <x v="22"/>
    <x v="79"/>
    <n v="14"/>
    <m/>
    <m/>
    <m/>
    <m/>
    <m/>
    <m/>
    <m/>
  </r>
  <r>
    <x v="23"/>
    <x v="79"/>
    <n v="13"/>
    <m/>
    <m/>
    <m/>
    <m/>
    <m/>
    <m/>
    <m/>
  </r>
  <r>
    <x v="24"/>
    <x v="79"/>
    <n v="9"/>
    <m/>
    <m/>
    <m/>
    <m/>
    <m/>
    <m/>
    <m/>
  </r>
  <r>
    <x v="25"/>
    <x v="79"/>
    <n v="7"/>
    <m/>
    <m/>
    <m/>
    <m/>
    <m/>
    <m/>
    <m/>
  </r>
  <r>
    <x v="26"/>
    <x v="79"/>
    <n v="2"/>
    <m/>
    <m/>
    <m/>
    <m/>
    <m/>
    <m/>
    <m/>
  </r>
  <r>
    <x v="27"/>
    <x v="79"/>
    <n v="1"/>
    <m/>
    <m/>
    <m/>
    <m/>
    <m/>
    <m/>
    <m/>
  </r>
  <r>
    <x v="23"/>
    <x v="79"/>
    <n v="1"/>
    <m/>
    <m/>
    <m/>
    <m/>
    <m/>
    <m/>
    <m/>
  </r>
  <r>
    <x v="21"/>
    <x v="79"/>
    <n v="8"/>
    <m/>
    <m/>
    <m/>
    <m/>
    <m/>
    <m/>
    <m/>
  </r>
  <r>
    <x v="25"/>
    <x v="79"/>
    <n v="10"/>
    <m/>
    <m/>
    <m/>
    <m/>
    <m/>
    <m/>
    <m/>
  </r>
  <r>
    <x v="26"/>
    <x v="79"/>
    <n v="38"/>
    <m/>
    <m/>
    <m/>
    <m/>
    <m/>
    <m/>
    <m/>
  </r>
  <r>
    <x v="14"/>
    <x v="79"/>
    <n v="80"/>
    <m/>
    <m/>
    <m/>
    <m/>
    <m/>
    <m/>
    <m/>
  </r>
  <r>
    <x v="15"/>
    <x v="79"/>
    <n v="240"/>
    <m/>
    <m/>
    <m/>
    <m/>
    <m/>
    <m/>
    <m/>
  </r>
  <r>
    <x v="16"/>
    <x v="79"/>
    <n v="50"/>
    <m/>
    <m/>
    <m/>
    <m/>
    <m/>
    <m/>
    <m/>
  </r>
  <r>
    <x v="27"/>
    <x v="79"/>
    <n v="90"/>
    <m/>
    <m/>
    <m/>
    <m/>
    <m/>
    <m/>
    <m/>
  </r>
  <r>
    <x v="18"/>
    <x v="79"/>
    <n v="60"/>
    <m/>
    <m/>
    <m/>
    <m/>
    <m/>
    <m/>
    <m/>
  </r>
  <r>
    <x v="19"/>
    <x v="79"/>
    <n v="40"/>
    <m/>
    <m/>
    <m/>
    <m/>
    <m/>
    <m/>
    <m/>
  </r>
  <r>
    <x v="20"/>
    <x v="79"/>
    <n v="70"/>
    <m/>
    <m/>
    <m/>
    <m/>
    <m/>
    <m/>
    <m/>
  </r>
  <r>
    <x v="21"/>
    <x v="79"/>
    <n v="50"/>
    <m/>
    <m/>
    <m/>
    <m/>
    <m/>
    <m/>
    <m/>
  </r>
  <r>
    <x v="22"/>
    <x v="79"/>
    <n v="140"/>
    <m/>
    <m/>
    <m/>
    <m/>
    <m/>
    <m/>
    <m/>
  </r>
  <r>
    <x v="23"/>
    <x v="79"/>
    <n v="60"/>
    <m/>
    <m/>
    <m/>
    <m/>
    <m/>
    <m/>
    <m/>
  </r>
  <r>
    <x v="24"/>
    <x v="79"/>
    <n v="70"/>
    <m/>
    <m/>
    <m/>
    <m/>
    <m/>
    <m/>
    <m/>
  </r>
  <r>
    <x v="25"/>
    <x v="79"/>
    <n v="560"/>
    <m/>
    <m/>
    <m/>
    <m/>
    <m/>
    <m/>
    <m/>
  </r>
  <r>
    <x v="14"/>
    <x v="79"/>
    <n v="3"/>
    <m/>
    <m/>
    <m/>
    <m/>
    <m/>
    <m/>
    <m/>
  </r>
  <r>
    <x v="15"/>
    <x v="79"/>
    <n v="3"/>
    <m/>
    <m/>
    <m/>
    <m/>
    <m/>
    <m/>
    <m/>
  </r>
  <r>
    <x v="16"/>
    <x v="79"/>
    <n v="6"/>
    <m/>
    <m/>
    <m/>
    <m/>
    <m/>
    <m/>
    <m/>
  </r>
  <r>
    <x v="27"/>
    <x v="79"/>
    <n v="6"/>
    <m/>
    <m/>
    <m/>
    <m/>
    <m/>
    <m/>
    <m/>
  </r>
  <r>
    <x v="18"/>
    <x v="79"/>
    <n v="6"/>
    <m/>
    <m/>
    <m/>
    <m/>
    <m/>
    <m/>
    <m/>
  </r>
  <r>
    <x v="19"/>
    <x v="79"/>
    <n v="6"/>
    <m/>
    <m/>
    <m/>
    <m/>
    <m/>
    <m/>
    <m/>
  </r>
  <r>
    <x v="20"/>
    <x v="79"/>
    <n v="20"/>
    <m/>
    <m/>
    <m/>
    <m/>
    <m/>
    <m/>
    <m/>
  </r>
  <r>
    <x v="22"/>
    <x v="79"/>
    <n v="6"/>
    <m/>
    <m/>
    <m/>
    <m/>
    <m/>
    <m/>
    <m/>
  </r>
  <r>
    <x v="23"/>
    <x v="79"/>
    <n v="6"/>
    <m/>
    <m/>
    <m/>
    <m/>
    <m/>
    <m/>
    <m/>
  </r>
  <r>
    <x v="24"/>
    <x v="79"/>
    <n v="6"/>
    <m/>
    <m/>
    <m/>
    <m/>
    <m/>
    <m/>
    <m/>
  </r>
  <r>
    <x v="20"/>
    <x v="79"/>
    <n v="13"/>
    <m/>
    <m/>
    <m/>
    <m/>
    <m/>
    <m/>
    <m/>
  </r>
  <r>
    <x v="14"/>
    <x v="79"/>
    <n v="14"/>
    <m/>
    <m/>
    <m/>
    <m/>
    <m/>
    <m/>
    <m/>
  </r>
  <r>
    <x v="15"/>
    <x v="79"/>
    <n v="84"/>
    <m/>
    <m/>
    <m/>
    <m/>
    <m/>
    <m/>
    <m/>
  </r>
  <r>
    <x v="16"/>
    <x v="79"/>
    <n v="90"/>
    <m/>
    <m/>
    <m/>
    <m/>
    <m/>
    <m/>
    <m/>
  </r>
  <r>
    <x v="27"/>
    <x v="79"/>
    <n v="63"/>
    <m/>
    <m/>
    <m/>
    <m/>
    <m/>
    <m/>
    <m/>
  </r>
  <r>
    <x v="18"/>
    <x v="79"/>
    <n v="78"/>
    <m/>
    <m/>
    <m/>
    <m/>
    <m/>
    <m/>
    <m/>
  </r>
  <r>
    <x v="19"/>
    <x v="79"/>
    <n v="77"/>
    <m/>
    <m/>
    <m/>
    <m/>
    <m/>
    <m/>
    <m/>
  </r>
  <r>
    <x v="20"/>
    <x v="79"/>
    <n v="92"/>
    <m/>
    <m/>
    <m/>
    <m/>
    <m/>
    <m/>
    <m/>
  </r>
  <r>
    <x v="21"/>
    <x v="79"/>
    <n v="83"/>
    <m/>
    <m/>
    <m/>
    <m/>
    <m/>
    <m/>
    <m/>
  </r>
  <r>
    <x v="22"/>
    <x v="79"/>
    <n v="90"/>
    <m/>
    <m/>
    <m/>
    <m/>
    <m/>
    <m/>
    <m/>
  </r>
  <r>
    <x v="23"/>
    <x v="79"/>
    <n v="82"/>
    <m/>
    <m/>
    <m/>
    <m/>
    <m/>
    <m/>
    <m/>
  </r>
  <r>
    <x v="24"/>
    <x v="79"/>
    <n v="83"/>
    <m/>
    <m/>
    <m/>
    <m/>
    <m/>
    <m/>
    <m/>
  </r>
  <r>
    <x v="14"/>
    <x v="79"/>
    <n v="35"/>
    <m/>
    <m/>
    <m/>
    <m/>
    <m/>
    <m/>
    <m/>
  </r>
  <r>
    <x v="15"/>
    <x v="79"/>
    <n v="85"/>
    <m/>
    <m/>
    <m/>
    <m/>
    <m/>
    <m/>
    <m/>
  </r>
  <r>
    <x v="16"/>
    <x v="79"/>
    <n v="60"/>
    <m/>
    <m/>
    <m/>
    <m/>
    <m/>
    <m/>
    <m/>
  </r>
  <r>
    <x v="27"/>
    <x v="79"/>
    <n v="56"/>
    <m/>
    <m/>
    <m/>
    <m/>
    <m/>
    <m/>
    <m/>
  </r>
  <r>
    <x v="18"/>
    <x v="79"/>
    <n v="63"/>
    <m/>
    <m/>
    <m/>
    <m/>
    <m/>
    <m/>
    <m/>
  </r>
  <r>
    <x v="19"/>
    <x v="79"/>
    <n v="27"/>
    <m/>
    <m/>
    <m/>
    <m/>
    <m/>
    <m/>
    <m/>
  </r>
  <r>
    <x v="20"/>
    <x v="79"/>
    <n v="39"/>
    <m/>
    <m/>
    <m/>
    <m/>
    <m/>
    <m/>
    <m/>
  </r>
  <r>
    <x v="21"/>
    <x v="79"/>
    <n v="48"/>
    <m/>
    <m/>
    <m/>
    <m/>
    <m/>
    <m/>
    <m/>
  </r>
  <r>
    <x v="22"/>
    <x v="79"/>
    <n v="60"/>
    <m/>
    <m/>
    <m/>
    <m/>
    <m/>
    <m/>
    <m/>
  </r>
  <r>
    <x v="23"/>
    <x v="79"/>
    <n v="19"/>
    <m/>
    <m/>
    <m/>
    <m/>
    <m/>
    <m/>
    <m/>
  </r>
  <r>
    <x v="24"/>
    <x v="79"/>
    <n v="36"/>
    <m/>
    <m/>
    <m/>
    <m/>
    <m/>
    <m/>
    <m/>
  </r>
  <r>
    <x v="25"/>
    <x v="79"/>
    <n v="209"/>
    <m/>
    <m/>
    <m/>
    <m/>
    <m/>
    <m/>
    <m/>
  </r>
  <r>
    <x v="20"/>
    <x v="79"/>
    <n v="3"/>
    <m/>
    <m/>
    <m/>
    <m/>
    <m/>
    <m/>
    <m/>
  </r>
  <r>
    <x v="21"/>
    <x v="79"/>
    <n v="3"/>
    <m/>
    <m/>
    <m/>
    <m/>
    <m/>
    <m/>
    <m/>
  </r>
  <r>
    <x v="22"/>
    <x v="79"/>
    <n v="4"/>
    <m/>
    <m/>
    <m/>
    <m/>
    <m/>
    <m/>
    <m/>
  </r>
  <r>
    <x v="23"/>
    <x v="79"/>
    <n v="4"/>
    <m/>
    <m/>
    <m/>
    <m/>
    <m/>
    <m/>
    <m/>
  </r>
  <r>
    <x v="24"/>
    <x v="79"/>
    <n v="3"/>
    <m/>
    <m/>
    <m/>
    <m/>
    <m/>
    <m/>
    <m/>
  </r>
  <r>
    <x v="25"/>
    <x v="79"/>
    <n v="3"/>
    <m/>
    <m/>
    <m/>
    <m/>
    <m/>
    <m/>
    <m/>
  </r>
  <r>
    <x v="26"/>
    <x v="79"/>
    <n v="1"/>
    <m/>
    <m/>
    <m/>
    <m/>
    <m/>
    <m/>
    <m/>
  </r>
  <r>
    <x v="15"/>
    <x v="79"/>
    <n v="21"/>
    <m/>
    <m/>
    <m/>
    <m/>
    <m/>
    <m/>
    <m/>
  </r>
  <r>
    <x v="16"/>
    <x v="79"/>
    <n v="67"/>
    <m/>
    <m/>
    <m/>
    <m/>
    <m/>
    <m/>
    <m/>
  </r>
  <r>
    <x v="27"/>
    <x v="79"/>
    <n v="41"/>
    <m/>
    <m/>
    <m/>
    <m/>
    <m/>
    <m/>
    <m/>
  </r>
  <r>
    <x v="18"/>
    <x v="79"/>
    <n v="61"/>
    <m/>
    <m/>
    <m/>
    <m/>
    <m/>
    <m/>
    <m/>
  </r>
  <r>
    <x v="19"/>
    <x v="79"/>
    <n v="26"/>
    <m/>
    <m/>
    <m/>
    <m/>
    <m/>
    <m/>
    <m/>
  </r>
  <r>
    <x v="20"/>
    <x v="79"/>
    <n v="120"/>
    <m/>
    <m/>
    <m/>
    <m/>
    <m/>
    <m/>
    <m/>
  </r>
  <r>
    <x v="21"/>
    <x v="79"/>
    <n v="21"/>
    <m/>
    <m/>
    <m/>
    <m/>
    <m/>
    <m/>
    <m/>
  </r>
  <r>
    <x v="22"/>
    <x v="79"/>
    <n v="106"/>
    <m/>
    <m/>
    <m/>
    <m/>
    <m/>
    <m/>
    <m/>
  </r>
  <r>
    <x v="23"/>
    <x v="79"/>
    <n v="21"/>
    <m/>
    <m/>
    <m/>
    <m/>
    <m/>
    <m/>
    <m/>
  </r>
  <r>
    <x v="24"/>
    <x v="79"/>
    <n v="8"/>
    <m/>
    <m/>
    <m/>
    <m/>
    <m/>
    <m/>
    <m/>
  </r>
  <r>
    <x v="19"/>
    <x v="79"/>
    <n v="1"/>
    <m/>
    <m/>
    <m/>
    <m/>
    <m/>
    <m/>
    <m/>
  </r>
  <r>
    <x v="21"/>
    <x v="79"/>
    <n v="2"/>
    <m/>
    <m/>
    <m/>
    <m/>
    <m/>
    <m/>
    <m/>
  </r>
  <r>
    <x v="22"/>
    <x v="79"/>
    <n v="1"/>
    <m/>
    <m/>
    <m/>
    <m/>
    <m/>
    <m/>
    <m/>
  </r>
  <r>
    <x v="24"/>
    <x v="79"/>
    <n v="7"/>
    <m/>
    <m/>
    <m/>
    <m/>
    <m/>
    <m/>
    <m/>
  </r>
  <r>
    <x v="0"/>
    <x v="80"/>
    <m/>
    <n v="25"/>
    <n v="11"/>
    <n v="0"/>
    <n v="0"/>
    <n v="1"/>
    <n v="0"/>
    <n v="14"/>
  </r>
  <r>
    <x v="0"/>
    <x v="6"/>
    <m/>
    <n v="25"/>
    <n v="3"/>
    <n v="0"/>
    <n v="1"/>
    <n v="0"/>
    <n v="0"/>
    <n v="22"/>
  </r>
  <r>
    <x v="1"/>
    <x v="80"/>
    <m/>
    <n v="30"/>
    <n v="21"/>
    <n v="0"/>
    <n v="0"/>
    <n v="0"/>
    <n v="0"/>
    <n v="9"/>
  </r>
  <r>
    <x v="1"/>
    <x v="79"/>
    <m/>
    <n v="30"/>
    <n v="30"/>
    <n v="0"/>
    <n v="0"/>
    <n v="1"/>
    <n v="13"/>
    <n v="0"/>
  </r>
  <r>
    <x v="1"/>
    <x v="6"/>
    <m/>
    <n v="30"/>
    <n v="13"/>
    <n v="0"/>
    <n v="1"/>
    <n v="2"/>
    <n v="0"/>
    <n v="17"/>
  </r>
  <r>
    <x v="1"/>
    <x v="79"/>
    <m/>
    <n v="30"/>
    <m/>
    <m/>
    <m/>
    <m/>
    <m/>
    <n v="30"/>
  </r>
  <r>
    <x v="2"/>
    <x v="80"/>
    <m/>
    <n v="25"/>
    <n v="4"/>
    <n v="0"/>
    <n v="0"/>
    <n v="0"/>
    <n v="0"/>
    <n v="21"/>
  </r>
  <r>
    <x v="2"/>
    <x v="6"/>
    <m/>
    <n v="25"/>
    <n v="4"/>
    <n v="0"/>
    <n v="0"/>
    <n v="0"/>
    <n v="0"/>
    <n v="21"/>
  </r>
  <r>
    <x v="28"/>
    <x v="80"/>
    <m/>
    <n v="30"/>
    <n v="10"/>
    <n v="0"/>
    <n v="0"/>
    <n v="0"/>
    <n v="0"/>
    <n v="20"/>
  </r>
  <r>
    <x v="28"/>
    <x v="79"/>
    <m/>
    <n v="30"/>
    <n v="18"/>
    <n v="0"/>
    <n v="0"/>
    <n v="0"/>
    <n v="6"/>
    <n v="12"/>
  </r>
  <r>
    <x v="28"/>
    <x v="6"/>
    <m/>
    <n v="30"/>
    <n v="7"/>
    <n v="0"/>
    <n v="0"/>
    <n v="1"/>
    <n v="0"/>
    <n v="23"/>
  </r>
  <r>
    <x v="28"/>
    <x v="79"/>
    <m/>
    <n v="30"/>
    <m/>
    <m/>
    <m/>
    <m/>
    <m/>
    <n v="30"/>
  </r>
  <r>
    <x v="3"/>
    <x v="80"/>
    <m/>
    <n v="25"/>
    <n v="4"/>
    <n v="0"/>
    <n v="0"/>
    <n v="0"/>
    <n v="0"/>
    <n v="21"/>
  </r>
  <r>
    <x v="3"/>
    <x v="6"/>
    <m/>
    <n v="25"/>
    <n v="4"/>
    <n v="0"/>
    <n v="1"/>
    <n v="0"/>
    <n v="0"/>
    <n v="21"/>
  </r>
  <r>
    <x v="4"/>
    <x v="80"/>
    <m/>
    <n v="30"/>
    <n v="16"/>
    <n v="0"/>
    <n v="0"/>
    <n v="0"/>
    <n v="0"/>
    <n v="14"/>
  </r>
  <r>
    <x v="4"/>
    <x v="79"/>
    <m/>
    <n v="30"/>
    <n v="22"/>
    <n v="0"/>
    <n v="1"/>
    <n v="0"/>
    <n v="9"/>
    <n v="8"/>
  </r>
  <r>
    <x v="4"/>
    <x v="6"/>
    <m/>
    <n v="30"/>
    <n v="4"/>
    <n v="0"/>
    <n v="0"/>
    <n v="2"/>
    <n v="0"/>
    <n v="26"/>
  </r>
  <r>
    <x v="4"/>
    <x v="79"/>
    <m/>
    <n v="30"/>
    <m/>
    <m/>
    <m/>
    <m/>
    <m/>
    <n v="30"/>
  </r>
  <r>
    <x v="14"/>
    <x v="79"/>
    <m/>
    <n v="45"/>
    <n v="33"/>
    <n v="0"/>
    <n v="0"/>
    <n v="0"/>
    <n v="0"/>
    <n v="12"/>
  </r>
  <r>
    <x v="14"/>
    <x v="79"/>
    <m/>
    <n v="45"/>
    <n v="20"/>
    <n v="0"/>
    <n v="1"/>
    <n v="0"/>
    <n v="0"/>
    <n v="25"/>
  </r>
  <r>
    <x v="14"/>
    <x v="79"/>
    <m/>
    <n v="45"/>
    <n v="29"/>
    <n v="0"/>
    <n v="7"/>
    <n v="0"/>
    <n v="0"/>
    <n v="16"/>
  </r>
  <r>
    <x v="14"/>
    <x v="79"/>
    <m/>
    <n v="45"/>
    <n v="22"/>
    <n v="1"/>
    <n v="2"/>
    <n v="0"/>
    <n v="0"/>
    <n v="22"/>
  </r>
  <r>
    <x v="14"/>
    <x v="79"/>
    <m/>
    <n v="45"/>
    <n v="40"/>
    <n v="1"/>
    <n v="5"/>
    <n v="0"/>
    <n v="0"/>
    <n v="4"/>
  </r>
  <r>
    <x v="14"/>
    <x v="79"/>
    <m/>
    <n v="45"/>
    <n v="31"/>
    <n v="1"/>
    <n v="6"/>
    <n v="0"/>
    <n v="0"/>
    <n v="13"/>
  </r>
  <r>
    <x v="14"/>
    <x v="79"/>
    <m/>
    <n v="45"/>
    <n v="12"/>
    <n v="0"/>
    <n v="5"/>
    <n v="0"/>
    <n v="0"/>
    <n v="33"/>
  </r>
  <r>
    <x v="14"/>
    <x v="79"/>
    <m/>
    <n v="45"/>
    <n v="23"/>
    <n v="9"/>
    <n v="2"/>
    <n v="0"/>
    <n v="0"/>
    <n v="13"/>
  </r>
  <r>
    <x v="14"/>
    <x v="79"/>
    <m/>
    <n v="45"/>
    <n v="25"/>
    <n v="0"/>
    <n v="2"/>
    <n v="0"/>
    <n v="0"/>
    <n v="20"/>
  </r>
  <r>
    <x v="14"/>
    <x v="79"/>
    <m/>
    <n v="45"/>
    <m/>
    <m/>
    <m/>
    <m/>
    <m/>
    <n v="45"/>
  </r>
  <r>
    <x v="14"/>
    <x v="79"/>
    <m/>
    <n v="45"/>
    <m/>
    <m/>
    <m/>
    <m/>
    <m/>
    <n v="45"/>
  </r>
  <r>
    <x v="5"/>
    <x v="52"/>
    <m/>
    <n v="25"/>
    <n v="26"/>
    <n v="0"/>
    <n v="0"/>
    <n v="0"/>
    <n v="2"/>
    <n v="-1"/>
  </r>
  <r>
    <x v="5"/>
    <x v="81"/>
    <m/>
    <n v="25"/>
    <n v="20"/>
    <n v="0"/>
    <n v="0"/>
    <n v="6"/>
    <n v="0"/>
    <n v="5"/>
  </r>
  <r>
    <x v="5"/>
    <x v="82"/>
    <m/>
    <n v="25"/>
    <n v="22"/>
    <n v="0"/>
    <n v="0"/>
    <n v="4"/>
    <n v="0"/>
    <n v="3"/>
  </r>
  <r>
    <x v="5"/>
    <x v="65"/>
    <m/>
    <n v="25"/>
    <n v="7"/>
    <n v="0"/>
    <n v="0"/>
    <n v="1"/>
    <n v="0"/>
    <n v="18"/>
  </r>
  <r>
    <x v="5"/>
    <x v="14"/>
    <m/>
    <n v="25"/>
    <n v="25"/>
    <n v="0"/>
    <n v="2"/>
    <n v="2"/>
    <n v="0"/>
    <n v="0"/>
  </r>
  <r>
    <x v="5"/>
    <x v="33"/>
    <m/>
    <n v="25"/>
    <n v="24"/>
    <n v="0"/>
    <n v="5"/>
    <n v="3"/>
    <n v="0"/>
    <n v="1"/>
  </r>
  <r>
    <x v="5"/>
    <x v="65"/>
    <m/>
    <n v="25"/>
    <n v="24"/>
    <n v="0"/>
    <n v="3"/>
    <n v="2"/>
    <n v="0"/>
    <n v="1"/>
  </r>
  <r>
    <x v="5"/>
    <x v="32"/>
    <m/>
    <n v="25"/>
    <n v="9"/>
    <n v="0"/>
    <n v="1"/>
    <n v="3"/>
    <n v="0"/>
    <n v="16"/>
  </r>
  <r>
    <x v="5"/>
    <x v="32"/>
    <m/>
    <n v="25"/>
    <n v="7"/>
    <n v="0"/>
    <n v="1"/>
    <n v="0"/>
    <n v="0"/>
    <n v="18"/>
  </r>
  <r>
    <x v="5"/>
    <x v="20"/>
    <m/>
    <n v="25"/>
    <n v="20"/>
    <n v="0"/>
    <n v="4"/>
    <n v="1"/>
    <n v="0"/>
    <n v="5"/>
  </r>
  <r>
    <x v="5"/>
    <x v="65"/>
    <m/>
    <n v="25"/>
    <n v="25"/>
    <n v="0"/>
    <n v="0"/>
    <n v="0"/>
    <n v="0"/>
    <n v="0"/>
  </r>
  <r>
    <x v="5"/>
    <x v="33"/>
    <m/>
    <n v="25"/>
    <n v="20"/>
    <n v="0"/>
    <n v="5"/>
    <n v="1"/>
    <n v="0"/>
    <n v="5"/>
  </r>
  <r>
    <x v="5"/>
    <x v="18"/>
    <m/>
    <n v="25"/>
    <n v="18"/>
    <n v="0"/>
    <n v="9"/>
    <n v="2"/>
    <n v="0"/>
    <n v="7"/>
  </r>
  <r>
    <x v="5"/>
    <x v="33"/>
    <m/>
    <n v="25"/>
    <n v="24"/>
    <n v="0"/>
    <n v="1"/>
    <n v="1"/>
    <n v="0"/>
    <n v="1"/>
  </r>
  <r>
    <x v="5"/>
    <x v="18"/>
    <m/>
    <n v="25"/>
    <n v="13"/>
    <n v="0"/>
    <n v="2"/>
    <n v="0"/>
    <n v="0"/>
    <n v="12"/>
  </r>
  <r>
    <x v="5"/>
    <x v="65"/>
    <m/>
    <n v="25"/>
    <n v="14"/>
    <n v="0"/>
    <n v="6"/>
    <n v="5"/>
    <n v="0"/>
    <n v="11"/>
  </r>
  <r>
    <x v="5"/>
    <x v="67"/>
    <m/>
    <n v="25"/>
    <n v="10"/>
    <n v="0"/>
    <n v="3"/>
    <n v="2"/>
    <n v="0"/>
    <n v="15"/>
  </r>
  <r>
    <x v="5"/>
    <x v="67"/>
    <m/>
    <n v="25"/>
    <n v="9"/>
    <n v="0"/>
    <n v="1"/>
    <n v="1"/>
    <n v="0"/>
    <n v="16"/>
  </r>
  <r>
    <x v="5"/>
    <x v="33"/>
    <m/>
    <n v="25"/>
    <n v="20"/>
    <n v="0"/>
    <n v="6"/>
    <n v="1"/>
    <n v="0"/>
    <n v="5"/>
  </r>
  <r>
    <x v="5"/>
    <x v="33"/>
    <m/>
    <n v="25"/>
    <n v="24"/>
    <n v="0"/>
    <n v="5"/>
    <n v="4"/>
    <n v="0"/>
    <n v="1"/>
  </r>
  <r>
    <x v="5"/>
    <x v="18"/>
    <m/>
    <n v="25"/>
    <n v="13"/>
    <n v="0"/>
    <n v="0"/>
    <n v="3"/>
    <n v="0"/>
    <n v="12"/>
  </r>
  <r>
    <x v="5"/>
    <x v="65"/>
    <m/>
    <n v="25"/>
    <n v="20"/>
    <n v="0"/>
    <n v="1"/>
    <n v="1"/>
    <n v="0"/>
    <n v="5"/>
  </r>
  <r>
    <x v="5"/>
    <x v="18"/>
    <m/>
    <n v="25"/>
    <n v="14"/>
    <n v="0"/>
    <n v="2"/>
    <n v="2"/>
    <n v="0"/>
    <n v="11"/>
  </r>
  <r>
    <x v="5"/>
    <x v="6"/>
    <m/>
    <n v="25"/>
    <n v="21"/>
    <n v="0"/>
    <n v="1"/>
    <n v="2"/>
    <n v="0"/>
    <n v="4"/>
  </r>
  <r>
    <x v="5"/>
    <x v="14"/>
    <m/>
    <n v="25"/>
    <n v="23"/>
    <n v="0"/>
    <n v="2"/>
    <n v="0"/>
    <n v="0"/>
    <n v="2"/>
  </r>
  <r>
    <x v="5"/>
    <x v="1"/>
    <m/>
    <n v="25"/>
    <n v="24"/>
    <n v="0"/>
    <n v="5"/>
    <n v="2"/>
    <n v="0"/>
    <n v="1"/>
  </r>
  <r>
    <x v="5"/>
    <x v="14"/>
    <m/>
    <n v="25"/>
    <n v="27"/>
    <n v="0"/>
    <n v="4"/>
    <n v="6"/>
    <n v="0"/>
    <n v="-2"/>
  </r>
  <r>
    <x v="5"/>
    <x v="65"/>
    <m/>
    <n v="25"/>
    <n v="25"/>
    <n v="0"/>
    <n v="2"/>
    <n v="0"/>
    <n v="0"/>
    <n v="0"/>
  </r>
  <r>
    <x v="5"/>
    <x v="7"/>
    <m/>
    <n v="25"/>
    <n v="23"/>
    <n v="0"/>
    <n v="2"/>
    <n v="0"/>
    <n v="9"/>
    <n v="2"/>
  </r>
  <r>
    <x v="5"/>
    <x v="80"/>
    <m/>
    <n v="25"/>
    <n v="19"/>
    <n v="0"/>
    <n v="7"/>
    <n v="1"/>
    <n v="0"/>
    <n v="6"/>
  </r>
  <r>
    <x v="5"/>
    <x v="83"/>
    <m/>
    <n v="25"/>
    <n v="15"/>
    <n v="0"/>
    <n v="3"/>
    <n v="2"/>
    <n v="0"/>
    <n v="10"/>
  </r>
  <r>
    <x v="5"/>
    <x v="80"/>
    <m/>
    <n v="25"/>
    <n v="24"/>
    <n v="0"/>
    <n v="3"/>
    <n v="1"/>
    <n v="0"/>
    <n v="1"/>
  </r>
  <r>
    <x v="5"/>
    <x v="39"/>
    <m/>
    <n v="25"/>
    <n v="6"/>
    <n v="0"/>
    <n v="5"/>
    <n v="0"/>
    <n v="0"/>
    <n v="19"/>
  </r>
  <r>
    <x v="5"/>
    <x v="65"/>
    <m/>
    <n v="25"/>
    <n v="20"/>
    <n v="0"/>
    <n v="6"/>
    <n v="2"/>
    <n v="0"/>
    <n v="5"/>
  </r>
  <r>
    <x v="5"/>
    <x v="42"/>
    <m/>
    <n v="25"/>
    <n v="11"/>
    <n v="0"/>
    <n v="2"/>
    <n v="1"/>
    <n v="0"/>
    <n v="14"/>
  </r>
  <r>
    <x v="5"/>
    <x v="36"/>
    <m/>
    <n v="25"/>
    <n v="16"/>
    <n v="0"/>
    <n v="3"/>
    <n v="2"/>
    <n v="0"/>
    <n v="9"/>
  </r>
  <r>
    <x v="5"/>
    <x v="42"/>
    <m/>
    <n v="25"/>
    <n v="9"/>
    <n v="0"/>
    <n v="0"/>
    <n v="6"/>
    <n v="0"/>
    <n v="16"/>
  </r>
  <r>
    <x v="5"/>
    <x v="36"/>
    <m/>
    <n v="25"/>
    <n v="8"/>
    <n v="0"/>
    <n v="4"/>
    <n v="3"/>
    <n v="0"/>
    <n v="17"/>
  </r>
  <r>
    <x v="5"/>
    <x v="65"/>
    <m/>
    <n v="25"/>
    <n v="23"/>
    <n v="0"/>
    <n v="4"/>
    <n v="2"/>
    <n v="0"/>
    <n v="2"/>
  </r>
  <r>
    <x v="5"/>
    <x v="11"/>
    <m/>
    <n v="25"/>
    <m/>
    <m/>
    <m/>
    <m/>
    <m/>
    <n v="25"/>
  </r>
  <r>
    <x v="5"/>
    <x v="28"/>
    <m/>
    <n v="25"/>
    <m/>
    <m/>
    <m/>
    <m/>
    <m/>
    <n v="25"/>
  </r>
  <r>
    <x v="5"/>
    <x v="6"/>
    <m/>
    <n v="25"/>
    <m/>
    <m/>
    <m/>
    <m/>
    <m/>
    <n v="25"/>
  </r>
  <r>
    <x v="5"/>
    <x v="28"/>
    <m/>
    <n v="25"/>
    <m/>
    <m/>
    <m/>
    <m/>
    <m/>
    <n v="25"/>
  </r>
  <r>
    <x v="5"/>
    <x v="6"/>
    <m/>
    <n v="25"/>
    <m/>
    <m/>
    <m/>
    <m/>
    <m/>
    <n v="25"/>
  </r>
  <r>
    <x v="5"/>
    <x v="8"/>
    <m/>
    <n v="25"/>
    <m/>
    <m/>
    <m/>
    <m/>
    <m/>
    <n v="25"/>
  </r>
  <r>
    <x v="5"/>
    <x v="82"/>
    <m/>
    <n v="25"/>
    <m/>
    <m/>
    <m/>
    <m/>
    <m/>
    <n v="25"/>
  </r>
  <r>
    <x v="5"/>
    <x v="8"/>
    <m/>
    <n v="25"/>
    <m/>
    <m/>
    <m/>
    <m/>
    <m/>
    <n v="25"/>
  </r>
  <r>
    <x v="5"/>
    <x v="2"/>
    <m/>
    <n v="25"/>
    <m/>
    <m/>
    <m/>
    <m/>
    <m/>
    <n v="25"/>
  </r>
  <r>
    <x v="5"/>
    <x v="8"/>
    <m/>
    <n v="25"/>
    <m/>
    <m/>
    <m/>
    <m/>
    <m/>
    <n v="25"/>
  </r>
  <r>
    <x v="5"/>
    <x v="65"/>
    <m/>
    <n v="25"/>
    <m/>
    <m/>
    <m/>
    <m/>
    <m/>
    <n v="25"/>
  </r>
  <r>
    <x v="29"/>
    <x v="82"/>
    <m/>
    <n v="25"/>
    <n v="4"/>
    <n v="0"/>
    <n v="0"/>
    <n v="0"/>
    <n v="0"/>
    <n v="21"/>
  </r>
  <r>
    <x v="29"/>
    <x v="15"/>
    <m/>
    <n v="25"/>
    <n v="11"/>
    <n v="1"/>
    <n v="4"/>
    <n v="0"/>
    <n v="0"/>
    <n v="13"/>
  </r>
  <r>
    <x v="29"/>
    <x v="79"/>
    <m/>
    <n v="25"/>
    <n v="16"/>
    <n v="1"/>
    <n v="10"/>
    <n v="0"/>
    <n v="0"/>
    <n v="8"/>
  </r>
  <r>
    <x v="29"/>
    <x v="32"/>
    <m/>
    <n v="25"/>
    <m/>
    <m/>
    <m/>
    <m/>
    <m/>
    <n v="25"/>
  </r>
  <r>
    <x v="29"/>
    <x v="33"/>
    <m/>
    <n v="25"/>
    <m/>
    <m/>
    <m/>
    <m/>
    <m/>
    <n v="25"/>
  </r>
  <r>
    <x v="7"/>
    <x v="82"/>
    <m/>
    <n v="35"/>
    <n v="17"/>
    <n v="0"/>
    <n v="1"/>
    <n v="0"/>
    <n v="0"/>
    <n v="18"/>
  </r>
  <r>
    <x v="7"/>
    <x v="14"/>
    <m/>
    <n v="35"/>
    <n v="13"/>
    <n v="0"/>
    <n v="2"/>
    <n v="0"/>
    <n v="0"/>
    <n v="22"/>
  </r>
  <r>
    <x v="7"/>
    <x v="65"/>
    <m/>
    <n v="35"/>
    <n v="9"/>
    <n v="0"/>
    <n v="1"/>
    <n v="0"/>
    <n v="0"/>
    <n v="26"/>
  </r>
  <r>
    <x v="7"/>
    <x v="33"/>
    <m/>
    <n v="35"/>
    <n v="14"/>
    <n v="1"/>
    <n v="3"/>
    <n v="2"/>
    <n v="0"/>
    <n v="20"/>
  </r>
  <r>
    <x v="7"/>
    <x v="80"/>
    <m/>
    <n v="35"/>
    <m/>
    <m/>
    <m/>
    <m/>
    <m/>
    <n v="35"/>
  </r>
  <r>
    <x v="8"/>
    <x v="1"/>
    <m/>
    <n v="25"/>
    <n v="9"/>
    <n v="0"/>
    <n v="2"/>
    <n v="0"/>
    <n v="0"/>
    <n v="16"/>
  </r>
  <r>
    <x v="15"/>
    <x v="79"/>
    <m/>
    <n v="45"/>
    <n v="27"/>
    <n v="2"/>
    <n v="0"/>
    <n v="0"/>
    <n v="0"/>
    <n v="16"/>
  </r>
  <r>
    <x v="15"/>
    <x v="79"/>
    <m/>
    <n v="45"/>
    <n v="42"/>
    <n v="0"/>
    <n v="5"/>
    <n v="1"/>
    <n v="0"/>
    <n v="3"/>
  </r>
  <r>
    <x v="15"/>
    <x v="79"/>
    <m/>
    <n v="45"/>
    <n v="34"/>
    <n v="0"/>
    <n v="11"/>
    <n v="0"/>
    <n v="0"/>
    <n v="11"/>
  </r>
  <r>
    <x v="15"/>
    <x v="79"/>
    <m/>
    <n v="45"/>
    <n v="33"/>
    <n v="1"/>
    <n v="8"/>
    <n v="0"/>
    <n v="0"/>
    <n v="11"/>
  </r>
  <r>
    <x v="15"/>
    <x v="79"/>
    <m/>
    <n v="45"/>
    <n v="25"/>
    <n v="0"/>
    <n v="0"/>
    <n v="0"/>
    <n v="0"/>
    <n v="20"/>
  </r>
  <r>
    <x v="15"/>
    <x v="79"/>
    <m/>
    <n v="45"/>
    <n v="23"/>
    <n v="1"/>
    <n v="3"/>
    <n v="0"/>
    <n v="0"/>
    <n v="21"/>
  </r>
  <r>
    <x v="15"/>
    <x v="79"/>
    <m/>
    <n v="45"/>
    <n v="28"/>
    <n v="0"/>
    <n v="3"/>
    <n v="0"/>
    <n v="0"/>
    <n v="17"/>
  </r>
  <r>
    <x v="15"/>
    <x v="79"/>
    <m/>
    <n v="45"/>
    <n v="34"/>
    <n v="0"/>
    <n v="7"/>
    <n v="0"/>
    <n v="0"/>
    <n v="11"/>
  </r>
  <r>
    <x v="15"/>
    <x v="79"/>
    <m/>
    <n v="45"/>
    <n v="32"/>
    <n v="0"/>
    <n v="3"/>
    <n v="1"/>
    <n v="0"/>
    <n v="13"/>
  </r>
  <r>
    <x v="15"/>
    <x v="79"/>
    <m/>
    <n v="45"/>
    <n v="19"/>
    <n v="0"/>
    <n v="5"/>
    <n v="0"/>
    <n v="0"/>
    <n v="26"/>
  </r>
  <r>
    <x v="15"/>
    <x v="79"/>
    <m/>
    <n v="45"/>
    <n v="22"/>
    <n v="1"/>
    <n v="3"/>
    <n v="1"/>
    <n v="0"/>
    <n v="22"/>
  </r>
  <r>
    <x v="15"/>
    <x v="79"/>
    <m/>
    <n v="45"/>
    <n v="24"/>
    <n v="1"/>
    <n v="9"/>
    <n v="0"/>
    <n v="0"/>
    <n v="20"/>
  </r>
  <r>
    <x v="15"/>
    <x v="79"/>
    <m/>
    <n v="45"/>
    <n v="15"/>
    <n v="0"/>
    <n v="3"/>
    <n v="0"/>
    <n v="0"/>
    <n v="30"/>
  </r>
  <r>
    <x v="15"/>
    <x v="79"/>
    <m/>
    <n v="45"/>
    <n v="5"/>
    <n v="0"/>
    <n v="6"/>
    <n v="0"/>
    <n v="0"/>
    <n v="40"/>
  </r>
  <r>
    <x v="15"/>
    <x v="79"/>
    <m/>
    <n v="45"/>
    <n v="30"/>
    <n v="0"/>
    <n v="6"/>
    <n v="0"/>
    <n v="0"/>
    <n v="1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15"/>
    <x v="79"/>
    <m/>
    <n v="45"/>
    <m/>
    <m/>
    <m/>
    <m/>
    <m/>
    <n v="45"/>
  </r>
  <r>
    <x v="9"/>
    <x v="33"/>
    <m/>
    <n v="30"/>
    <n v="3"/>
    <n v="0"/>
    <n v="0"/>
    <n v="1"/>
    <n v="0"/>
    <n v="27"/>
  </r>
  <r>
    <x v="16"/>
    <x v="79"/>
    <m/>
    <n v="45"/>
    <n v="20"/>
    <n v="0"/>
    <n v="0"/>
    <n v="0"/>
    <n v="0"/>
    <n v="25"/>
  </r>
  <r>
    <x v="16"/>
    <x v="79"/>
    <m/>
    <n v="45"/>
    <n v="26"/>
    <n v="0"/>
    <n v="0"/>
    <n v="1"/>
    <n v="0"/>
    <n v="19"/>
  </r>
  <r>
    <x v="16"/>
    <x v="79"/>
    <m/>
    <n v="45"/>
    <n v="12"/>
    <n v="0"/>
    <n v="1"/>
    <n v="0"/>
    <n v="0"/>
    <n v="33"/>
  </r>
  <r>
    <x v="16"/>
    <x v="79"/>
    <m/>
    <n v="45"/>
    <n v="20"/>
    <n v="0"/>
    <n v="6"/>
    <n v="1"/>
    <n v="0"/>
    <n v="25"/>
  </r>
  <r>
    <x v="16"/>
    <x v="79"/>
    <m/>
    <n v="45"/>
    <n v="31"/>
    <n v="0"/>
    <n v="3"/>
    <n v="0"/>
    <n v="0"/>
    <n v="14"/>
  </r>
  <r>
    <x v="16"/>
    <x v="79"/>
    <m/>
    <n v="45"/>
    <n v="24"/>
    <n v="0"/>
    <n v="8"/>
    <n v="0"/>
    <n v="0"/>
    <n v="21"/>
  </r>
  <r>
    <x v="16"/>
    <x v="79"/>
    <m/>
    <n v="45"/>
    <n v="33"/>
    <n v="0"/>
    <n v="6"/>
    <n v="0"/>
    <n v="0"/>
    <n v="12"/>
  </r>
  <r>
    <x v="16"/>
    <x v="79"/>
    <m/>
    <n v="45"/>
    <n v="28"/>
    <n v="0"/>
    <n v="8"/>
    <n v="0"/>
    <n v="0"/>
    <n v="17"/>
  </r>
  <r>
    <x v="16"/>
    <x v="79"/>
    <m/>
    <n v="45"/>
    <n v="20"/>
    <n v="0"/>
    <n v="9"/>
    <n v="0"/>
    <n v="0"/>
    <n v="25"/>
  </r>
  <r>
    <x v="16"/>
    <x v="79"/>
    <m/>
    <n v="45"/>
    <n v="24"/>
    <n v="0"/>
    <n v="3"/>
    <n v="0"/>
    <n v="0"/>
    <n v="21"/>
  </r>
  <r>
    <x v="16"/>
    <x v="79"/>
    <m/>
    <n v="45"/>
    <n v="35"/>
    <n v="1"/>
    <n v="9"/>
    <n v="0"/>
    <n v="0"/>
    <n v="9"/>
  </r>
  <r>
    <x v="16"/>
    <x v="79"/>
    <m/>
    <n v="45"/>
    <n v="24"/>
    <n v="0"/>
    <n v="7"/>
    <n v="0"/>
    <n v="0"/>
    <n v="21"/>
  </r>
  <r>
    <x v="16"/>
    <x v="79"/>
    <m/>
    <n v="45"/>
    <n v="36"/>
    <n v="0"/>
    <n v="8"/>
    <n v="1"/>
    <n v="0"/>
    <n v="9"/>
  </r>
  <r>
    <x v="16"/>
    <x v="79"/>
    <m/>
    <n v="45"/>
    <n v="28"/>
    <n v="3"/>
    <n v="4"/>
    <n v="0"/>
    <n v="0"/>
    <n v="14"/>
  </r>
  <r>
    <x v="16"/>
    <x v="79"/>
    <m/>
    <n v="45"/>
    <m/>
    <m/>
    <m/>
    <m/>
    <m/>
    <n v="45"/>
  </r>
  <r>
    <x v="16"/>
    <x v="79"/>
    <m/>
    <n v="45"/>
    <m/>
    <m/>
    <m/>
    <m/>
    <m/>
    <n v="45"/>
  </r>
  <r>
    <x v="16"/>
    <x v="79"/>
    <m/>
    <n v="45"/>
    <m/>
    <m/>
    <m/>
    <m/>
    <m/>
    <n v="45"/>
  </r>
  <r>
    <x v="27"/>
    <x v="79"/>
    <m/>
    <n v="45"/>
    <n v="36"/>
    <n v="0"/>
    <n v="0"/>
    <n v="2"/>
    <n v="0"/>
    <n v="9"/>
  </r>
  <r>
    <x v="27"/>
    <x v="79"/>
    <m/>
    <n v="45"/>
    <n v="39"/>
    <n v="0"/>
    <n v="0"/>
    <n v="4"/>
    <n v="0"/>
    <n v="6"/>
  </r>
  <r>
    <x v="27"/>
    <x v="79"/>
    <m/>
    <n v="45"/>
    <n v="33"/>
    <n v="0"/>
    <n v="0"/>
    <n v="1"/>
    <n v="0"/>
    <n v="12"/>
  </r>
  <r>
    <x v="27"/>
    <x v="79"/>
    <m/>
    <n v="45"/>
    <n v="35"/>
    <n v="0"/>
    <n v="8"/>
    <n v="0"/>
    <n v="0"/>
    <n v="10"/>
  </r>
  <r>
    <x v="27"/>
    <x v="79"/>
    <m/>
    <n v="45"/>
    <n v="35"/>
    <n v="0"/>
    <n v="5"/>
    <n v="0"/>
    <n v="0"/>
    <n v="10"/>
  </r>
  <r>
    <x v="27"/>
    <x v="79"/>
    <m/>
    <n v="45"/>
    <n v="30"/>
    <n v="3"/>
    <n v="13"/>
    <n v="1"/>
    <n v="0"/>
    <n v="12"/>
  </r>
  <r>
    <x v="27"/>
    <x v="79"/>
    <m/>
    <n v="45"/>
    <n v="38"/>
    <n v="2"/>
    <n v="7"/>
    <n v="1"/>
    <n v="0"/>
    <n v="5"/>
  </r>
  <r>
    <x v="27"/>
    <x v="79"/>
    <m/>
    <n v="45"/>
    <n v="39"/>
    <n v="2"/>
    <n v="4"/>
    <n v="0"/>
    <n v="0"/>
    <n v="4"/>
  </r>
  <r>
    <x v="27"/>
    <x v="79"/>
    <m/>
    <n v="45"/>
    <n v="42"/>
    <n v="1"/>
    <n v="5"/>
    <n v="0"/>
    <n v="0"/>
    <n v="2"/>
  </r>
  <r>
    <x v="27"/>
    <x v="79"/>
    <m/>
    <n v="45"/>
    <n v="36"/>
    <n v="2"/>
    <n v="9"/>
    <n v="2"/>
    <n v="0"/>
    <n v="7"/>
  </r>
  <r>
    <x v="27"/>
    <x v="79"/>
    <m/>
    <n v="45"/>
    <n v="40"/>
    <n v="0"/>
    <n v="6"/>
    <n v="1"/>
    <n v="0"/>
    <n v="5"/>
  </r>
  <r>
    <x v="27"/>
    <x v="79"/>
    <m/>
    <n v="45"/>
    <n v="33"/>
    <n v="3"/>
    <n v="10"/>
    <n v="0"/>
    <n v="0"/>
    <n v="9"/>
  </r>
  <r>
    <x v="27"/>
    <x v="79"/>
    <m/>
    <n v="45"/>
    <n v="30"/>
    <n v="0"/>
    <n v="15"/>
    <n v="0"/>
    <n v="0"/>
    <n v="15"/>
  </r>
  <r>
    <x v="27"/>
    <x v="79"/>
    <m/>
    <n v="45"/>
    <n v="38"/>
    <n v="1"/>
    <n v="7"/>
    <n v="0"/>
    <n v="0"/>
    <n v="6"/>
  </r>
  <r>
    <x v="27"/>
    <x v="79"/>
    <m/>
    <n v="45"/>
    <n v="35"/>
    <n v="2"/>
    <n v="9"/>
    <n v="0"/>
    <n v="0"/>
    <n v="8"/>
  </r>
  <r>
    <x v="27"/>
    <x v="79"/>
    <m/>
    <n v="45"/>
    <n v="32"/>
    <n v="0"/>
    <n v="1"/>
    <n v="0"/>
    <n v="0"/>
    <n v="13"/>
  </r>
  <r>
    <x v="27"/>
    <x v="79"/>
    <m/>
    <n v="45"/>
    <n v="36"/>
    <n v="2"/>
    <n v="7"/>
    <n v="1"/>
    <n v="0"/>
    <n v="7"/>
  </r>
  <r>
    <x v="27"/>
    <x v="79"/>
    <m/>
    <n v="45"/>
    <m/>
    <m/>
    <m/>
    <m/>
    <m/>
    <n v="45"/>
  </r>
  <r>
    <x v="27"/>
    <x v="79"/>
    <m/>
    <n v="45"/>
    <m/>
    <m/>
    <m/>
    <m/>
    <m/>
    <n v="45"/>
  </r>
  <r>
    <x v="27"/>
    <x v="79"/>
    <m/>
    <n v="45"/>
    <m/>
    <m/>
    <m/>
    <m/>
    <m/>
    <n v="45"/>
  </r>
  <r>
    <x v="10"/>
    <x v="8"/>
    <m/>
    <n v="25"/>
    <n v="13"/>
    <n v="0"/>
    <n v="5"/>
    <n v="1"/>
    <n v="0"/>
    <n v="12"/>
  </r>
  <r>
    <x v="10"/>
    <x v="15"/>
    <m/>
    <n v="25"/>
    <n v="9"/>
    <n v="0"/>
    <n v="2"/>
    <n v="0"/>
    <n v="0"/>
    <n v="16"/>
  </r>
  <r>
    <x v="10"/>
    <x v="82"/>
    <m/>
    <n v="25"/>
    <m/>
    <m/>
    <m/>
    <m/>
    <m/>
    <n v="25"/>
  </r>
  <r>
    <x v="10"/>
    <x v="84"/>
    <m/>
    <n v="25"/>
    <m/>
    <m/>
    <m/>
    <m/>
    <m/>
    <n v="25"/>
  </r>
  <r>
    <x v="10"/>
    <x v="6"/>
    <m/>
    <n v="25"/>
    <m/>
    <m/>
    <m/>
    <m/>
    <m/>
    <n v="25"/>
  </r>
  <r>
    <x v="18"/>
    <x v="79"/>
    <m/>
    <n v="45"/>
    <n v="32"/>
    <n v="0"/>
    <n v="0"/>
    <n v="0"/>
    <n v="0"/>
    <n v="13"/>
  </r>
  <r>
    <x v="18"/>
    <x v="79"/>
    <m/>
    <n v="45"/>
    <n v="37"/>
    <n v="1"/>
    <n v="0"/>
    <n v="0"/>
    <n v="0"/>
    <n v="7"/>
  </r>
  <r>
    <x v="18"/>
    <x v="79"/>
    <m/>
    <n v="45"/>
    <n v="39"/>
    <n v="3"/>
    <n v="0"/>
    <n v="0"/>
    <n v="0"/>
    <n v="3"/>
  </r>
  <r>
    <x v="18"/>
    <x v="79"/>
    <m/>
    <n v="45"/>
    <n v="28"/>
    <n v="4"/>
    <n v="13"/>
    <n v="0"/>
    <n v="0"/>
    <n v="13"/>
  </r>
  <r>
    <x v="18"/>
    <x v="79"/>
    <m/>
    <n v="45"/>
    <n v="31"/>
    <n v="0"/>
    <n v="16"/>
    <n v="0"/>
    <n v="0"/>
    <n v="14"/>
  </r>
  <r>
    <x v="18"/>
    <x v="79"/>
    <m/>
    <n v="45"/>
    <n v="38"/>
    <n v="3"/>
    <n v="8"/>
    <n v="0"/>
    <n v="0"/>
    <n v="4"/>
  </r>
  <r>
    <x v="18"/>
    <x v="79"/>
    <m/>
    <n v="45"/>
    <n v="39"/>
    <n v="0"/>
    <n v="11"/>
    <n v="5"/>
    <n v="0"/>
    <n v="6"/>
  </r>
  <r>
    <x v="18"/>
    <x v="79"/>
    <m/>
    <n v="45"/>
    <n v="35"/>
    <n v="1"/>
    <n v="12"/>
    <n v="0"/>
    <n v="0"/>
    <n v="9"/>
  </r>
  <r>
    <x v="18"/>
    <x v="79"/>
    <m/>
    <n v="45"/>
    <n v="37"/>
    <n v="2"/>
    <n v="8"/>
    <n v="2"/>
    <n v="0"/>
    <n v="6"/>
  </r>
  <r>
    <x v="18"/>
    <x v="79"/>
    <m/>
    <n v="45"/>
    <n v="37"/>
    <n v="0"/>
    <n v="9"/>
    <n v="1"/>
    <n v="0"/>
    <n v="8"/>
  </r>
  <r>
    <x v="18"/>
    <x v="79"/>
    <m/>
    <n v="45"/>
    <n v="36"/>
    <n v="0"/>
    <n v="11"/>
    <n v="0"/>
    <n v="0"/>
    <n v="9"/>
  </r>
  <r>
    <x v="18"/>
    <x v="79"/>
    <m/>
    <n v="45"/>
    <n v="40"/>
    <n v="2"/>
    <n v="3"/>
    <n v="1"/>
    <n v="0"/>
    <n v="3"/>
  </r>
  <r>
    <x v="18"/>
    <x v="79"/>
    <m/>
    <n v="45"/>
    <n v="32"/>
    <n v="0"/>
    <n v="8"/>
    <n v="0"/>
    <n v="0"/>
    <n v="13"/>
  </r>
  <r>
    <x v="18"/>
    <x v="79"/>
    <m/>
    <n v="45"/>
    <n v="42"/>
    <n v="0"/>
    <n v="4"/>
    <n v="0"/>
    <n v="0"/>
    <n v="3"/>
  </r>
  <r>
    <x v="18"/>
    <x v="79"/>
    <m/>
    <n v="45"/>
    <n v="33"/>
    <n v="0"/>
    <n v="9"/>
    <n v="0"/>
    <n v="0"/>
    <n v="12"/>
  </r>
  <r>
    <x v="18"/>
    <x v="79"/>
    <m/>
    <n v="45"/>
    <n v="29"/>
    <n v="2"/>
    <n v="5"/>
    <n v="1"/>
    <n v="0"/>
    <n v="14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8"/>
    <x v="79"/>
    <m/>
    <n v="45"/>
    <m/>
    <m/>
    <m/>
    <m/>
    <m/>
    <n v="45"/>
  </r>
  <r>
    <x v="19"/>
    <x v="79"/>
    <m/>
    <n v="45"/>
    <n v="19"/>
    <n v="0"/>
    <n v="0"/>
    <n v="0"/>
    <n v="0"/>
    <n v="26"/>
  </r>
  <r>
    <x v="19"/>
    <x v="79"/>
    <m/>
    <n v="45"/>
    <n v="10"/>
    <n v="0"/>
    <n v="1"/>
    <n v="1"/>
    <n v="0"/>
    <n v="35"/>
  </r>
  <r>
    <x v="19"/>
    <x v="79"/>
    <m/>
    <n v="45"/>
    <n v="16"/>
    <n v="0"/>
    <n v="1"/>
    <n v="0"/>
    <n v="0"/>
    <n v="29"/>
  </r>
  <r>
    <x v="19"/>
    <x v="79"/>
    <m/>
    <n v="45"/>
    <n v="20"/>
    <n v="2"/>
    <n v="7"/>
    <n v="0"/>
    <n v="0"/>
    <n v="23"/>
  </r>
  <r>
    <x v="19"/>
    <x v="79"/>
    <m/>
    <n v="45"/>
    <n v="25"/>
    <n v="1"/>
    <n v="6"/>
    <n v="0"/>
    <n v="0"/>
    <n v="19"/>
  </r>
  <r>
    <x v="19"/>
    <x v="79"/>
    <m/>
    <n v="45"/>
    <n v="6"/>
    <n v="2"/>
    <n v="3"/>
    <n v="0"/>
    <n v="0"/>
    <n v="37"/>
  </r>
  <r>
    <x v="19"/>
    <x v="79"/>
    <m/>
    <n v="45"/>
    <n v="17"/>
    <n v="0"/>
    <n v="3"/>
    <n v="0"/>
    <n v="0"/>
    <n v="28"/>
  </r>
  <r>
    <x v="19"/>
    <x v="79"/>
    <m/>
    <n v="45"/>
    <m/>
    <m/>
    <m/>
    <m/>
    <m/>
    <n v="45"/>
  </r>
  <r>
    <x v="19"/>
    <x v="79"/>
    <m/>
    <n v="45"/>
    <m/>
    <m/>
    <m/>
    <m/>
    <m/>
    <n v="45"/>
  </r>
  <r>
    <x v="30"/>
    <x v="79"/>
    <m/>
    <n v="45"/>
    <n v="34"/>
    <n v="0"/>
    <n v="0"/>
    <n v="0"/>
    <n v="0"/>
    <n v="11"/>
  </r>
  <r>
    <x v="30"/>
    <x v="79"/>
    <m/>
    <n v="45"/>
    <n v="18"/>
    <n v="0"/>
    <n v="0"/>
    <n v="0"/>
    <n v="0"/>
    <n v="27"/>
  </r>
  <r>
    <x v="30"/>
    <x v="79"/>
    <m/>
    <n v="45"/>
    <n v="32"/>
    <n v="1"/>
    <n v="0"/>
    <n v="1"/>
    <n v="0"/>
    <n v="12"/>
  </r>
  <r>
    <x v="30"/>
    <x v="79"/>
    <m/>
    <n v="45"/>
    <n v="31"/>
    <n v="0"/>
    <n v="14"/>
    <n v="0"/>
    <n v="0"/>
    <n v="14"/>
  </r>
  <r>
    <x v="30"/>
    <x v="79"/>
    <m/>
    <n v="45"/>
    <n v="40"/>
    <n v="0"/>
    <n v="6"/>
    <n v="1"/>
    <n v="0"/>
    <n v="5"/>
  </r>
  <r>
    <x v="30"/>
    <x v="79"/>
    <m/>
    <n v="45"/>
    <n v="42"/>
    <n v="0"/>
    <n v="4"/>
    <n v="0"/>
    <n v="0"/>
    <n v="3"/>
  </r>
  <r>
    <x v="30"/>
    <x v="79"/>
    <m/>
    <n v="45"/>
    <n v="36"/>
    <n v="0"/>
    <n v="7"/>
    <n v="0"/>
    <n v="0"/>
    <n v="9"/>
  </r>
  <r>
    <x v="30"/>
    <x v="79"/>
    <m/>
    <n v="45"/>
    <n v="40"/>
    <n v="0"/>
    <n v="0"/>
    <n v="0"/>
    <n v="0"/>
    <n v="5"/>
  </r>
  <r>
    <x v="30"/>
    <x v="79"/>
    <m/>
    <n v="45"/>
    <n v="39"/>
    <n v="1"/>
    <n v="5"/>
    <n v="0"/>
    <n v="0"/>
    <n v="5"/>
  </r>
  <r>
    <x v="30"/>
    <x v="79"/>
    <m/>
    <n v="45"/>
    <n v="36"/>
    <n v="0"/>
    <n v="7"/>
    <n v="1"/>
    <n v="0"/>
    <n v="9"/>
  </r>
  <r>
    <x v="30"/>
    <x v="79"/>
    <m/>
    <n v="45"/>
    <n v="33"/>
    <n v="2"/>
    <n v="9"/>
    <n v="1"/>
    <n v="0"/>
    <n v="10"/>
  </r>
  <r>
    <x v="30"/>
    <x v="79"/>
    <m/>
    <n v="45"/>
    <n v="41"/>
    <n v="0"/>
    <n v="3"/>
    <n v="1"/>
    <n v="0"/>
    <n v="4"/>
  </r>
  <r>
    <x v="30"/>
    <x v="79"/>
    <m/>
    <n v="45"/>
    <n v="37"/>
    <n v="0"/>
    <n v="9"/>
    <n v="1"/>
    <n v="0"/>
    <n v="8"/>
  </r>
  <r>
    <x v="30"/>
    <x v="79"/>
    <m/>
    <n v="45"/>
    <n v="12"/>
    <n v="0"/>
    <n v="1"/>
    <n v="0"/>
    <n v="0"/>
    <n v="33"/>
  </r>
  <r>
    <x v="30"/>
    <x v="79"/>
    <m/>
    <n v="45"/>
    <n v="42"/>
    <n v="1"/>
    <n v="3"/>
    <n v="1"/>
    <n v="0"/>
    <n v="2"/>
  </r>
  <r>
    <x v="30"/>
    <x v="79"/>
    <m/>
    <n v="45"/>
    <n v="30"/>
    <n v="0"/>
    <n v="15"/>
    <n v="0"/>
    <n v="0"/>
    <n v="15"/>
  </r>
  <r>
    <x v="30"/>
    <x v="79"/>
    <m/>
    <n v="45"/>
    <n v="33"/>
    <n v="1"/>
    <n v="10"/>
    <n v="0"/>
    <n v="0"/>
    <n v="11"/>
  </r>
  <r>
    <x v="30"/>
    <x v="79"/>
    <m/>
    <n v="45"/>
    <n v="13"/>
    <n v="0"/>
    <n v="1"/>
    <n v="0"/>
    <n v="0"/>
    <n v="32"/>
  </r>
  <r>
    <x v="30"/>
    <x v="79"/>
    <m/>
    <n v="45"/>
    <n v="31"/>
    <n v="0"/>
    <n v="14"/>
    <n v="0"/>
    <n v="0"/>
    <n v="14"/>
  </r>
  <r>
    <x v="30"/>
    <x v="79"/>
    <m/>
    <n v="45"/>
    <n v="36"/>
    <n v="0"/>
    <n v="6"/>
    <n v="0"/>
    <n v="0"/>
    <n v="9"/>
  </r>
  <r>
    <x v="30"/>
    <x v="79"/>
    <m/>
    <n v="45"/>
    <n v="36"/>
    <n v="0"/>
    <n v="10"/>
    <n v="1"/>
    <n v="0"/>
    <n v="9"/>
  </r>
  <r>
    <x v="30"/>
    <x v="79"/>
    <m/>
    <n v="45"/>
    <m/>
    <m/>
    <m/>
    <m/>
    <m/>
    <n v="45"/>
  </r>
  <r>
    <x v="30"/>
    <x v="79"/>
    <m/>
    <n v="45"/>
    <m/>
    <m/>
    <m/>
    <m/>
    <m/>
    <n v="45"/>
  </r>
  <r>
    <x v="30"/>
    <x v="79"/>
    <m/>
    <n v="45"/>
    <m/>
    <m/>
    <m/>
    <m/>
    <m/>
    <n v="45"/>
  </r>
  <r>
    <x v="22"/>
    <x v="79"/>
    <m/>
    <n v="45"/>
    <n v="27"/>
    <n v="3"/>
    <n v="0"/>
    <n v="0"/>
    <n v="0"/>
    <n v="15"/>
  </r>
  <r>
    <x v="22"/>
    <x v="79"/>
    <m/>
    <n v="45"/>
    <n v="34"/>
    <n v="2"/>
    <n v="0"/>
    <n v="0"/>
    <n v="0"/>
    <n v="9"/>
  </r>
  <r>
    <x v="22"/>
    <x v="79"/>
    <m/>
    <n v="45"/>
    <n v="39"/>
    <n v="0"/>
    <n v="7"/>
    <n v="1"/>
    <n v="0"/>
    <n v="6"/>
  </r>
  <r>
    <x v="22"/>
    <x v="79"/>
    <m/>
    <n v="45"/>
    <n v="40"/>
    <n v="0"/>
    <n v="4"/>
    <n v="0"/>
    <n v="0"/>
    <n v="5"/>
  </r>
  <r>
    <x v="22"/>
    <x v="79"/>
    <m/>
    <n v="45"/>
    <n v="39"/>
    <n v="2"/>
    <n v="6"/>
    <n v="2"/>
    <n v="0"/>
    <n v="4"/>
  </r>
  <r>
    <x v="22"/>
    <x v="79"/>
    <m/>
    <n v="45"/>
    <n v="38"/>
    <n v="1"/>
    <n v="6"/>
    <n v="1"/>
    <n v="0"/>
    <n v="6"/>
  </r>
  <r>
    <x v="22"/>
    <x v="79"/>
    <m/>
    <n v="45"/>
    <n v="39"/>
    <n v="0"/>
    <n v="7"/>
    <n v="1"/>
    <n v="0"/>
    <n v="6"/>
  </r>
  <r>
    <x v="22"/>
    <x v="79"/>
    <m/>
    <n v="45"/>
    <n v="33"/>
    <n v="1"/>
    <n v="10"/>
    <n v="0"/>
    <n v="1"/>
    <n v="11"/>
  </r>
  <r>
    <x v="22"/>
    <x v="79"/>
    <m/>
    <n v="45"/>
    <n v="34"/>
    <n v="1"/>
    <n v="10"/>
    <n v="0"/>
    <n v="0"/>
    <n v="10"/>
  </r>
  <r>
    <x v="22"/>
    <x v="79"/>
    <m/>
    <n v="45"/>
    <n v="22"/>
    <n v="1"/>
    <n v="18"/>
    <n v="0"/>
    <n v="0"/>
    <n v="22"/>
  </r>
  <r>
    <x v="22"/>
    <x v="79"/>
    <m/>
    <n v="45"/>
    <n v="35"/>
    <n v="0"/>
    <n v="11"/>
    <n v="1"/>
    <n v="0"/>
    <n v="10"/>
  </r>
  <r>
    <x v="22"/>
    <x v="79"/>
    <m/>
    <n v="45"/>
    <n v="41"/>
    <n v="0"/>
    <n v="6"/>
    <n v="2"/>
    <n v="0"/>
    <n v="4"/>
  </r>
  <r>
    <x v="22"/>
    <x v="79"/>
    <m/>
    <n v="45"/>
    <n v="39"/>
    <n v="0"/>
    <n v="4"/>
    <n v="0"/>
    <n v="0"/>
    <n v="6"/>
  </r>
  <r>
    <x v="22"/>
    <x v="79"/>
    <m/>
    <n v="45"/>
    <n v="25"/>
    <n v="0"/>
    <n v="10"/>
    <n v="0"/>
    <n v="0"/>
    <n v="20"/>
  </r>
  <r>
    <x v="22"/>
    <x v="79"/>
    <m/>
    <n v="45"/>
    <m/>
    <m/>
    <m/>
    <m/>
    <m/>
    <n v="45"/>
  </r>
  <r>
    <x v="22"/>
    <x v="79"/>
    <m/>
    <n v="45"/>
    <m/>
    <m/>
    <m/>
    <m/>
    <m/>
    <n v="45"/>
  </r>
  <r>
    <x v="22"/>
    <x v="79"/>
    <m/>
    <n v="45"/>
    <m/>
    <m/>
    <m/>
    <m/>
    <m/>
    <n v="45"/>
  </r>
  <r>
    <x v="23"/>
    <x v="79"/>
    <m/>
    <n v="45"/>
    <n v="17"/>
    <n v="1"/>
    <n v="9"/>
    <n v="0"/>
    <n v="0"/>
    <n v="27"/>
  </r>
  <r>
    <x v="23"/>
    <x v="79"/>
    <m/>
    <n v="45"/>
    <n v="17"/>
    <n v="0"/>
    <n v="2"/>
    <n v="1"/>
    <n v="0"/>
    <n v="28"/>
  </r>
  <r>
    <x v="23"/>
    <x v="79"/>
    <m/>
    <n v="45"/>
    <n v="4"/>
    <n v="0"/>
    <n v="3"/>
    <n v="0"/>
    <n v="0"/>
    <n v="41"/>
  </r>
  <r>
    <x v="23"/>
    <x v="79"/>
    <m/>
    <n v="45"/>
    <n v="14"/>
    <n v="0"/>
    <n v="9"/>
    <n v="0"/>
    <n v="0"/>
    <n v="31"/>
  </r>
  <r>
    <x v="23"/>
    <x v="79"/>
    <m/>
    <n v="45"/>
    <n v="23"/>
    <n v="1"/>
    <n v="4"/>
    <n v="0"/>
    <n v="0"/>
    <n v="21"/>
  </r>
  <r>
    <x v="23"/>
    <x v="79"/>
    <m/>
    <n v="45"/>
    <n v="13"/>
    <n v="2"/>
    <n v="2"/>
    <n v="0"/>
    <n v="0"/>
    <n v="30"/>
  </r>
  <r>
    <x v="23"/>
    <x v="79"/>
    <m/>
    <n v="45"/>
    <n v="26"/>
    <n v="2"/>
    <n v="5"/>
    <n v="0"/>
    <n v="0"/>
    <n v="17"/>
  </r>
  <r>
    <x v="23"/>
    <x v="79"/>
    <m/>
    <n v="45"/>
    <m/>
    <m/>
    <m/>
    <m/>
    <m/>
    <n v="45"/>
  </r>
  <r>
    <x v="23"/>
    <x v="79"/>
    <m/>
    <n v="45"/>
    <m/>
    <m/>
    <m/>
    <m/>
    <m/>
    <n v="45"/>
  </r>
  <r>
    <x v="24"/>
    <x v="79"/>
    <m/>
    <n v="45"/>
    <n v="34"/>
    <n v="0"/>
    <n v="0"/>
    <n v="0"/>
    <n v="0"/>
    <n v="11"/>
  </r>
  <r>
    <x v="24"/>
    <x v="79"/>
    <m/>
    <n v="45"/>
    <n v="16"/>
    <n v="0"/>
    <n v="5"/>
    <n v="0"/>
    <n v="0"/>
    <n v="29"/>
  </r>
  <r>
    <x v="24"/>
    <x v="79"/>
    <m/>
    <n v="45"/>
    <n v="20"/>
    <n v="0"/>
    <n v="7"/>
    <n v="0"/>
    <n v="0"/>
    <n v="25"/>
  </r>
  <r>
    <x v="24"/>
    <x v="79"/>
    <m/>
    <n v="45"/>
    <n v="17"/>
    <n v="0"/>
    <n v="2"/>
    <n v="0"/>
    <n v="0"/>
    <n v="28"/>
  </r>
  <r>
    <x v="24"/>
    <x v="79"/>
    <m/>
    <n v="45"/>
    <n v="15"/>
    <n v="0"/>
    <n v="2"/>
    <n v="0"/>
    <n v="0"/>
    <n v="30"/>
  </r>
  <r>
    <x v="24"/>
    <x v="79"/>
    <m/>
    <n v="45"/>
    <n v="13"/>
    <n v="0"/>
    <n v="3"/>
    <n v="0"/>
    <n v="0"/>
    <n v="32"/>
  </r>
  <r>
    <x v="24"/>
    <x v="79"/>
    <m/>
    <n v="45"/>
    <n v="17"/>
    <n v="0"/>
    <n v="3"/>
    <n v="0"/>
    <n v="0"/>
    <n v="28"/>
  </r>
  <r>
    <x v="24"/>
    <x v="79"/>
    <m/>
    <n v="45"/>
    <n v="16"/>
    <n v="1"/>
    <n v="2"/>
    <n v="0"/>
    <n v="0"/>
    <n v="28"/>
  </r>
  <r>
    <x v="24"/>
    <x v="79"/>
    <m/>
    <n v="45"/>
    <n v="11"/>
    <n v="0"/>
    <n v="3"/>
    <n v="0"/>
    <n v="0"/>
    <n v="34"/>
  </r>
  <r>
    <x v="24"/>
    <x v="79"/>
    <m/>
    <n v="45"/>
    <n v="11"/>
    <n v="0"/>
    <n v="5"/>
    <n v="0"/>
    <n v="0"/>
    <n v="34"/>
  </r>
  <r>
    <x v="24"/>
    <x v="79"/>
    <m/>
    <n v="45"/>
    <n v="19"/>
    <n v="2"/>
    <n v="5"/>
    <n v="0"/>
    <n v="0"/>
    <n v="24"/>
  </r>
  <r>
    <x v="24"/>
    <x v="79"/>
    <m/>
    <n v="45"/>
    <n v="17"/>
    <n v="0"/>
    <n v="14"/>
    <n v="0"/>
    <n v="0"/>
    <n v="28"/>
  </r>
  <r>
    <x v="24"/>
    <x v="79"/>
    <m/>
    <n v="45"/>
    <n v="12"/>
    <n v="2"/>
    <n v="2"/>
    <n v="0"/>
    <n v="0"/>
    <n v="31"/>
  </r>
  <r>
    <x v="24"/>
    <x v="79"/>
    <m/>
    <n v="45"/>
    <m/>
    <m/>
    <m/>
    <m/>
    <m/>
    <n v="45"/>
  </r>
  <r>
    <x v="24"/>
    <x v="79"/>
    <m/>
    <n v="45"/>
    <m/>
    <m/>
    <m/>
    <m/>
    <m/>
    <n v="45"/>
  </r>
  <r>
    <x v="24"/>
    <x v="79"/>
    <m/>
    <n v="45"/>
    <m/>
    <m/>
    <m/>
    <m/>
    <m/>
    <n v="45"/>
  </r>
  <r>
    <x v="12"/>
    <x v="82"/>
    <m/>
    <n v="30"/>
    <n v="22"/>
    <n v="0"/>
    <n v="0"/>
    <n v="2"/>
    <n v="0"/>
    <n v="8"/>
  </r>
  <r>
    <x v="12"/>
    <x v="81"/>
    <m/>
    <n v="30"/>
    <n v="19"/>
    <n v="0"/>
    <n v="0"/>
    <n v="5"/>
    <n v="0"/>
    <n v="11"/>
  </r>
  <r>
    <x v="12"/>
    <x v="18"/>
    <m/>
    <n v="30"/>
    <n v="21"/>
    <n v="0"/>
    <n v="8"/>
    <n v="1"/>
    <n v="0"/>
    <n v="9"/>
  </r>
  <r>
    <x v="12"/>
    <x v="15"/>
    <m/>
    <n v="30"/>
    <n v="27"/>
    <n v="0"/>
    <n v="2"/>
    <n v="1"/>
    <n v="0"/>
    <n v="3"/>
  </r>
  <r>
    <x v="12"/>
    <x v="6"/>
    <m/>
    <n v="30"/>
    <n v="22"/>
    <n v="0"/>
    <n v="4"/>
    <n v="3"/>
    <n v="0"/>
    <n v="8"/>
  </r>
  <r>
    <x v="12"/>
    <x v="33"/>
    <m/>
    <n v="30"/>
    <n v="27"/>
    <n v="0"/>
    <n v="6"/>
    <n v="3"/>
    <n v="0"/>
    <n v="3"/>
  </r>
  <r>
    <x v="12"/>
    <x v="8"/>
    <m/>
    <n v="30"/>
    <n v="28"/>
    <n v="0"/>
    <n v="1"/>
    <n v="0"/>
    <n v="0"/>
    <n v="2"/>
  </r>
  <r>
    <x v="12"/>
    <x v="1"/>
    <m/>
    <n v="30"/>
    <n v="14"/>
    <n v="0"/>
    <n v="6"/>
    <n v="1"/>
    <n v="0"/>
    <n v="16"/>
  </r>
  <r>
    <x v="12"/>
    <x v="57"/>
    <m/>
    <n v="30"/>
    <n v="20"/>
    <n v="0"/>
    <n v="4"/>
    <n v="0"/>
    <n v="0"/>
    <n v="10"/>
  </r>
  <r>
    <x v="12"/>
    <x v="82"/>
    <m/>
    <n v="30"/>
    <n v="30"/>
    <n v="0"/>
    <n v="2"/>
    <n v="0"/>
    <n v="0"/>
    <n v="0"/>
  </r>
  <r>
    <x v="12"/>
    <x v="62"/>
    <m/>
    <n v="30"/>
    <n v="24"/>
    <n v="0"/>
    <n v="0"/>
    <n v="0"/>
    <n v="0"/>
    <n v="6"/>
  </r>
  <r>
    <x v="12"/>
    <x v="36"/>
    <m/>
    <n v="30"/>
    <n v="30"/>
    <n v="0"/>
    <n v="7"/>
    <n v="7"/>
    <n v="0"/>
    <n v="0"/>
  </r>
  <r>
    <x v="12"/>
    <x v="85"/>
    <m/>
    <n v="30"/>
    <n v="26"/>
    <n v="0"/>
    <n v="0"/>
    <n v="0"/>
    <n v="0"/>
    <n v="4"/>
  </r>
  <r>
    <x v="12"/>
    <x v="33"/>
    <m/>
    <n v="30"/>
    <n v="30"/>
    <n v="0"/>
    <n v="6"/>
    <n v="4"/>
    <n v="0"/>
    <n v="0"/>
  </r>
  <r>
    <x v="12"/>
    <x v="82"/>
    <m/>
    <n v="30"/>
    <n v="25"/>
    <n v="0"/>
    <n v="6"/>
    <n v="2"/>
    <n v="0"/>
    <n v="5"/>
  </r>
  <r>
    <x v="12"/>
    <x v="15"/>
    <m/>
    <n v="30"/>
    <n v="27"/>
    <n v="1"/>
    <n v="6"/>
    <n v="2"/>
    <n v="0"/>
    <n v="2"/>
  </r>
  <r>
    <x v="12"/>
    <x v="33"/>
    <m/>
    <n v="30"/>
    <m/>
    <m/>
    <m/>
    <m/>
    <m/>
    <n v="30"/>
  </r>
  <r>
    <x v="12"/>
    <x v="8"/>
    <m/>
    <n v="30"/>
    <m/>
    <m/>
    <m/>
    <m/>
    <m/>
    <n v="30"/>
  </r>
  <r>
    <x v="12"/>
    <x v="67"/>
    <m/>
    <n v="30"/>
    <m/>
    <m/>
    <m/>
    <m/>
    <m/>
    <n v="30"/>
  </r>
  <r>
    <x v="12"/>
    <x v="32"/>
    <m/>
    <n v="30"/>
    <m/>
    <m/>
    <m/>
    <m/>
    <m/>
    <n v="30"/>
  </r>
  <r>
    <x v="12"/>
    <x v="84"/>
    <m/>
    <n v="30"/>
    <m/>
    <m/>
    <m/>
    <m/>
    <m/>
    <n v="30"/>
  </r>
  <r>
    <x v="12"/>
    <x v="6"/>
    <m/>
    <n v="30"/>
    <m/>
    <m/>
    <m/>
    <m/>
    <m/>
    <n v="30"/>
  </r>
  <r>
    <x v="12"/>
    <x v="41"/>
    <m/>
    <n v="30"/>
    <m/>
    <m/>
    <m/>
    <m/>
    <m/>
    <n v="30"/>
  </r>
  <r>
    <x v="12"/>
    <x v="82"/>
    <m/>
    <n v="30"/>
    <m/>
    <m/>
    <m/>
    <m/>
    <m/>
    <n v="30"/>
  </r>
  <r>
    <x v="31"/>
    <x v="79"/>
    <m/>
    <n v="1000"/>
    <n v="35"/>
    <n v="0"/>
    <n v="0"/>
    <n v="0"/>
    <n v="0"/>
    <n v="965"/>
  </r>
  <r>
    <x v="31"/>
    <x v="79"/>
    <m/>
    <n v="1000"/>
    <n v="29"/>
    <n v="0"/>
    <n v="0"/>
    <n v="0"/>
    <n v="0"/>
    <n v="971"/>
  </r>
  <r>
    <x v="31"/>
    <x v="79"/>
    <m/>
    <n v="1000"/>
    <n v="24"/>
    <n v="0"/>
    <n v="0"/>
    <n v="0"/>
    <n v="5"/>
    <n v="976"/>
  </r>
  <r>
    <x v="31"/>
    <x v="79"/>
    <m/>
    <n v="1000"/>
    <n v="15"/>
    <n v="0"/>
    <n v="0"/>
    <n v="0"/>
    <n v="0"/>
    <n v="985"/>
  </r>
  <r>
    <x v="31"/>
    <x v="79"/>
    <m/>
    <n v="1000"/>
    <n v="15"/>
    <n v="0"/>
    <n v="0"/>
    <n v="0"/>
    <n v="0"/>
    <n v="985"/>
  </r>
  <r>
    <x v="31"/>
    <x v="79"/>
    <m/>
    <n v="1000"/>
    <n v="17"/>
    <n v="0"/>
    <n v="0"/>
    <n v="0"/>
    <n v="9"/>
    <n v="983"/>
  </r>
  <r>
    <x v="31"/>
    <x v="79"/>
    <m/>
    <n v="1000"/>
    <n v="11"/>
    <n v="0"/>
    <n v="0"/>
    <n v="0"/>
    <n v="0"/>
    <n v="989"/>
  </r>
  <r>
    <x v="31"/>
    <x v="79"/>
    <m/>
    <n v="1000"/>
    <n v="7"/>
    <n v="0"/>
    <n v="0"/>
    <n v="0"/>
    <n v="0"/>
    <n v="993"/>
  </r>
  <r>
    <x v="31"/>
    <x v="79"/>
    <m/>
    <n v="1000"/>
    <n v="13"/>
    <n v="0"/>
    <n v="0"/>
    <n v="0"/>
    <n v="0"/>
    <n v="987"/>
  </r>
  <r>
    <x v="31"/>
    <x v="79"/>
    <m/>
    <n v="1000"/>
    <m/>
    <m/>
    <m/>
    <m/>
    <m/>
    <n v="1000"/>
  </r>
  <r>
    <x v="31"/>
    <x v="79"/>
    <m/>
    <n v="1000"/>
    <m/>
    <m/>
    <m/>
    <m/>
    <m/>
    <n v="1000"/>
  </r>
  <r>
    <x v="31"/>
    <x v="79"/>
    <m/>
    <n v="1000"/>
    <m/>
    <m/>
    <m/>
    <m/>
    <m/>
    <n v="1000"/>
  </r>
  <r>
    <x v="32"/>
    <x v="79"/>
    <m/>
    <n v="1000"/>
    <n v="48"/>
    <n v="0"/>
    <n v="0"/>
    <n v="0"/>
    <n v="0"/>
    <n v="952"/>
  </r>
  <r>
    <x v="32"/>
    <x v="79"/>
    <m/>
    <n v="1000"/>
    <n v="26"/>
    <n v="0"/>
    <n v="0"/>
    <n v="0"/>
    <n v="0"/>
    <n v="974"/>
  </r>
  <r>
    <x v="32"/>
    <x v="79"/>
    <m/>
    <n v="1000"/>
    <n v="30"/>
    <n v="0"/>
    <n v="0"/>
    <n v="0"/>
    <n v="4"/>
    <n v="970"/>
  </r>
  <r>
    <x v="32"/>
    <x v="79"/>
    <m/>
    <n v="1000"/>
    <n v="16"/>
    <n v="0"/>
    <n v="0"/>
    <n v="0"/>
    <n v="0"/>
    <n v="984"/>
  </r>
  <r>
    <x v="32"/>
    <x v="79"/>
    <m/>
    <n v="1000"/>
    <n v="22"/>
    <n v="0"/>
    <n v="0"/>
    <n v="0"/>
    <n v="0"/>
    <n v="978"/>
  </r>
  <r>
    <x v="32"/>
    <x v="79"/>
    <m/>
    <n v="1000"/>
    <n v="18"/>
    <n v="0"/>
    <n v="0"/>
    <n v="0"/>
    <n v="7"/>
    <n v="982"/>
  </r>
  <r>
    <x v="32"/>
    <x v="79"/>
    <m/>
    <n v="1000"/>
    <n v="20"/>
    <n v="0"/>
    <n v="0"/>
    <n v="0"/>
    <n v="0"/>
    <n v="980"/>
  </r>
  <r>
    <x v="32"/>
    <x v="79"/>
    <m/>
    <n v="1000"/>
    <n v="9"/>
    <n v="0"/>
    <n v="0"/>
    <n v="0"/>
    <n v="0"/>
    <n v="991"/>
  </r>
  <r>
    <x v="32"/>
    <x v="79"/>
    <m/>
    <n v="1000"/>
    <n v="12"/>
    <n v="0"/>
    <n v="0"/>
    <n v="0"/>
    <n v="0"/>
    <n v="988"/>
  </r>
  <r>
    <x v="32"/>
    <x v="79"/>
    <m/>
    <n v="1000"/>
    <n v="17"/>
    <n v="0"/>
    <n v="0"/>
    <n v="0"/>
    <n v="0"/>
    <n v="983"/>
  </r>
  <r>
    <x v="32"/>
    <x v="79"/>
    <m/>
    <n v="1000"/>
    <m/>
    <m/>
    <m/>
    <m/>
    <m/>
    <n v="1000"/>
  </r>
  <r>
    <x v="32"/>
    <x v="79"/>
    <m/>
    <n v="1000"/>
    <m/>
    <m/>
    <m/>
    <m/>
    <m/>
    <n v="1000"/>
  </r>
  <r>
    <x v="33"/>
    <x v="79"/>
    <m/>
    <n v="1000"/>
    <n v="56"/>
    <n v="0"/>
    <n v="0"/>
    <n v="0"/>
    <n v="0"/>
    <n v="944"/>
  </r>
  <r>
    <x v="33"/>
    <x v="79"/>
    <m/>
    <n v="1000"/>
    <n v="36"/>
    <n v="0"/>
    <n v="0"/>
    <n v="0"/>
    <n v="0"/>
    <n v="964"/>
  </r>
  <r>
    <x v="33"/>
    <x v="79"/>
    <m/>
    <n v="1000"/>
    <n v="32"/>
    <n v="0"/>
    <n v="0"/>
    <n v="0"/>
    <n v="7"/>
    <n v="968"/>
  </r>
  <r>
    <x v="33"/>
    <x v="79"/>
    <m/>
    <n v="1000"/>
    <n v="25"/>
    <n v="0"/>
    <n v="0"/>
    <n v="0"/>
    <n v="0"/>
    <n v="975"/>
  </r>
  <r>
    <x v="33"/>
    <x v="79"/>
    <m/>
    <n v="1000"/>
    <n v="22"/>
    <n v="0"/>
    <n v="0"/>
    <n v="0"/>
    <n v="0"/>
    <n v="978"/>
  </r>
  <r>
    <x v="33"/>
    <x v="79"/>
    <m/>
    <n v="1000"/>
    <n v="27"/>
    <n v="0"/>
    <n v="0"/>
    <n v="0"/>
    <n v="14"/>
    <n v="973"/>
  </r>
  <r>
    <x v="33"/>
    <x v="79"/>
    <m/>
    <n v="1000"/>
    <n v="20"/>
    <n v="0"/>
    <n v="0"/>
    <n v="0"/>
    <n v="0"/>
    <n v="980"/>
  </r>
  <r>
    <x v="33"/>
    <x v="79"/>
    <m/>
    <n v="1000"/>
    <n v="13"/>
    <n v="0"/>
    <n v="0"/>
    <n v="0"/>
    <n v="0"/>
    <n v="987"/>
  </r>
  <r>
    <x v="33"/>
    <x v="79"/>
    <m/>
    <n v="1000"/>
    <n v="15"/>
    <n v="0"/>
    <n v="0"/>
    <n v="0"/>
    <n v="0"/>
    <n v="985"/>
  </r>
  <r>
    <x v="33"/>
    <x v="79"/>
    <m/>
    <n v="1000"/>
    <n v="14"/>
    <n v="0"/>
    <n v="0"/>
    <n v="0"/>
    <n v="0"/>
    <n v="986"/>
  </r>
  <r>
    <x v="33"/>
    <x v="79"/>
    <m/>
    <n v="1000"/>
    <m/>
    <m/>
    <m/>
    <m/>
    <m/>
    <n v="1000"/>
  </r>
  <r>
    <x v="33"/>
    <x v="79"/>
    <m/>
    <n v="1000"/>
    <m/>
    <m/>
    <m/>
    <m/>
    <m/>
    <n v="1000"/>
  </r>
  <r>
    <x v="34"/>
    <x v="79"/>
    <m/>
    <n v="1000"/>
    <n v="69"/>
    <n v="0"/>
    <n v="0"/>
    <n v="0"/>
    <n v="0"/>
    <n v="931"/>
  </r>
  <r>
    <x v="34"/>
    <x v="79"/>
    <m/>
    <n v="1000"/>
    <n v="37"/>
    <n v="0"/>
    <n v="0"/>
    <n v="0"/>
    <n v="0"/>
    <n v="963"/>
  </r>
  <r>
    <x v="34"/>
    <x v="79"/>
    <m/>
    <n v="1000"/>
    <n v="33"/>
    <n v="0"/>
    <n v="0"/>
    <n v="0"/>
    <n v="8"/>
    <n v="967"/>
  </r>
  <r>
    <x v="34"/>
    <x v="79"/>
    <m/>
    <n v="1000"/>
    <n v="19"/>
    <n v="0"/>
    <n v="0"/>
    <n v="0"/>
    <n v="0"/>
    <n v="981"/>
  </r>
  <r>
    <x v="34"/>
    <x v="79"/>
    <m/>
    <n v="1000"/>
    <n v="22"/>
    <n v="0"/>
    <n v="0"/>
    <n v="0"/>
    <n v="0"/>
    <n v="978"/>
  </r>
  <r>
    <x v="34"/>
    <x v="79"/>
    <m/>
    <n v="1000"/>
    <n v="26"/>
    <n v="0"/>
    <n v="0"/>
    <n v="0"/>
    <n v="12"/>
    <n v="974"/>
  </r>
  <r>
    <x v="34"/>
    <x v="79"/>
    <m/>
    <n v="1000"/>
    <n v="22"/>
    <n v="0"/>
    <n v="0"/>
    <n v="0"/>
    <n v="0"/>
    <n v="978"/>
  </r>
  <r>
    <x v="34"/>
    <x v="79"/>
    <m/>
    <n v="1000"/>
    <n v="13"/>
    <n v="0"/>
    <n v="0"/>
    <n v="0"/>
    <n v="0"/>
    <n v="987"/>
  </r>
  <r>
    <x v="34"/>
    <x v="79"/>
    <m/>
    <n v="1000"/>
    <n v="16"/>
    <n v="0"/>
    <n v="0"/>
    <n v="0"/>
    <n v="0"/>
    <n v="984"/>
  </r>
  <r>
    <x v="34"/>
    <x v="79"/>
    <m/>
    <n v="1000"/>
    <m/>
    <m/>
    <m/>
    <m/>
    <m/>
    <n v="1000"/>
  </r>
  <r>
    <x v="34"/>
    <x v="79"/>
    <m/>
    <n v="1000"/>
    <m/>
    <m/>
    <m/>
    <m/>
    <m/>
    <n v="1000"/>
  </r>
  <r>
    <x v="34"/>
    <x v="79"/>
    <m/>
    <n v="1000"/>
    <m/>
    <m/>
    <m/>
    <m/>
    <m/>
    <n v="1000"/>
  </r>
  <r>
    <x v="35"/>
    <x v="79"/>
    <m/>
    <n v="1000"/>
    <n v="67"/>
    <n v="0"/>
    <n v="0"/>
    <n v="0"/>
    <n v="0"/>
    <n v="933"/>
  </r>
  <r>
    <x v="35"/>
    <x v="79"/>
    <m/>
    <n v="1000"/>
    <n v="51"/>
    <n v="0"/>
    <n v="0"/>
    <n v="0"/>
    <n v="0"/>
    <n v="949"/>
  </r>
  <r>
    <x v="35"/>
    <x v="79"/>
    <m/>
    <n v="1000"/>
    <n v="37"/>
    <n v="0"/>
    <n v="0"/>
    <n v="0"/>
    <n v="8"/>
    <n v="963"/>
  </r>
  <r>
    <x v="35"/>
    <x v="79"/>
    <m/>
    <n v="1000"/>
    <n v="15"/>
    <n v="0"/>
    <n v="0"/>
    <n v="0"/>
    <n v="0"/>
    <n v="985"/>
  </r>
  <r>
    <x v="35"/>
    <x v="79"/>
    <m/>
    <n v="1000"/>
    <n v="34"/>
    <n v="0"/>
    <n v="0"/>
    <n v="0"/>
    <n v="0"/>
    <n v="966"/>
  </r>
  <r>
    <x v="35"/>
    <x v="79"/>
    <m/>
    <n v="1000"/>
    <n v="31"/>
    <n v="0"/>
    <n v="0"/>
    <n v="0"/>
    <n v="14"/>
    <n v="969"/>
  </r>
  <r>
    <x v="35"/>
    <x v="79"/>
    <m/>
    <n v="1000"/>
    <n v="23"/>
    <n v="0"/>
    <n v="0"/>
    <n v="0"/>
    <n v="0"/>
    <n v="977"/>
  </r>
  <r>
    <x v="35"/>
    <x v="79"/>
    <m/>
    <n v="1000"/>
    <n v="18"/>
    <n v="0"/>
    <n v="0"/>
    <n v="0"/>
    <n v="0"/>
    <n v="982"/>
  </r>
  <r>
    <x v="35"/>
    <x v="79"/>
    <m/>
    <n v="1000"/>
    <n v="19"/>
    <n v="0"/>
    <n v="0"/>
    <n v="0"/>
    <n v="0"/>
    <n v="981"/>
  </r>
  <r>
    <x v="35"/>
    <x v="79"/>
    <m/>
    <n v="1000"/>
    <m/>
    <m/>
    <m/>
    <m/>
    <m/>
    <n v="1000"/>
  </r>
  <r>
    <x v="35"/>
    <x v="79"/>
    <m/>
    <n v="1000"/>
    <m/>
    <m/>
    <m/>
    <m/>
    <m/>
    <n v="1000"/>
  </r>
  <r>
    <x v="35"/>
    <x v="79"/>
    <m/>
    <n v="1000"/>
    <m/>
    <m/>
    <m/>
    <m/>
    <m/>
    <n v="1000"/>
  </r>
  <r>
    <x v="36"/>
    <x v="79"/>
    <m/>
    <n v="1000"/>
    <n v="60"/>
    <n v="0"/>
    <n v="0"/>
    <n v="0"/>
    <n v="0"/>
    <n v="940"/>
  </r>
  <r>
    <x v="36"/>
    <x v="79"/>
    <m/>
    <n v="1000"/>
    <n v="51"/>
    <n v="0"/>
    <n v="0"/>
    <n v="0"/>
    <n v="0"/>
    <n v="949"/>
  </r>
  <r>
    <x v="36"/>
    <x v="79"/>
    <m/>
    <n v="1000"/>
    <n v="37"/>
    <n v="0"/>
    <n v="0"/>
    <n v="0"/>
    <n v="6"/>
    <n v="963"/>
  </r>
  <r>
    <x v="36"/>
    <x v="79"/>
    <m/>
    <n v="1000"/>
    <n v="16"/>
    <n v="0"/>
    <n v="0"/>
    <n v="0"/>
    <n v="0"/>
    <n v="984"/>
  </r>
  <r>
    <x v="36"/>
    <x v="79"/>
    <m/>
    <n v="1000"/>
    <n v="37"/>
    <n v="0"/>
    <n v="0"/>
    <n v="0"/>
    <n v="0"/>
    <n v="963"/>
  </r>
  <r>
    <x v="36"/>
    <x v="79"/>
    <m/>
    <n v="1000"/>
    <n v="24"/>
    <n v="0"/>
    <n v="0"/>
    <n v="0"/>
    <n v="7"/>
    <n v="976"/>
  </r>
  <r>
    <x v="36"/>
    <x v="79"/>
    <m/>
    <n v="1000"/>
    <n v="18"/>
    <n v="0"/>
    <n v="0"/>
    <n v="0"/>
    <n v="0"/>
    <n v="982"/>
  </r>
  <r>
    <x v="36"/>
    <x v="79"/>
    <m/>
    <n v="1000"/>
    <n v="26"/>
    <n v="0"/>
    <n v="0"/>
    <n v="0"/>
    <n v="0"/>
    <n v="974"/>
  </r>
  <r>
    <x v="36"/>
    <x v="79"/>
    <m/>
    <n v="1000"/>
    <n v="18"/>
    <n v="0"/>
    <n v="0"/>
    <n v="0"/>
    <n v="0"/>
    <n v="982"/>
  </r>
  <r>
    <x v="36"/>
    <x v="79"/>
    <m/>
    <n v="1000"/>
    <m/>
    <m/>
    <m/>
    <m/>
    <m/>
    <n v="1000"/>
  </r>
  <r>
    <x v="36"/>
    <x v="79"/>
    <m/>
    <n v="1000"/>
    <m/>
    <m/>
    <m/>
    <m/>
    <m/>
    <n v="1000"/>
  </r>
  <r>
    <x v="36"/>
    <x v="79"/>
    <m/>
    <n v="1000"/>
    <m/>
    <m/>
    <m/>
    <m/>
    <m/>
    <n v="1000"/>
  </r>
  <r>
    <x v="37"/>
    <x v="79"/>
    <m/>
    <n v="1000"/>
    <n v="43"/>
    <n v="0"/>
    <n v="0"/>
    <n v="0"/>
    <n v="0"/>
    <n v="957"/>
  </r>
  <r>
    <x v="37"/>
    <x v="79"/>
    <m/>
    <n v="1000"/>
    <n v="25"/>
    <n v="0"/>
    <n v="0"/>
    <n v="0"/>
    <n v="0"/>
    <n v="975"/>
  </r>
  <r>
    <x v="37"/>
    <x v="79"/>
    <m/>
    <n v="1000"/>
    <n v="24"/>
    <n v="0"/>
    <n v="0"/>
    <n v="0"/>
    <n v="1"/>
    <n v="976"/>
  </r>
  <r>
    <x v="37"/>
    <x v="79"/>
    <m/>
    <n v="1000"/>
    <n v="12"/>
    <n v="0"/>
    <n v="0"/>
    <n v="0"/>
    <n v="0"/>
    <n v="988"/>
  </r>
  <r>
    <x v="37"/>
    <x v="79"/>
    <m/>
    <n v="1000"/>
    <n v="15"/>
    <n v="0"/>
    <n v="0"/>
    <n v="0"/>
    <n v="0"/>
    <n v="985"/>
  </r>
  <r>
    <x v="37"/>
    <x v="79"/>
    <m/>
    <n v="1000"/>
    <n v="17"/>
    <n v="0"/>
    <n v="0"/>
    <n v="0"/>
    <n v="6"/>
    <n v="983"/>
  </r>
  <r>
    <x v="37"/>
    <x v="79"/>
    <m/>
    <n v="1000"/>
    <n v="17"/>
    <n v="0"/>
    <n v="0"/>
    <n v="0"/>
    <n v="0"/>
    <n v="983"/>
  </r>
  <r>
    <x v="37"/>
    <x v="79"/>
    <m/>
    <n v="1000"/>
    <n v="8"/>
    <n v="0"/>
    <n v="0"/>
    <n v="0"/>
    <n v="0"/>
    <n v="992"/>
  </r>
  <r>
    <x v="37"/>
    <x v="79"/>
    <m/>
    <n v="1000"/>
    <n v="11"/>
    <n v="0"/>
    <n v="0"/>
    <n v="0"/>
    <n v="0"/>
    <n v="989"/>
  </r>
  <r>
    <x v="37"/>
    <x v="79"/>
    <m/>
    <n v="1000"/>
    <n v="9"/>
    <n v="0"/>
    <n v="0"/>
    <n v="0"/>
    <n v="0"/>
    <n v="991"/>
  </r>
  <r>
    <x v="37"/>
    <x v="79"/>
    <m/>
    <n v="1000"/>
    <m/>
    <m/>
    <m/>
    <m/>
    <m/>
    <n v="1000"/>
  </r>
  <r>
    <x v="37"/>
    <x v="79"/>
    <m/>
    <n v="1000"/>
    <m/>
    <m/>
    <m/>
    <m/>
    <m/>
    <n v="1000"/>
  </r>
  <r>
    <x v="38"/>
    <x v="79"/>
    <m/>
    <n v="1000"/>
    <n v="37"/>
    <n v="0"/>
    <n v="0"/>
    <n v="0"/>
    <n v="0"/>
    <n v="963"/>
  </r>
  <r>
    <x v="38"/>
    <x v="79"/>
    <m/>
    <n v="1000"/>
    <n v="39"/>
    <n v="0"/>
    <n v="0"/>
    <n v="0"/>
    <n v="0"/>
    <n v="961"/>
  </r>
  <r>
    <x v="38"/>
    <x v="79"/>
    <m/>
    <n v="1000"/>
    <n v="23"/>
    <n v="0"/>
    <n v="0"/>
    <n v="0"/>
    <n v="2"/>
    <n v="977"/>
  </r>
  <r>
    <x v="38"/>
    <x v="79"/>
    <m/>
    <n v="1000"/>
    <n v="23"/>
    <n v="0"/>
    <n v="0"/>
    <n v="0"/>
    <n v="0"/>
    <n v="977"/>
  </r>
  <r>
    <x v="38"/>
    <x v="79"/>
    <m/>
    <n v="1000"/>
    <n v="23"/>
    <n v="0"/>
    <n v="0"/>
    <n v="0"/>
    <n v="0"/>
    <n v="977"/>
  </r>
  <r>
    <x v="38"/>
    <x v="79"/>
    <m/>
    <n v="1000"/>
    <n v="17"/>
    <n v="0"/>
    <n v="0"/>
    <n v="0"/>
    <n v="5"/>
    <n v="983"/>
  </r>
  <r>
    <x v="38"/>
    <x v="79"/>
    <m/>
    <n v="1000"/>
    <n v="18"/>
    <n v="0"/>
    <n v="0"/>
    <n v="0"/>
    <n v="0"/>
    <n v="982"/>
  </r>
  <r>
    <x v="38"/>
    <x v="79"/>
    <m/>
    <n v="1000"/>
    <n v="13"/>
    <n v="0"/>
    <n v="0"/>
    <n v="0"/>
    <n v="0"/>
    <n v="987"/>
  </r>
  <r>
    <x v="38"/>
    <x v="79"/>
    <m/>
    <n v="1000"/>
    <n v="15"/>
    <n v="0"/>
    <n v="0"/>
    <n v="0"/>
    <n v="0"/>
    <n v="985"/>
  </r>
  <r>
    <x v="38"/>
    <x v="79"/>
    <m/>
    <n v="1000"/>
    <n v="10"/>
    <n v="0"/>
    <n v="0"/>
    <n v="0"/>
    <n v="0"/>
    <n v="990"/>
  </r>
  <r>
    <x v="38"/>
    <x v="79"/>
    <m/>
    <n v="1000"/>
    <m/>
    <m/>
    <m/>
    <m/>
    <m/>
    <n v="1000"/>
  </r>
  <r>
    <x v="38"/>
    <x v="79"/>
    <m/>
    <n v="1000"/>
    <m/>
    <m/>
    <m/>
    <m/>
    <m/>
    <n v="1000"/>
  </r>
  <r>
    <x v="39"/>
    <x v="79"/>
    <m/>
    <n v="1000"/>
    <n v="43"/>
    <n v="0"/>
    <n v="0"/>
    <n v="0"/>
    <n v="0"/>
    <n v="957"/>
  </r>
  <r>
    <x v="39"/>
    <x v="79"/>
    <m/>
    <n v="1000"/>
    <n v="33"/>
    <n v="0"/>
    <n v="0"/>
    <n v="0"/>
    <n v="0"/>
    <n v="967"/>
  </r>
  <r>
    <x v="39"/>
    <x v="79"/>
    <m/>
    <n v="1000"/>
    <n v="19"/>
    <n v="0"/>
    <n v="0"/>
    <n v="0"/>
    <n v="1"/>
    <n v="981"/>
  </r>
  <r>
    <x v="39"/>
    <x v="79"/>
    <m/>
    <n v="1000"/>
    <n v="20"/>
    <n v="0"/>
    <n v="0"/>
    <n v="0"/>
    <n v="0"/>
    <n v="980"/>
  </r>
  <r>
    <x v="39"/>
    <x v="79"/>
    <m/>
    <n v="1000"/>
    <n v="19"/>
    <n v="0"/>
    <n v="0"/>
    <n v="0"/>
    <n v="0"/>
    <n v="981"/>
  </r>
  <r>
    <x v="39"/>
    <x v="79"/>
    <m/>
    <n v="1000"/>
    <n v="13"/>
    <n v="0"/>
    <n v="0"/>
    <n v="0"/>
    <n v="4"/>
    <n v="987"/>
  </r>
  <r>
    <x v="39"/>
    <x v="79"/>
    <m/>
    <n v="1000"/>
    <n v="14"/>
    <n v="0"/>
    <n v="0"/>
    <n v="0"/>
    <n v="0"/>
    <n v="986"/>
  </r>
  <r>
    <x v="39"/>
    <x v="79"/>
    <m/>
    <n v="1000"/>
    <n v="12"/>
    <n v="0"/>
    <n v="0"/>
    <n v="0"/>
    <n v="0"/>
    <n v="988"/>
  </r>
  <r>
    <x v="39"/>
    <x v="79"/>
    <m/>
    <n v="1000"/>
    <n v="12"/>
    <n v="0"/>
    <n v="0"/>
    <n v="0"/>
    <n v="0"/>
    <n v="988"/>
  </r>
  <r>
    <x v="39"/>
    <x v="79"/>
    <m/>
    <n v="1000"/>
    <n v="8"/>
    <n v="0"/>
    <n v="0"/>
    <n v="0"/>
    <n v="0"/>
    <n v="992"/>
  </r>
  <r>
    <x v="39"/>
    <x v="79"/>
    <m/>
    <n v="1000"/>
    <m/>
    <m/>
    <m/>
    <m/>
    <m/>
    <n v="1000"/>
  </r>
  <r>
    <x v="39"/>
    <x v="79"/>
    <m/>
    <n v="1000"/>
    <m/>
    <m/>
    <m/>
    <m/>
    <m/>
    <n v="1000"/>
  </r>
  <r>
    <x v="40"/>
    <x v="79"/>
    <m/>
    <n v="1000"/>
    <n v="48"/>
    <n v="0"/>
    <n v="0"/>
    <n v="0"/>
    <n v="0"/>
    <n v="952"/>
  </r>
  <r>
    <x v="40"/>
    <x v="79"/>
    <m/>
    <n v="1000"/>
    <n v="38"/>
    <n v="0"/>
    <n v="0"/>
    <n v="0"/>
    <n v="0"/>
    <n v="962"/>
  </r>
  <r>
    <x v="40"/>
    <x v="79"/>
    <m/>
    <n v="1000"/>
    <n v="24"/>
    <n v="0"/>
    <n v="0"/>
    <n v="0"/>
    <n v="1"/>
    <n v="976"/>
  </r>
  <r>
    <x v="40"/>
    <x v="79"/>
    <m/>
    <n v="1000"/>
    <n v="23"/>
    <n v="0"/>
    <n v="0"/>
    <n v="0"/>
    <n v="0"/>
    <n v="977"/>
  </r>
  <r>
    <x v="40"/>
    <x v="79"/>
    <m/>
    <n v="1000"/>
    <n v="30"/>
    <n v="0"/>
    <n v="0"/>
    <n v="0"/>
    <n v="0"/>
    <n v="970"/>
  </r>
  <r>
    <x v="40"/>
    <x v="79"/>
    <m/>
    <n v="1000"/>
    <n v="19"/>
    <n v="0"/>
    <n v="0"/>
    <n v="0"/>
    <n v="6"/>
    <n v="981"/>
  </r>
  <r>
    <x v="40"/>
    <x v="79"/>
    <m/>
    <n v="1000"/>
    <n v="18"/>
    <n v="0"/>
    <n v="0"/>
    <n v="0"/>
    <n v="0"/>
    <n v="982"/>
  </r>
  <r>
    <x v="40"/>
    <x v="79"/>
    <m/>
    <n v="1000"/>
    <n v="14"/>
    <n v="0"/>
    <n v="0"/>
    <n v="0"/>
    <n v="0"/>
    <n v="986"/>
  </r>
  <r>
    <x v="40"/>
    <x v="79"/>
    <m/>
    <n v="1000"/>
    <n v="17"/>
    <n v="0"/>
    <n v="0"/>
    <n v="0"/>
    <n v="0"/>
    <n v="983"/>
  </r>
  <r>
    <x v="40"/>
    <x v="79"/>
    <m/>
    <n v="1000"/>
    <n v="12"/>
    <n v="0"/>
    <n v="0"/>
    <n v="0"/>
    <n v="0"/>
    <n v="988"/>
  </r>
  <r>
    <x v="40"/>
    <x v="79"/>
    <m/>
    <n v="1000"/>
    <m/>
    <m/>
    <m/>
    <m/>
    <m/>
    <n v="1000"/>
  </r>
  <r>
    <x v="40"/>
    <x v="79"/>
    <m/>
    <n v="1000"/>
    <m/>
    <m/>
    <m/>
    <m/>
    <m/>
    <n v="1000"/>
  </r>
  <r>
    <x v="41"/>
    <x v="79"/>
    <m/>
    <n v="1000"/>
    <n v="39"/>
    <n v="0"/>
    <n v="0"/>
    <n v="0"/>
    <n v="0"/>
    <n v="961"/>
  </r>
  <r>
    <x v="41"/>
    <x v="79"/>
    <m/>
    <n v="1000"/>
    <n v="45"/>
    <n v="0"/>
    <n v="0"/>
    <n v="0"/>
    <n v="0"/>
    <n v="955"/>
  </r>
  <r>
    <x v="41"/>
    <x v="79"/>
    <m/>
    <n v="1000"/>
    <n v="24"/>
    <n v="0"/>
    <n v="0"/>
    <n v="0"/>
    <n v="2"/>
    <n v="976"/>
  </r>
  <r>
    <x v="41"/>
    <x v="79"/>
    <m/>
    <n v="1000"/>
    <n v="23"/>
    <n v="0"/>
    <n v="0"/>
    <n v="0"/>
    <n v="0"/>
    <n v="977"/>
  </r>
  <r>
    <x v="41"/>
    <x v="79"/>
    <m/>
    <n v="1000"/>
    <n v="18"/>
    <n v="0"/>
    <n v="0"/>
    <n v="0"/>
    <n v="0"/>
    <n v="982"/>
  </r>
  <r>
    <x v="41"/>
    <x v="79"/>
    <m/>
    <n v="1000"/>
    <n v="14"/>
    <n v="0"/>
    <n v="0"/>
    <n v="0"/>
    <n v="6"/>
    <n v="986"/>
  </r>
  <r>
    <x v="41"/>
    <x v="79"/>
    <m/>
    <n v="1000"/>
    <n v="17"/>
    <n v="0"/>
    <n v="0"/>
    <n v="0"/>
    <n v="0"/>
    <n v="983"/>
  </r>
  <r>
    <x v="41"/>
    <x v="79"/>
    <m/>
    <n v="1000"/>
    <n v="13"/>
    <n v="0"/>
    <n v="0"/>
    <n v="0"/>
    <n v="0"/>
    <n v="987"/>
  </r>
  <r>
    <x v="41"/>
    <x v="79"/>
    <m/>
    <n v="1000"/>
    <n v="13"/>
    <n v="0"/>
    <n v="0"/>
    <n v="0"/>
    <n v="0"/>
    <n v="987"/>
  </r>
  <r>
    <x v="41"/>
    <x v="79"/>
    <m/>
    <n v="1000"/>
    <n v="8"/>
    <n v="0"/>
    <n v="0"/>
    <n v="0"/>
    <n v="0"/>
    <n v="992"/>
  </r>
  <r>
    <x v="41"/>
    <x v="79"/>
    <m/>
    <n v="1000"/>
    <m/>
    <m/>
    <m/>
    <m/>
    <m/>
    <n v="1000"/>
  </r>
  <r>
    <x v="41"/>
    <x v="79"/>
    <m/>
    <n v="1000"/>
    <m/>
    <m/>
    <m/>
    <m/>
    <m/>
    <n v="1000"/>
  </r>
  <r>
    <x v="42"/>
    <x v="79"/>
    <m/>
    <n v="1000"/>
    <n v="34"/>
    <n v="0"/>
    <n v="0"/>
    <n v="0"/>
    <n v="0"/>
    <n v="966"/>
  </r>
  <r>
    <x v="42"/>
    <x v="79"/>
    <m/>
    <n v="1000"/>
    <n v="28"/>
    <n v="0"/>
    <n v="0"/>
    <n v="0"/>
    <n v="0"/>
    <n v="972"/>
  </r>
  <r>
    <x v="42"/>
    <x v="79"/>
    <m/>
    <n v="1000"/>
    <n v="25"/>
    <n v="0"/>
    <n v="0"/>
    <n v="0"/>
    <n v="3"/>
    <n v="975"/>
  </r>
  <r>
    <x v="42"/>
    <x v="79"/>
    <m/>
    <n v="1000"/>
    <n v="14"/>
    <n v="0"/>
    <n v="0"/>
    <n v="0"/>
    <n v="0"/>
    <n v="986"/>
  </r>
  <r>
    <x v="42"/>
    <x v="79"/>
    <m/>
    <n v="1000"/>
    <n v="20"/>
    <n v="0"/>
    <n v="0"/>
    <n v="0"/>
    <n v="0"/>
    <n v="980"/>
  </r>
  <r>
    <x v="42"/>
    <x v="79"/>
    <m/>
    <n v="1000"/>
    <n v="20"/>
    <n v="0"/>
    <n v="0"/>
    <n v="0"/>
    <n v="8"/>
    <n v="980"/>
  </r>
  <r>
    <x v="42"/>
    <x v="79"/>
    <m/>
    <n v="1000"/>
    <n v="13"/>
    <n v="0"/>
    <n v="0"/>
    <n v="0"/>
    <n v="0"/>
    <n v="987"/>
  </r>
  <r>
    <x v="42"/>
    <x v="79"/>
    <m/>
    <n v="1000"/>
    <n v="14"/>
    <n v="0"/>
    <n v="0"/>
    <n v="0"/>
    <n v="0"/>
    <n v="986"/>
  </r>
  <r>
    <x v="42"/>
    <x v="79"/>
    <m/>
    <n v="1000"/>
    <n v="13"/>
    <n v="0"/>
    <n v="0"/>
    <n v="0"/>
    <n v="0"/>
    <n v="987"/>
  </r>
  <r>
    <x v="42"/>
    <x v="79"/>
    <m/>
    <n v="1000"/>
    <m/>
    <m/>
    <m/>
    <m/>
    <m/>
    <n v="1000"/>
  </r>
  <r>
    <x v="42"/>
    <x v="79"/>
    <m/>
    <n v="1000"/>
    <m/>
    <m/>
    <m/>
    <m/>
    <m/>
    <n v="1000"/>
  </r>
  <r>
    <x v="42"/>
    <x v="79"/>
    <m/>
    <n v="1000"/>
    <m/>
    <m/>
    <m/>
    <m/>
    <m/>
    <n v="1000"/>
  </r>
  <r>
    <x v="43"/>
    <x v="79"/>
    <m/>
    <n v="1000"/>
    <n v="41"/>
    <n v="0"/>
    <n v="0"/>
    <n v="0"/>
    <n v="0"/>
    <n v="959"/>
  </r>
  <r>
    <x v="43"/>
    <x v="79"/>
    <m/>
    <n v="1000"/>
    <n v="35"/>
    <n v="0"/>
    <n v="0"/>
    <n v="0"/>
    <n v="0"/>
    <n v="965"/>
  </r>
  <r>
    <x v="43"/>
    <x v="79"/>
    <m/>
    <n v="1000"/>
    <n v="33"/>
    <n v="0"/>
    <n v="0"/>
    <n v="0"/>
    <n v="2"/>
    <n v="967"/>
  </r>
  <r>
    <x v="43"/>
    <x v="79"/>
    <m/>
    <n v="1000"/>
    <n v="13"/>
    <n v="0"/>
    <n v="0"/>
    <n v="0"/>
    <n v="0"/>
    <n v="987"/>
  </r>
  <r>
    <x v="43"/>
    <x v="79"/>
    <m/>
    <n v="1000"/>
    <n v="29"/>
    <n v="0"/>
    <n v="0"/>
    <n v="0"/>
    <n v="0"/>
    <n v="971"/>
  </r>
  <r>
    <x v="43"/>
    <x v="79"/>
    <m/>
    <n v="1000"/>
    <n v="18"/>
    <n v="0"/>
    <n v="0"/>
    <n v="0"/>
    <n v="4"/>
    <n v="982"/>
  </r>
  <r>
    <x v="43"/>
    <x v="79"/>
    <m/>
    <n v="1000"/>
    <n v="18"/>
    <n v="0"/>
    <n v="0"/>
    <n v="0"/>
    <n v="0"/>
    <n v="982"/>
  </r>
  <r>
    <x v="43"/>
    <x v="79"/>
    <m/>
    <n v="1000"/>
    <n v="12"/>
    <n v="0"/>
    <n v="0"/>
    <n v="0"/>
    <n v="0"/>
    <n v="988"/>
  </r>
  <r>
    <x v="43"/>
    <x v="79"/>
    <m/>
    <n v="1000"/>
    <n v="18"/>
    <n v="0"/>
    <n v="0"/>
    <n v="0"/>
    <n v="0"/>
    <n v="982"/>
  </r>
  <r>
    <x v="43"/>
    <x v="79"/>
    <m/>
    <n v="1000"/>
    <n v="12"/>
    <n v="0"/>
    <n v="0"/>
    <n v="0"/>
    <n v="0"/>
    <n v="988"/>
  </r>
  <r>
    <x v="43"/>
    <x v="79"/>
    <m/>
    <n v="1000"/>
    <m/>
    <m/>
    <m/>
    <m/>
    <m/>
    <n v="1000"/>
  </r>
  <r>
    <x v="43"/>
    <x v="79"/>
    <m/>
    <n v="1000"/>
    <m/>
    <m/>
    <m/>
    <m/>
    <m/>
    <n v="1000"/>
  </r>
  <r>
    <x v="44"/>
    <x v="79"/>
    <m/>
    <n v="1000"/>
    <n v="45"/>
    <n v="0"/>
    <n v="0"/>
    <n v="0"/>
    <n v="0"/>
    <n v="955"/>
  </r>
  <r>
    <x v="44"/>
    <x v="79"/>
    <m/>
    <n v="1000"/>
    <n v="35"/>
    <n v="0"/>
    <n v="0"/>
    <n v="0"/>
    <n v="0"/>
    <n v="965"/>
  </r>
  <r>
    <x v="44"/>
    <x v="79"/>
    <m/>
    <n v="1000"/>
    <n v="29"/>
    <n v="0"/>
    <n v="0"/>
    <n v="0"/>
    <n v="5"/>
    <n v="971"/>
  </r>
  <r>
    <x v="44"/>
    <x v="79"/>
    <m/>
    <n v="1000"/>
    <n v="16"/>
    <n v="0"/>
    <n v="0"/>
    <n v="0"/>
    <n v="0"/>
    <n v="984"/>
  </r>
  <r>
    <x v="44"/>
    <x v="79"/>
    <m/>
    <n v="1000"/>
    <n v="22"/>
    <n v="0"/>
    <n v="0"/>
    <n v="0"/>
    <n v="0"/>
    <n v="978"/>
  </r>
  <r>
    <x v="44"/>
    <x v="79"/>
    <m/>
    <n v="1000"/>
    <n v="20"/>
    <n v="0"/>
    <n v="0"/>
    <n v="0"/>
    <n v="8"/>
    <n v="980"/>
  </r>
  <r>
    <x v="44"/>
    <x v="79"/>
    <m/>
    <n v="1000"/>
    <n v="19"/>
    <n v="0"/>
    <n v="0"/>
    <n v="0"/>
    <n v="0"/>
    <n v="981"/>
  </r>
  <r>
    <x v="44"/>
    <x v="79"/>
    <m/>
    <n v="1000"/>
    <n v="16"/>
    <n v="0"/>
    <n v="0"/>
    <n v="0"/>
    <n v="0"/>
    <n v="984"/>
  </r>
  <r>
    <x v="44"/>
    <x v="79"/>
    <m/>
    <n v="1000"/>
    <n v="17"/>
    <n v="0"/>
    <n v="0"/>
    <n v="0"/>
    <n v="0"/>
    <n v="983"/>
  </r>
  <r>
    <x v="44"/>
    <x v="79"/>
    <m/>
    <n v="1000"/>
    <m/>
    <m/>
    <m/>
    <m/>
    <m/>
    <n v="1000"/>
  </r>
  <r>
    <x v="44"/>
    <x v="79"/>
    <m/>
    <n v="1000"/>
    <m/>
    <m/>
    <m/>
    <m/>
    <m/>
    <n v="1000"/>
  </r>
  <r>
    <x v="44"/>
    <x v="79"/>
    <m/>
    <n v="1000"/>
    <m/>
    <m/>
    <m/>
    <m/>
    <m/>
    <n v="1000"/>
  </r>
  <r>
    <x v="45"/>
    <x v="79"/>
    <m/>
    <n v="1000"/>
    <n v="39"/>
    <n v="0"/>
    <n v="0"/>
    <n v="0"/>
    <n v="0"/>
    <n v="961"/>
  </r>
  <r>
    <x v="45"/>
    <x v="79"/>
    <m/>
    <n v="1000"/>
    <n v="28"/>
    <n v="0"/>
    <n v="0"/>
    <n v="0"/>
    <n v="0"/>
    <n v="972"/>
  </r>
  <r>
    <x v="45"/>
    <x v="79"/>
    <m/>
    <n v="1000"/>
    <n v="37"/>
    <n v="0"/>
    <n v="0"/>
    <n v="0"/>
    <n v="6"/>
    <n v="963"/>
  </r>
  <r>
    <x v="45"/>
    <x v="79"/>
    <m/>
    <n v="1000"/>
    <n v="16"/>
    <n v="0"/>
    <n v="0"/>
    <n v="0"/>
    <n v="0"/>
    <n v="984"/>
  </r>
  <r>
    <x v="45"/>
    <x v="79"/>
    <m/>
    <n v="1000"/>
    <n v="23"/>
    <n v="0"/>
    <n v="0"/>
    <n v="0"/>
    <n v="0"/>
    <n v="977"/>
  </r>
  <r>
    <x v="45"/>
    <x v="79"/>
    <m/>
    <n v="1000"/>
    <n v="21"/>
    <n v="0"/>
    <n v="0"/>
    <n v="0"/>
    <n v="7"/>
    <n v="979"/>
  </r>
  <r>
    <x v="45"/>
    <x v="79"/>
    <m/>
    <n v="1000"/>
    <n v="21"/>
    <n v="0"/>
    <n v="0"/>
    <n v="0"/>
    <n v="0"/>
    <n v="979"/>
  </r>
  <r>
    <x v="45"/>
    <x v="79"/>
    <m/>
    <n v="1000"/>
    <n v="14"/>
    <n v="0"/>
    <n v="0"/>
    <n v="0"/>
    <n v="0"/>
    <n v="986"/>
  </r>
  <r>
    <x v="45"/>
    <x v="79"/>
    <m/>
    <n v="1000"/>
    <n v="15"/>
    <n v="0"/>
    <n v="0"/>
    <n v="0"/>
    <n v="0"/>
    <n v="985"/>
  </r>
  <r>
    <x v="45"/>
    <x v="79"/>
    <m/>
    <n v="1000"/>
    <n v="10"/>
    <n v="0"/>
    <n v="0"/>
    <n v="0"/>
    <n v="0"/>
    <n v="990"/>
  </r>
  <r>
    <x v="45"/>
    <x v="79"/>
    <m/>
    <n v="1000"/>
    <m/>
    <m/>
    <m/>
    <m/>
    <m/>
    <n v="1000"/>
  </r>
  <r>
    <x v="45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n v="6"/>
    <n v="0"/>
    <n v="0"/>
    <n v="0"/>
    <n v="0"/>
    <n v="994"/>
  </r>
  <r>
    <x v="46"/>
    <x v="79"/>
    <m/>
    <n v="1000"/>
    <n v="2"/>
    <n v="0"/>
    <n v="0"/>
    <n v="0"/>
    <n v="0"/>
    <n v="998"/>
  </r>
  <r>
    <x v="46"/>
    <x v="79"/>
    <m/>
    <n v="1000"/>
    <n v="1"/>
    <n v="0"/>
    <n v="0"/>
    <n v="0"/>
    <n v="0"/>
    <n v="999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6"/>
    <x v="79"/>
    <m/>
    <n v="1000"/>
    <m/>
    <m/>
    <m/>
    <m/>
    <m/>
    <n v="1000"/>
  </r>
  <r>
    <x v="47"/>
    <x v="79"/>
    <m/>
    <n v="1000"/>
    <n v="8"/>
    <n v="0"/>
    <n v="0"/>
    <n v="0"/>
    <n v="0"/>
    <n v="992"/>
  </r>
  <r>
    <x v="47"/>
    <x v="79"/>
    <m/>
    <n v="1000"/>
    <n v="1"/>
    <n v="0"/>
    <n v="0"/>
    <n v="0"/>
    <n v="0"/>
    <n v="999"/>
  </r>
  <r>
    <x v="47"/>
    <x v="79"/>
    <m/>
    <n v="1000"/>
    <n v="6"/>
    <n v="0"/>
    <n v="0"/>
    <n v="0"/>
    <n v="0"/>
    <n v="994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7"/>
    <x v="79"/>
    <m/>
    <n v="1000"/>
    <m/>
    <m/>
    <m/>
    <m/>
    <m/>
    <n v="1000"/>
  </r>
  <r>
    <x v="48"/>
    <x v="79"/>
    <m/>
    <n v="1000"/>
    <n v="12"/>
    <n v="0"/>
    <n v="0"/>
    <n v="0"/>
    <n v="0"/>
    <n v="988"/>
  </r>
  <r>
    <x v="48"/>
    <x v="79"/>
    <m/>
    <n v="1000"/>
    <m/>
    <m/>
    <m/>
    <m/>
    <m/>
    <n v="1000"/>
  </r>
  <r>
    <x v="48"/>
    <x v="79"/>
    <m/>
    <n v="1000"/>
    <n v="4"/>
    <n v="0"/>
    <n v="0"/>
    <n v="0"/>
    <n v="0"/>
    <n v="996"/>
  </r>
  <r>
    <x v="48"/>
    <x v="79"/>
    <m/>
    <n v="1000"/>
    <n v="1"/>
    <n v="0"/>
    <n v="0"/>
    <n v="0"/>
    <n v="0"/>
    <n v="999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8"/>
    <x v="79"/>
    <m/>
    <n v="1000"/>
    <m/>
    <m/>
    <m/>
    <m/>
    <m/>
    <n v="1000"/>
  </r>
  <r>
    <x v="49"/>
    <x v="79"/>
    <m/>
    <n v="1000"/>
    <n v="33"/>
    <n v="0"/>
    <n v="0"/>
    <n v="0"/>
    <n v="0"/>
    <n v="967"/>
  </r>
  <r>
    <x v="49"/>
    <x v="79"/>
    <m/>
    <n v="1000"/>
    <n v="26"/>
    <n v="0"/>
    <n v="0"/>
    <n v="0"/>
    <n v="0"/>
    <n v="974"/>
  </r>
  <r>
    <x v="49"/>
    <x v="79"/>
    <m/>
    <n v="1000"/>
    <n v="21"/>
    <n v="0"/>
    <n v="0"/>
    <n v="0"/>
    <n v="1"/>
    <n v="979"/>
  </r>
  <r>
    <x v="49"/>
    <x v="79"/>
    <m/>
    <n v="1000"/>
    <n v="16"/>
    <n v="0"/>
    <n v="0"/>
    <n v="0"/>
    <n v="0"/>
    <n v="984"/>
  </r>
  <r>
    <x v="49"/>
    <x v="79"/>
    <m/>
    <n v="1000"/>
    <n v="22"/>
    <n v="0"/>
    <n v="0"/>
    <n v="0"/>
    <n v="0"/>
    <n v="978"/>
  </r>
  <r>
    <x v="49"/>
    <x v="79"/>
    <m/>
    <n v="1000"/>
    <n v="21"/>
    <n v="0"/>
    <n v="0"/>
    <n v="0"/>
    <n v="8"/>
    <n v="979"/>
  </r>
  <r>
    <x v="49"/>
    <x v="79"/>
    <m/>
    <n v="1000"/>
    <n v="17"/>
    <n v="0"/>
    <n v="0"/>
    <n v="0"/>
    <n v="0"/>
    <n v="983"/>
  </r>
  <r>
    <x v="49"/>
    <x v="79"/>
    <m/>
    <n v="1000"/>
    <n v="12"/>
    <n v="0"/>
    <n v="0"/>
    <n v="0"/>
    <n v="0"/>
    <n v="988"/>
  </r>
  <r>
    <x v="49"/>
    <x v="79"/>
    <m/>
    <n v="1000"/>
    <n v="17"/>
    <n v="0"/>
    <n v="0"/>
    <n v="0"/>
    <n v="0"/>
    <n v="983"/>
  </r>
  <r>
    <x v="49"/>
    <x v="79"/>
    <m/>
    <n v="1000"/>
    <m/>
    <m/>
    <m/>
    <m/>
    <m/>
    <n v="1000"/>
  </r>
  <r>
    <x v="49"/>
    <x v="79"/>
    <m/>
    <n v="1000"/>
    <m/>
    <m/>
    <m/>
    <m/>
    <m/>
    <n v="1000"/>
  </r>
  <r>
    <x v="49"/>
    <x v="79"/>
    <m/>
    <n v="1000"/>
    <m/>
    <m/>
    <m/>
    <m/>
    <m/>
    <n v="1000"/>
  </r>
  <r>
    <x v="50"/>
    <x v="79"/>
    <m/>
    <n v="1000"/>
    <n v="65"/>
    <n v="0"/>
    <n v="0"/>
    <n v="0"/>
    <n v="0"/>
    <n v="935"/>
  </r>
  <r>
    <x v="50"/>
    <x v="79"/>
    <m/>
    <n v="1000"/>
    <n v="35"/>
    <n v="0"/>
    <n v="0"/>
    <n v="0"/>
    <n v="0"/>
    <n v="965"/>
  </r>
  <r>
    <x v="50"/>
    <x v="79"/>
    <m/>
    <n v="1000"/>
    <n v="29"/>
    <n v="0"/>
    <n v="0"/>
    <n v="0"/>
    <n v="5"/>
    <n v="971"/>
  </r>
  <r>
    <x v="50"/>
    <x v="79"/>
    <m/>
    <n v="1000"/>
    <n v="15"/>
    <n v="0"/>
    <n v="0"/>
    <n v="0"/>
    <n v="0"/>
    <n v="985"/>
  </r>
  <r>
    <x v="50"/>
    <x v="79"/>
    <m/>
    <n v="1000"/>
    <n v="22"/>
    <n v="0"/>
    <n v="0"/>
    <n v="0"/>
    <n v="0"/>
    <n v="978"/>
  </r>
  <r>
    <x v="50"/>
    <x v="79"/>
    <m/>
    <n v="1000"/>
    <n v="26"/>
    <n v="0"/>
    <n v="0"/>
    <n v="0"/>
    <n v="13"/>
    <n v="974"/>
  </r>
  <r>
    <x v="50"/>
    <x v="79"/>
    <m/>
    <n v="1000"/>
    <n v="16"/>
    <n v="0"/>
    <n v="0"/>
    <n v="0"/>
    <n v="0"/>
    <n v="984"/>
  </r>
  <r>
    <x v="50"/>
    <x v="79"/>
    <m/>
    <n v="1000"/>
    <n v="10"/>
    <n v="0"/>
    <n v="0"/>
    <n v="0"/>
    <n v="0"/>
    <n v="990"/>
  </r>
  <r>
    <x v="50"/>
    <x v="79"/>
    <m/>
    <n v="1000"/>
    <n v="15"/>
    <n v="0"/>
    <n v="0"/>
    <n v="0"/>
    <n v="0"/>
    <n v="985"/>
  </r>
  <r>
    <x v="50"/>
    <x v="79"/>
    <m/>
    <n v="1000"/>
    <n v="12"/>
    <n v="0"/>
    <n v="0"/>
    <n v="0"/>
    <n v="0"/>
    <n v="988"/>
  </r>
  <r>
    <x v="50"/>
    <x v="79"/>
    <m/>
    <n v="1000"/>
    <m/>
    <m/>
    <m/>
    <m/>
    <m/>
    <n v="1000"/>
  </r>
  <r>
    <x v="50"/>
    <x v="79"/>
    <m/>
    <n v="1000"/>
    <m/>
    <m/>
    <m/>
    <m/>
    <m/>
    <n v="1000"/>
  </r>
  <r>
    <x v="51"/>
    <x v="79"/>
    <m/>
    <n v="1000"/>
    <n v="43"/>
    <n v="0"/>
    <n v="0"/>
    <n v="0"/>
    <n v="0"/>
    <n v="957"/>
  </r>
  <r>
    <x v="51"/>
    <x v="79"/>
    <m/>
    <n v="1000"/>
    <n v="25"/>
    <n v="0"/>
    <n v="0"/>
    <n v="0"/>
    <n v="0"/>
    <n v="975"/>
  </r>
  <r>
    <x v="51"/>
    <x v="79"/>
    <m/>
    <n v="1000"/>
    <n v="32"/>
    <n v="0"/>
    <n v="0"/>
    <n v="0"/>
    <n v="4"/>
    <n v="968"/>
  </r>
  <r>
    <x v="51"/>
    <x v="79"/>
    <m/>
    <n v="1000"/>
    <n v="15"/>
    <n v="0"/>
    <n v="0"/>
    <n v="0"/>
    <n v="0"/>
    <n v="985"/>
  </r>
  <r>
    <x v="51"/>
    <x v="79"/>
    <m/>
    <n v="1000"/>
    <n v="20"/>
    <n v="0"/>
    <n v="0"/>
    <n v="0"/>
    <n v="0"/>
    <n v="980"/>
  </r>
  <r>
    <x v="51"/>
    <x v="79"/>
    <m/>
    <n v="1000"/>
    <n v="20"/>
    <n v="0"/>
    <n v="0"/>
    <n v="0"/>
    <n v="7"/>
    <n v="980"/>
  </r>
  <r>
    <x v="51"/>
    <x v="79"/>
    <m/>
    <n v="1000"/>
    <n v="23"/>
    <n v="0"/>
    <n v="0"/>
    <n v="0"/>
    <n v="0"/>
    <n v="977"/>
  </r>
  <r>
    <x v="51"/>
    <x v="79"/>
    <m/>
    <n v="1000"/>
    <n v="15"/>
    <n v="0"/>
    <n v="0"/>
    <n v="0"/>
    <n v="0"/>
    <n v="985"/>
  </r>
  <r>
    <x v="51"/>
    <x v="79"/>
    <m/>
    <n v="1000"/>
    <n v="14"/>
    <n v="0"/>
    <n v="0"/>
    <n v="0"/>
    <n v="0"/>
    <n v="986"/>
  </r>
  <r>
    <x v="51"/>
    <x v="79"/>
    <m/>
    <n v="1000"/>
    <m/>
    <m/>
    <m/>
    <m/>
    <m/>
    <n v="1000"/>
  </r>
  <r>
    <x v="51"/>
    <x v="79"/>
    <m/>
    <n v="1000"/>
    <m/>
    <m/>
    <m/>
    <m/>
    <m/>
    <n v="1000"/>
  </r>
  <r>
    <x v="51"/>
    <x v="79"/>
    <m/>
    <n v="1000"/>
    <m/>
    <m/>
    <m/>
    <m/>
    <m/>
    <n v="1000"/>
  </r>
  <r>
    <x v="52"/>
    <x v="86"/>
    <m/>
    <n v="20"/>
    <n v="16"/>
    <n v="0"/>
    <n v="0"/>
    <n v="1"/>
    <n v="0"/>
    <n v="4"/>
  </r>
  <r>
    <x v="52"/>
    <x v="86"/>
    <m/>
    <n v="20"/>
    <n v="19"/>
    <n v="0"/>
    <n v="2"/>
    <n v="2"/>
    <n v="0"/>
    <n v="1"/>
  </r>
  <r>
    <x v="52"/>
    <x v="86"/>
    <m/>
    <n v="20"/>
    <n v="16"/>
    <n v="0"/>
    <n v="0"/>
    <n v="0"/>
    <n v="0"/>
    <n v="4"/>
  </r>
  <r>
    <x v="52"/>
    <x v="86"/>
    <m/>
    <n v="20"/>
    <m/>
    <m/>
    <m/>
    <m/>
    <m/>
    <n v="20"/>
  </r>
  <r>
    <x v="25"/>
    <x v="79"/>
    <m/>
    <n v="100"/>
    <n v="57"/>
    <n v="7"/>
    <n v="0"/>
    <n v="0"/>
    <n v="0"/>
    <n v="36"/>
  </r>
  <r>
    <x v="25"/>
    <x v="79"/>
    <m/>
    <n v="100"/>
    <n v="84"/>
    <n v="2"/>
    <n v="0"/>
    <n v="1"/>
    <n v="0"/>
    <n v="14"/>
  </r>
  <r>
    <x v="25"/>
    <x v="79"/>
    <m/>
    <n v="100"/>
    <n v="74"/>
    <n v="2"/>
    <n v="0"/>
    <n v="0"/>
    <n v="0"/>
    <n v="24"/>
  </r>
  <r>
    <x v="25"/>
    <x v="79"/>
    <m/>
    <n v="100"/>
    <n v="81"/>
    <n v="1"/>
    <n v="16"/>
    <n v="0"/>
    <n v="0"/>
    <n v="18"/>
  </r>
  <r>
    <x v="25"/>
    <x v="79"/>
    <m/>
    <n v="100"/>
    <n v="60"/>
    <n v="5"/>
    <n v="34"/>
    <n v="2"/>
    <n v="0"/>
    <n v="35"/>
  </r>
  <r>
    <x v="25"/>
    <x v="79"/>
    <m/>
    <n v="100"/>
    <n v="81"/>
    <n v="4"/>
    <n v="15"/>
    <n v="0"/>
    <n v="0"/>
    <n v="15"/>
  </r>
  <r>
    <x v="25"/>
    <x v="79"/>
    <m/>
    <n v="100"/>
    <n v="78"/>
    <n v="1"/>
    <n v="15"/>
    <n v="2"/>
    <n v="0"/>
    <n v="21"/>
  </r>
  <r>
    <x v="25"/>
    <x v="79"/>
    <m/>
    <n v="100"/>
    <n v="82"/>
    <n v="4"/>
    <n v="18"/>
    <n v="3"/>
    <n v="0"/>
    <n v="14"/>
  </r>
  <r>
    <x v="25"/>
    <x v="79"/>
    <m/>
    <n v="100"/>
    <n v="81"/>
    <n v="3"/>
    <n v="16"/>
    <n v="0"/>
    <n v="0"/>
    <n v="16"/>
  </r>
  <r>
    <x v="25"/>
    <x v="79"/>
    <m/>
    <n v="100"/>
    <n v="76"/>
    <n v="4"/>
    <n v="22"/>
    <n v="2"/>
    <n v="0"/>
    <n v="20"/>
  </r>
  <r>
    <x v="25"/>
    <x v="79"/>
    <m/>
    <n v="100"/>
    <n v="72"/>
    <n v="3"/>
    <n v="27"/>
    <n v="0"/>
    <n v="0"/>
    <n v="25"/>
  </r>
  <r>
    <x v="25"/>
    <x v="79"/>
    <m/>
    <n v="100"/>
    <n v="60"/>
    <n v="6"/>
    <n v="36"/>
    <n v="3"/>
    <n v="0"/>
    <n v="34"/>
  </r>
  <r>
    <x v="25"/>
    <x v="79"/>
    <m/>
    <n v="100"/>
    <n v="68"/>
    <n v="7"/>
    <n v="29"/>
    <n v="6"/>
    <n v="0"/>
    <n v="25"/>
  </r>
  <r>
    <x v="25"/>
    <x v="79"/>
    <m/>
    <n v="100"/>
    <n v="77"/>
    <n v="3"/>
    <n v="21"/>
    <n v="3"/>
    <n v="0"/>
    <n v="20"/>
  </r>
  <r>
    <x v="25"/>
    <x v="79"/>
    <m/>
    <n v="100"/>
    <n v="78"/>
    <n v="2"/>
    <n v="19"/>
    <n v="0"/>
    <n v="0"/>
    <n v="20"/>
  </r>
  <r>
    <x v="25"/>
    <x v="79"/>
    <m/>
    <n v="100"/>
    <n v="70"/>
    <n v="1"/>
    <n v="31"/>
    <n v="0"/>
    <n v="0"/>
    <n v="29"/>
  </r>
  <r>
    <x v="25"/>
    <x v="79"/>
    <m/>
    <n v="100"/>
    <n v="77"/>
    <n v="0"/>
    <n v="25"/>
    <n v="1"/>
    <n v="0"/>
    <n v="23"/>
  </r>
  <r>
    <x v="25"/>
    <x v="79"/>
    <m/>
    <n v="100"/>
    <m/>
    <m/>
    <m/>
    <m/>
    <m/>
    <n v="100"/>
  </r>
  <r>
    <x v="25"/>
    <x v="79"/>
    <m/>
    <n v="100"/>
    <m/>
    <m/>
    <m/>
    <m/>
    <m/>
    <n v="100"/>
  </r>
  <r>
    <x v="25"/>
    <x v="79"/>
    <m/>
    <n v="100"/>
    <m/>
    <m/>
    <m/>
    <m/>
    <m/>
    <n v="100"/>
  </r>
  <r>
    <x v="53"/>
    <x v="80"/>
    <m/>
    <n v="30"/>
    <n v="13"/>
    <n v="0"/>
    <n v="0"/>
    <n v="1"/>
    <n v="0"/>
    <n v="17"/>
  </r>
  <r>
    <x v="53"/>
    <x v="80"/>
    <m/>
    <n v="30"/>
    <n v="9"/>
    <n v="0"/>
    <n v="0"/>
    <n v="1"/>
    <n v="0"/>
    <n v="21"/>
  </r>
  <r>
    <x v="53"/>
    <x v="80"/>
    <m/>
    <n v="30"/>
    <m/>
    <m/>
    <m/>
    <m/>
    <m/>
    <n v="30"/>
  </r>
  <r>
    <x v="26"/>
    <x v="79"/>
    <m/>
    <n v="45"/>
    <n v="19"/>
    <n v="1"/>
    <n v="0"/>
    <n v="0"/>
    <n v="0"/>
    <n v="25"/>
  </r>
  <r>
    <x v="26"/>
    <x v="79"/>
    <m/>
    <n v="45"/>
    <n v="5"/>
    <n v="0"/>
    <n v="2"/>
    <n v="0"/>
    <n v="0"/>
    <n v="40"/>
  </r>
  <r>
    <x v="26"/>
    <x v="79"/>
    <m/>
    <n v="45"/>
    <n v="9"/>
    <n v="0"/>
    <n v="8"/>
    <n v="0"/>
    <n v="0"/>
    <n v="36"/>
  </r>
  <r>
    <x v="26"/>
    <x v="79"/>
    <m/>
    <n v="45"/>
    <n v="16"/>
    <n v="0"/>
    <n v="4"/>
    <n v="0"/>
    <n v="0"/>
    <n v="29"/>
  </r>
  <r>
    <x v="26"/>
    <x v="79"/>
    <m/>
    <n v="45"/>
    <m/>
    <m/>
    <m/>
    <m/>
    <m/>
    <n v="45"/>
  </r>
  <r>
    <x v="54"/>
    <x v="87"/>
    <m/>
    <m/>
    <m/>
    <m/>
    <m/>
    <m/>
    <m/>
    <m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1">
  <r>
    <x v="0"/>
    <x v="0"/>
    <x v="0"/>
    <n v="9"/>
    <m/>
    <m/>
    <m/>
    <m/>
    <m/>
    <m/>
    <m/>
  </r>
  <r>
    <x v="1"/>
    <x v="0"/>
    <x v="1"/>
    <n v="8"/>
    <m/>
    <m/>
    <m/>
    <m/>
    <m/>
    <m/>
    <m/>
  </r>
  <r>
    <x v="1"/>
    <x v="0"/>
    <x v="2"/>
    <n v="6"/>
    <m/>
    <m/>
    <m/>
    <m/>
    <m/>
    <m/>
    <m/>
  </r>
  <r>
    <x v="1"/>
    <x v="0"/>
    <x v="3"/>
    <n v="20"/>
    <m/>
    <m/>
    <m/>
    <m/>
    <m/>
    <m/>
    <m/>
  </r>
  <r>
    <x v="1"/>
    <x v="0"/>
    <x v="4"/>
    <n v="8"/>
    <m/>
    <m/>
    <m/>
    <m/>
    <m/>
    <m/>
    <m/>
  </r>
  <r>
    <x v="1"/>
    <x v="0"/>
    <x v="5"/>
    <n v="4"/>
    <m/>
    <m/>
    <m/>
    <m/>
    <m/>
    <m/>
    <m/>
  </r>
  <r>
    <x v="1"/>
    <x v="0"/>
    <x v="6"/>
    <n v="2"/>
    <m/>
    <m/>
    <m/>
    <m/>
    <m/>
    <m/>
    <m/>
  </r>
  <r>
    <x v="1"/>
    <x v="0"/>
    <x v="7"/>
    <n v="6"/>
    <m/>
    <m/>
    <m/>
    <m/>
    <m/>
    <m/>
    <m/>
  </r>
  <r>
    <x v="1"/>
    <x v="0"/>
    <x v="8"/>
    <n v="12"/>
    <m/>
    <m/>
    <m/>
    <m/>
    <m/>
    <m/>
    <m/>
  </r>
  <r>
    <x v="1"/>
    <x v="0"/>
    <x v="9"/>
    <n v="8"/>
    <m/>
    <m/>
    <m/>
    <m/>
    <m/>
    <m/>
    <m/>
  </r>
  <r>
    <x v="1"/>
    <x v="0"/>
    <x v="10"/>
    <n v="2"/>
    <m/>
    <m/>
    <m/>
    <m/>
    <m/>
    <m/>
    <m/>
  </r>
  <r>
    <x v="1"/>
    <x v="0"/>
    <x v="11"/>
    <n v="10"/>
    <m/>
    <m/>
    <m/>
    <m/>
    <m/>
    <m/>
    <m/>
  </r>
  <r>
    <x v="1"/>
    <x v="0"/>
    <x v="12"/>
    <n v="6"/>
    <m/>
    <m/>
    <m/>
    <m/>
    <m/>
    <m/>
    <m/>
  </r>
  <r>
    <x v="1"/>
    <x v="0"/>
    <x v="13"/>
    <n v="10"/>
    <m/>
    <m/>
    <m/>
    <m/>
    <m/>
    <m/>
    <m/>
  </r>
  <r>
    <x v="1"/>
    <x v="0"/>
    <x v="14"/>
    <n v="18"/>
    <m/>
    <m/>
    <m/>
    <m/>
    <m/>
    <m/>
    <m/>
  </r>
  <r>
    <x v="1"/>
    <x v="0"/>
    <x v="15"/>
    <n v="10"/>
    <m/>
    <m/>
    <m/>
    <m/>
    <m/>
    <m/>
    <m/>
  </r>
  <r>
    <x v="1"/>
    <x v="0"/>
    <x v="16"/>
    <n v="6"/>
    <m/>
    <m/>
    <m/>
    <m/>
    <m/>
    <m/>
    <m/>
  </r>
  <r>
    <x v="1"/>
    <x v="0"/>
    <x v="17"/>
    <n v="8"/>
    <m/>
    <m/>
    <m/>
    <m/>
    <m/>
    <m/>
    <m/>
  </r>
  <r>
    <x v="2"/>
    <x v="0"/>
    <x v="0"/>
    <n v="4"/>
    <m/>
    <m/>
    <m/>
    <m/>
    <m/>
    <m/>
    <m/>
  </r>
  <r>
    <x v="2"/>
    <x v="0"/>
    <x v="11"/>
    <n v="5"/>
    <m/>
    <m/>
    <m/>
    <m/>
    <m/>
    <m/>
    <m/>
  </r>
  <r>
    <x v="2"/>
    <x v="0"/>
    <x v="15"/>
    <n v="11"/>
    <m/>
    <m/>
    <m/>
    <m/>
    <m/>
    <m/>
    <m/>
  </r>
  <r>
    <x v="3"/>
    <x v="0"/>
    <x v="18"/>
    <n v="2"/>
    <m/>
    <m/>
    <m/>
    <m/>
    <m/>
    <m/>
    <m/>
  </r>
  <r>
    <x v="3"/>
    <x v="0"/>
    <x v="14"/>
    <n v="15"/>
    <m/>
    <m/>
    <m/>
    <m/>
    <m/>
    <m/>
    <m/>
  </r>
  <r>
    <x v="3"/>
    <x v="0"/>
    <x v="19"/>
    <n v="8"/>
    <m/>
    <m/>
    <m/>
    <m/>
    <m/>
    <m/>
    <m/>
  </r>
  <r>
    <x v="3"/>
    <x v="0"/>
    <x v="20"/>
    <n v="1"/>
    <m/>
    <m/>
    <m/>
    <m/>
    <m/>
    <m/>
    <m/>
  </r>
  <r>
    <x v="3"/>
    <x v="0"/>
    <x v="21"/>
    <n v="30"/>
    <m/>
    <m/>
    <m/>
    <m/>
    <m/>
    <m/>
    <m/>
  </r>
  <r>
    <x v="3"/>
    <x v="0"/>
    <x v="22"/>
    <n v="5"/>
    <m/>
    <m/>
    <m/>
    <m/>
    <m/>
    <m/>
    <m/>
  </r>
  <r>
    <x v="3"/>
    <x v="0"/>
    <x v="23"/>
    <n v="8"/>
    <m/>
    <m/>
    <m/>
    <m/>
    <m/>
    <m/>
    <m/>
  </r>
  <r>
    <x v="3"/>
    <x v="0"/>
    <x v="24"/>
    <n v="5"/>
    <m/>
    <m/>
    <m/>
    <m/>
    <m/>
    <m/>
    <m/>
  </r>
  <r>
    <x v="3"/>
    <x v="0"/>
    <x v="25"/>
    <n v="40"/>
    <m/>
    <m/>
    <m/>
    <m/>
    <m/>
    <m/>
    <m/>
  </r>
  <r>
    <x v="3"/>
    <x v="0"/>
    <x v="26"/>
    <n v="2"/>
    <m/>
    <m/>
    <m/>
    <m/>
    <m/>
    <m/>
    <m/>
  </r>
  <r>
    <x v="3"/>
    <x v="0"/>
    <x v="27"/>
    <n v="2"/>
    <m/>
    <m/>
    <m/>
    <m/>
    <m/>
    <m/>
    <m/>
  </r>
  <r>
    <x v="3"/>
    <x v="0"/>
    <x v="28"/>
    <n v="10"/>
    <m/>
    <m/>
    <m/>
    <m/>
    <m/>
    <m/>
    <m/>
  </r>
  <r>
    <x v="3"/>
    <x v="0"/>
    <x v="29"/>
    <n v="2"/>
    <m/>
    <m/>
    <m/>
    <m/>
    <m/>
    <m/>
    <m/>
  </r>
  <r>
    <x v="4"/>
    <x v="0"/>
    <x v="30"/>
    <n v="30"/>
    <m/>
    <m/>
    <m/>
    <m/>
    <m/>
    <m/>
    <m/>
  </r>
  <r>
    <x v="4"/>
    <x v="0"/>
    <x v="1"/>
    <n v="20"/>
    <m/>
    <m/>
    <m/>
    <m/>
    <m/>
    <m/>
    <m/>
  </r>
  <r>
    <x v="4"/>
    <x v="0"/>
    <x v="31"/>
    <n v="20"/>
    <m/>
    <m/>
    <m/>
    <m/>
    <m/>
    <m/>
    <m/>
  </r>
  <r>
    <x v="4"/>
    <x v="0"/>
    <x v="18"/>
    <n v="30"/>
    <m/>
    <m/>
    <m/>
    <m/>
    <m/>
    <m/>
    <m/>
  </r>
  <r>
    <x v="4"/>
    <x v="0"/>
    <x v="4"/>
    <n v="30"/>
    <m/>
    <m/>
    <m/>
    <m/>
    <m/>
    <m/>
    <m/>
  </r>
  <r>
    <x v="4"/>
    <x v="0"/>
    <x v="6"/>
    <n v="30"/>
    <m/>
    <m/>
    <m/>
    <m/>
    <m/>
    <m/>
    <m/>
  </r>
  <r>
    <x v="4"/>
    <x v="0"/>
    <x v="7"/>
    <n v="5"/>
    <m/>
    <m/>
    <m/>
    <m/>
    <m/>
    <m/>
    <m/>
  </r>
  <r>
    <x v="4"/>
    <x v="0"/>
    <x v="8"/>
    <n v="30"/>
    <m/>
    <m/>
    <m/>
    <m/>
    <m/>
    <m/>
    <m/>
  </r>
  <r>
    <x v="4"/>
    <x v="0"/>
    <x v="32"/>
    <n v="30"/>
    <m/>
    <m/>
    <m/>
    <m/>
    <m/>
    <m/>
    <m/>
  </r>
  <r>
    <x v="4"/>
    <x v="0"/>
    <x v="33"/>
    <n v="30"/>
    <m/>
    <m/>
    <m/>
    <m/>
    <m/>
    <m/>
    <m/>
  </r>
  <r>
    <x v="4"/>
    <x v="0"/>
    <x v="9"/>
    <n v="10"/>
    <m/>
    <m/>
    <m/>
    <m/>
    <m/>
    <m/>
    <m/>
  </r>
  <r>
    <x v="4"/>
    <x v="0"/>
    <x v="34"/>
    <n v="30"/>
    <m/>
    <m/>
    <m/>
    <m/>
    <m/>
    <m/>
    <m/>
  </r>
  <r>
    <x v="4"/>
    <x v="0"/>
    <x v="35"/>
    <n v="30"/>
    <m/>
    <m/>
    <m/>
    <m/>
    <m/>
    <m/>
    <m/>
  </r>
  <r>
    <x v="4"/>
    <x v="0"/>
    <x v="10"/>
    <n v="30"/>
    <m/>
    <m/>
    <m/>
    <m/>
    <m/>
    <m/>
    <m/>
  </r>
  <r>
    <x v="4"/>
    <x v="0"/>
    <x v="11"/>
    <n v="30"/>
    <m/>
    <m/>
    <m/>
    <m/>
    <m/>
    <m/>
    <m/>
  </r>
  <r>
    <x v="4"/>
    <x v="0"/>
    <x v="36"/>
    <n v="10"/>
    <m/>
    <m/>
    <m/>
    <m/>
    <m/>
    <m/>
    <m/>
  </r>
  <r>
    <x v="4"/>
    <x v="0"/>
    <x v="37"/>
    <n v="30"/>
    <m/>
    <m/>
    <m/>
    <m/>
    <m/>
    <m/>
    <m/>
  </r>
  <r>
    <x v="4"/>
    <x v="0"/>
    <x v="38"/>
    <n v="30"/>
    <m/>
    <m/>
    <m/>
    <m/>
    <m/>
    <m/>
    <m/>
  </r>
  <r>
    <x v="4"/>
    <x v="0"/>
    <x v="14"/>
    <n v="30"/>
    <m/>
    <m/>
    <m/>
    <m/>
    <m/>
    <m/>
    <m/>
  </r>
  <r>
    <x v="4"/>
    <x v="0"/>
    <x v="15"/>
    <n v="30"/>
    <m/>
    <m/>
    <m/>
    <m/>
    <m/>
    <m/>
    <m/>
  </r>
  <r>
    <x v="4"/>
    <x v="0"/>
    <x v="17"/>
    <n v="20"/>
    <m/>
    <m/>
    <m/>
    <m/>
    <m/>
    <m/>
    <m/>
  </r>
  <r>
    <x v="4"/>
    <x v="0"/>
    <x v="39"/>
    <n v="30"/>
    <m/>
    <m/>
    <m/>
    <m/>
    <m/>
    <m/>
    <m/>
  </r>
  <r>
    <x v="4"/>
    <x v="0"/>
    <x v="40"/>
    <n v="10"/>
    <m/>
    <m/>
    <m/>
    <m/>
    <m/>
    <m/>
    <m/>
  </r>
  <r>
    <x v="4"/>
    <x v="0"/>
    <x v="41"/>
    <n v="20"/>
    <m/>
    <m/>
    <m/>
    <m/>
    <m/>
    <m/>
    <m/>
  </r>
  <r>
    <x v="5"/>
    <x v="0"/>
    <x v="42"/>
    <n v="40"/>
    <m/>
    <m/>
    <m/>
    <m/>
    <m/>
    <m/>
    <m/>
  </r>
  <r>
    <x v="5"/>
    <x v="0"/>
    <x v="25"/>
    <n v="40"/>
    <m/>
    <m/>
    <m/>
    <m/>
    <m/>
    <m/>
    <m/>
  </r>
  <r>
    <x v="5"/>
    <x v="0"/>
    <x v="24"/>
    <n v="40"/>
    <m/>
    <m/>
    <m/>
    <m/>
    <m/>
    <m/>
    <m/>
  </r>
  <r>
    <x v="5"/>
    <x v="0"/>
    <x v="27"/>
    <n v="40"/>
    <m/>
    <m/>
    <m/>
    <m/>
    <m/>
    <m/>
    <m/>
  </r>
  <r>
    <x v="5"/>
    <x v="0"/>
    <x v="21"/>
    <n v="40"/>
    <m/>
    <m/>
    <m/>
    <m/>
    <m/>
    <m/>
    <m/>
  </r>
  <r>
    <x v="5"/>
    <x v="0"/>
    <x v="43"/>
    <n v="40"/>
    <m/>
    <m/>
    <m/>
    <m/>
    <m/>
    <m/>
    <m/>
  </r>
  <r>
    <x v="0"/>
    <x v="1"/>
    <x v="0"/>
    <n v="16"/>
    <m/>
    <m/>
    <m/>
    <m/>
    <m/>
    <m/>
    <m/>
  </r>
  <r>
    <x v="1"/>
    <x v="1"/>
    <x v="1"/>
    <n v="10"/>
    <m/>
    <m/>
    <m/>
    <m/>
    <m/>
    <m/>
    <m/>
  </r>
  <r>
    <x v="1"/>
    <x v="1"/>
    <x v="2"/>
    <n v="10"/>
    <m/>
    <m/>
    <m/>
    <m/>
    <m/>
    <m/>
    <m/>
  </r>
  <r>
    <x v="1"/>
    <x v="1"/>
    <x v="3"/>
    <n v="20"/>
    <m/>
    <m/>
    <m/>
    <m/>
    <m/>
    <m/>
    <m/>
  </r>
  <r>
    <x v="1"/>
    <x v="1"/>
    <x v="4"/>
    <n v="10"/>
    <m/>
    <m/>
    <m/>
    <m/>
    <m/>
    <m/>
    <m/>
  </r>
  <r>
    <x v="1"/>
    <x v="1"/>
    <x v="5"/>
    <n v="2"/>
    <m/>
    <m/>
    <m/>
    <m/>
    <m/>
    <m/>
    <m/>
  </r>
  <r>
    <x v="1"/>
    <x v="1"/>
    <x v="7"/>
    <n v="8"/>
    <m/>
    <m/>
    <m/>
    <m/>
    <m/>
    <m/>
    <m/>
  </r>
  <r>
    <x v="1"/>
    <x v="1"/>
    <x v="8"/>
    <n v="14"/>
    <m/>
    <m/>
    <m/>
    <m/>
    <m/>
    <m/>
    <m/>
  </r>
  <r>
    <x v="1"/>
    <x v="1"/>
    <x v="9"/>
    <n v="10"/>
    <m/>
    <m/>
    <m/>
    <m/>
    <m/>
    <m/>
    <m/>
  </r>
  <r>
    <x v="1"/>
    <x v="1"/>
    <x v="10"/>
    <n v="4"/>
    <m/>
    <m/>
    <m/>
    <m/>
    <m/>
    <m/>
    <m/>
  </r>
  <r>
    <x v="1"/>
    <x v="1"/>
    <x v="11"/>
    <n v="16"/>
    <m/>
    <m/>
    <m/>
    <m/>
    <m/>
    <m/>
    <m/>
  </r>
  <r>
    <x v="1"/>
    <x v="1"/>
    <x v="12"/>
    <n v="8"/>
    <m/>
    <m/>
    <m/>
    <m/>
    <m/>
    <m/>
    <m/>
  </r>
  <r>
    <x v="1"/>
    <x v="1"/>
    <x v="13"/>
    <n v="10"/>
    <m/>
    <m/>
    <m/>
    <m/>
    <m/>
    <m/>
    <m/>
  </r>
  <r>
    <x v="1"/>
    <x v="1"/>
    <x v="14"/>
    <n v="20"/>
    <m/>
    <m/>
    <m/>
    <m/>
    <m/>
    <m/>
    <m/>
  </r>
  <r>
    <x v="1"/>
    <x v="1"/>
    <x v="15"/>
    <n v="12"/>
    <m/>
    <m/>
    <m/>
    <m/>
    <m/>
    <m/>
    <m/>
  </r>
  <r>
    <x v="1"/>
    <x v="1"/>
    <x v="16"/>
    <n v="8"/>
    <m/>
    <m/>
    <m/>
    <m/>
    <m/>
    <m/>
    <m/>
  </r>
  <r>
    <x v="1"/>
    <x v="1"/>
    <x v="17"/>
    <n v="12"/>
    <m/>
    <m/>
    <m/>
    <m/>
    <m/>
    <m/>
    <m/>
  </r>
  <r>
    <x v="2"/>
    <x v="1"/>
    <x v="44"/>
    <n v="2"/>
    <m/>
    <m/>
    <m/>
    <m/>
    <m/>
    <m/>
    <m/>
  </r>
  <r>
    <x v="2"/>
    <x v="1"/>
    <x v="0"/>
    <n v="4"/>
    <m/>
    <m/>
    <m/>
    <m/>
    <m/>
    <m/>
    <m/>
  </r>
  <r>
    <x v="2"/>
    <x v="1"/>
    <x v="11"/>
    <n v="7"/>
    <m/>
    <m/>
    <m/>
    <m/>
    <m/>
    <m/>
    <m/>
  </r>
  <r>
    <x v="3"/>
    <x v="1"/>
    <x v="14"/>
    <n v="3"/>
    <m/>
    <m/>
    <m/>
    <m/>
    <m/>
    <m/>
    <m/>
  </r>
  <r>
    <x v="3"/>
    <x v="1"/>
    <x v="19"/>
    <n v="8"/>
    <m/>
    <m/>
    <m/>
    <m/>
    <m/>
    <m/>
    <m/>
  </r>
  <r>
    <x v="3"/>
    <x v="1"/>
    <x v="20"/>
    <n v="1"/>
    <m/>
    <m/>
    <m/>
    <m/>
    <m/>
    <m/>
    <m/>
  </r>
  <r>
    <x v="3"/>
    <x v="1"/>
    <x v="22"/>
    <n v="5"/>
    <m/>
    <m/>
    <m/>
    <m/>
    <m/>
    <m/>
    <m/>
  </r>
  <r>
    <x v="3"/>
    <x v="1"/>
    <x v="23"/>
    <n v="8"/>
    <m/>
    <m/>
    <m/>
    <m/>
    <m/>
    <m/>
    <m/>
  </r>
  <r>
    <x v="3"/>
    <x v="1"/>
    <x v="24"/>
    <n v="1"/>
    <m/>
    <m/>
    <m/>
    <m/>
    <m/>
    <m/>
    <m/>
  </r>
  <r>
    <x v="3"/>
    <x v="1"/>
    <x v="26"/>
    <n v="1"/>
    <m/>
    <m/>
    <m/>
    <m/>
    <m/>
    <m/>
    <m/>
  </r>
  <r>
    <x v="4"/>
    <x v="1"/>
    <x v="1"/>
    <n v="20"/>
    <m/>
    <m/>
    <m/>
    <m/>
    <m/>
    <m/>
    <m/>
  </r>
  <r>
    <x v="4"/>
    <x v="1"/>
    <x v="31"/>
    <n v="30"/>
    <m/>
    <m/>
    <m/>
    <m/>
    <m/>
    <m/>
    <m/>
  </r>
  <r>
    <x v="4"/>
    <x v="1"/>
    <x v="45"/>
    <n v="30"/>
    <m/>
    <m/>
    <m/>
    <m/>
    <m/>
    <m/>
    <m/>
  </r>
  <r>
    <x v="4"/>
    <x v="1"/>
    <x v="4"/>
    <n v="30"/>
    <m/>
    <m/>
    <m/>
    <m/>
    <m/>
    <m/>
    <m/>
  </r>
  <r>
    <x v="4"/>
    <x v="1"/>
    <x v="46"/>
    <n v="30"/>
    <m/>
    <m/>
    <m/>
    <m/>
    <m/>
    <m/>
    <m/>
  </r>
  <r>
    <x v="4"/>
    <x v="1"/>
    <x v="8"/>
    <n v="30"/>
    <m/>
    <m/>
    <m/>
    <m/>
    <m/>
    <m/>
    <m/>
  </r>
  <r>
    <x v="4"/>
    <x v="1"/>
    <x v="47"/>
    <n v="30"/>
    <m/>
    <m/>
    <m/>
    <m/>
    <m/>
    <m/>
    <m/>
  </r>
  <r>
    <x v="4"/>
    <x v="1"/>
    <x v="48"/>
    <n v="20"/>
    <m/>
    <m/>
    <m/>
    <m/>
    <m/>
    <m/>
    <m/>
  </r>
  <r>
    <x v="4"/>
    <x v="1"/>
    <x v="49"/>
    <n v="15"/>
    <m/>
    <m/>
    <m/>
    <m/>
    <m/>
    <m/>
    <m/>
  </r>
  <r>
    <x v="4"/>
    <x v="1"/>
    <x v="50"/>
    <n v="15"/>
    <m/>
    <m/>
    <m/>
    <m/>
    <m/>
    <m/>
    <m/>
  </r>
  <r>
    <x v="4"/>
    <x v="1"/>
    <x v="44"/>
    <n v="30"/>
    <m/>
    <m/>
    <m/>
    <m/>
    <m/>
    <m/>
    <m/>
  </r>
  <r>
    <x v="4"/>
    <x v="1"/>
    <x v="0"/>
    <n v="30"/>
    <m/>
    <m/>
    <m/>
    <m/>
    <m/>
    <m/>
    <m/>
  </r>
  <r>
    <x v="4"/>
    <x v="1"/>
    <x v="51"/>
    <n v="20"/>
    <m/>
    <m/>
    <m/>
    <m/>
    <m/>
    <m/>
    <m/>
  </r>
  <r>
    <x v="4"/>
    <x v="1"/>
    <x v="52"/>
    <n v="30"/>
    <m/>
    <m/>
    <m/>
    <m/>
    <m/>
    <m/>
    <m/>
  </r>
  <r>
    <x v="4"/>
    <x v="1"/>
    <x v="12"/>
    <n v="20"/>
    <m/>
    <m/>
    <m/>
    <m/>
    <m/>
    <m/>
    <m/>
  </r>
  <r>
    <x v="4"/>
    <x v="1"/>
    <x v="15"/>
    <n v="30"/>
    <m/>
    <m/>
    <m/>
    <m/>
    <m/>
    <m/>
    <m/>
  </r>
  <r>
    <x v="4"/>
    <x v="1"/>
    <x v="53"/>
    <n v="25"/>
    <m/>
    <m/>
    <m/>
    <m/>
    <m/>
    <m/>
    <m/>
  </r>
  <r>
    <x v="4"/>
    <x v="1"/>
    <x v="54"/>
    <n v="30"/>
    <m/>
    <m/>
    <m/>
    <m/>
    <m/>
    <m/>
    <m/>
  </r>
  <r>
    <x v="4"/>
    <x v="1"/>
    <x v="16"/>
    <n v="21"/>
    <m/>
    <m/>
    <m/>
    <m/>
    <m/>
    <m/>
    <m/>
  </r>
  <r>
    <x v="4"/>
    <x v="1"/>
    <x v="17"/>
    <n v="20"/>
    <m/>
    <m/>
    <m/>
    <m/>
    <m/>
    <m/>
    <m/>
  </r>
  <r>
    <x v="4"/>
    <x v="1"/>
    <x v="55"/>
    <n v="20"/>
    <m/>
    <m/>
    <m/>
    <m/>
    <m/>
    <m/>
    <m/>
  </r>
  <r>
    <x v="4"/>
    <x v="1"/>
    <x v="40"/>
    <n v="10"/>
    <m/>
    <m/>
    <m/>
    <m/>
    <m/>
    <m/>
    <m/>
  </r>
  <r>
    <x v="4"/>
    <x v="1"/>
    <x v="56"/>
    <n v="30"/>
    <m/>
    <m/>
    <m/>
    <m/>
    <m/>
    <m/>
    <m/>
  </r>
  <r>
    <x v="4"/>
    <x v="1"/>
    <x v="57"/>
    <n v="30"/>
    <m/>
    <m/>
    <m/>
    <m/>
    <m/>
    <m/>
    <m/>
  </r>
  <r>
    <x v="4"/>
    <x v="1"/>
    <x v="58"/>
    <n v="30"/>
    <m/>
    <m/>
    <m/>
    <m/>
    <m/>
    <m/>
    <m/>
  </r>
  <r>
    <x v="4"/>
    <x v="1"/>
    <x v="15"/>
    <n v="30"/>
    <m/>
    <m/>
    <m/>
    <m/>
    <m/>
    <m/>
    <m/>
  </r>
  <r>
    <x v="4"/>
    <x v="1"/>
    <x v="41"/>
    <n v="20"/>
    <m/>
    <m/>
    <m/>
    <m/>
    <m/>
    <m/>
    <m/>
  </r>
  <r>
    <x v="4"/>
    <x v="1"/>
    <x v="49"/>
    <n v="15"/>
    <m/>
    <m/>
    <m/>
    <m/>
    <m/>
    <m/>
    <m/>
  </r>
  <r>
    <x v="4"/>
    <x v="1"/>
    <x v="59"/>
    <n v="30"/>
    <m/>
    <m/>
    <m/>
    <m/>
    <m/>
    <m/>
    <m/>
  </r>
  <r>
    <x v="5"/>
    <x v="1"/>
    <x v="60"/>
    <n v="40"/>
    <m/>
    <m/>
    <m/>
    <m/>
    <m/>
    <m/>
    <m/>
  </r>
  <r>
    <x v="5"/>
    <x v="1"/>
    <x v="61"/>
    <n v="40"/>
    <m/>
    <m/>
    <m/>
    <m/>
    <m/>
    <m/>
    <m/>
  </r>
  <r>
    <x v="5"/>
    <x v="1"/>
    <x v="28"/>
    <n v="40"/>
    <m/>
    <m/>
    <m/>
    <m/>
    <m/>
    <m/>
    <m/>
  </r>
  <r>
    <x v="5"/>
    <x v="1"/>
    <x v="62"/>
    <n v="40"/>
    <m/>
    <m/>
    <m/>
    <m/>
    <m/>
    <m/>
    <m/>
  </r>
  <r>
    <x v="5"/>
    <x v="1"/>
    <x v="63"/>
    <n v="40"/>
    <m/>
    <m/>
    <m/>
    <m/>
    <m/>
    <m/>
    <m/>
  </r>
  <r>
    <x v="5"/>
    <x v="1"/>
    <x v="64"/>
    <n v="40"/>
    <m/>
    <m/>
    <m/>
    <m/>
    <m/>
    <m/>
    <m/>
  </r>
  <r>
    <x v="5"/>
    <x v="1"/>
    <x v="65"/>
    <n v="40"/>
    <m/>
    <m/>
    <m/>
    <m/>
    <m/>
    <m/>
    <m/>
  </r>
  <r>
    <x v="0"/>
    <x v="2"/>
    <x v="66"/>
    <n v="14"/>
    <m/>
    <m/>
    <m/>
    <m/>
    <m/>
    <m/>
    <m/>
  </r>
  <r>
    <x v="0"/>
    <x v="2"/>
    <x v="34"/>
    <n v="4"/>
    <m/>
    <m/>
    <m/>
    <m/>
    <m/>
    <m/>
    <m/>
  </r>
  <r>
    <x v="0"/>
    <x v="2"/>
    <x v="0"/>
    <n v="25"/>
    <m/>
    <m/>
    <m/>
    <m/>
    <m/>
    <m/>
    <m/>
  </r>
  <r>
    <x v="0"/>
    <x v="2"/>
    <x v="36"/>
    <n v="1"/>
    <m/>
    <m/>
    <m/>
    <m/>
    <m/>
    <m/>
    <m/>
  </r>
  <r>
    <x v="1"/>
    <x v="2"/>
    <x v="1"/>
    <n v="10"/>
    <m/>
    <m/>
    <m/>
    <m/>
    <m/>
    <m/>
    <m/>
  </r>
  <r>
    <x v="1"/>
    <x v="2"/>
    <x v="2"/>
    <n v="10"/>
    <m/>
    <m/>
    <m/>
    <m/>
    <m/>
    <m/>
    <m/>
  </r>
  <r>
    <x v="1"/>
    <x v="2"/>
    <x v="3"/>
    <n v="20"/>
    <m/>
    <m/>
    <m/>
    <m/>
    <m/>
    <m/>
    <m/>
  </r>
  <r>
    <x v="1"/>
    <x v="2"/>
    <x v="4"/>
    <n v="10"/>
    <m/>
    <m/>
    <m/>
    <m/>
    <m/>
    <m/>
    <m/>
  </r>
  <r>
    <x v="1"/>
    <x v="2"/>
    <x v="5"/>
    <n v="4"/>
    <m/>
    <m/>
    <m/>
    <m/>
    <m/>
    <m/>
    <m/>
  </r>
  <r>
    <x v="1"/>
    <x v="2"/>
    <x v="6"/>
    <n v="1"/>
    <m/>
    <m/>
    <m/>
    <m/>
    <m/>
    <m/>
    <m/>
  </r>
  <r>
    <x v="1"/>
    <x v="2"/>
    <x v="7"/>
    <n v="6"/>
    <m/>
    <m/>
    <m/>
    <m/>
    <m/>
    <m/>
    <m/>
  </r>
  <r>
    <x v="1"/>
    <x v="2"/>
    <x v="8"/>
    <n v="10"/>
    <m/>
    <m/>
    <m/>
    <m/>
    <m/>
    <m/>
    <m/>
  </r>
  <r>
    <x v="1"/>
    <x v="2"/>
    <x v="9"/>
    <n v="10"/>
    <m/>
    <m/>
    <m/>
    <m/>
    <m/>
    <m/>
    <m/>
  </r>
  <r>
    <x v="1"/>
    <x v="2"/>
    <x v="10"/>
    <n v="4"/>
    <m/>
    <m/>
    <m/>
    <m/>
    <m/>
    <m/>
    <m/>
  </r>
  <r>
    <x v="1"/>
    <x v="2"/>
    <x v="11"/>
    <n v="16"/>
    <m/>
    <m/>
    <m/>
    <m/>
    <m/>
    <m/>
    <m/>
  </r>
  <r>
    <x v="1"/>
    <x v="2"/>
    <x v="12"/>
    <n v="6"/>
    <m/>
    <m/>
    <m/>
    <m/>
    <m/>
    <m/>
    <m/>
  </r>
  <r>
    <x v="1"/>
    <x v="2"/>
    <x v="13"/>
    <n v="10"/>
    <m/>
    <m/>
    <m/>
    <m/>
    <m/>
    <m/>
    <m/>
  </r>
  <r>
    <x v="1"/>
    <x v="2"/>
    <x v="14"/>
    <n v="16"/>
    <m/>
    <m/>
    <m/>
    <m/>
    <m/>
    <m/>
    <m/>
  </r>
  <r>
    <x v="1"/>
    <x v="2"/>
    <x v="15"/>
    <n v="12"/>
    <m/>
    <m/>
    <m/>
    <m/>
    <m/>
    <m/>
    <m/>
  </r>
  <r>
    <x v="1"/>
    <x v="2"/>
    <x v="16"/>
    <n v="6"/>
    <m/>
    <m/>
    <m/>
    <m/>
    <m/>
    <m/>
    <m/>
  </r>
  <r>
    <x v="1"/>
    <x v="2"/>
    <x v="17"/>
    <n v="10"/>
    <m/>
    <m/>
    <m/>
    <m/>
    <m/>
    <m/>
    <m/>
  </r>
  <r>
    <x v="6"/>
    <x v="2"/>
    <x v="19"/>
    <n v="2"/>
    <m/>
    <m/>
    <m/>
    <m/>
    <m/>
    <m/>
    <m/>
  </r>
  <r>
    <x v="2"/>
    <x v="2"/>
    <x v="2"/>
    <n v="7"/>
    <m/>
    <m/>
    <m/>
    <m/>
    <m/>
    <m/>
    <m/>
  </r>
  <r>
    <x v="2"/>
    <x v="2"/>
    <x v="3"/>
    <n v="6"/>
    <m/>
    <m/>
    <m/>
    <m/>
    <m/>
    <m/>
    <m/>
  </r>
  <r>
    <x v="2"/>
    <x v="2"/>
    <x v="67"/>
    <n v="1"/>
    <m/>
    <m/>
    <m/>
    <m/>
    <m/>
    <m/>
    <m/>
  </r>
  <r>
    <x v="2"/>
    <x v="2"/>
    <x v="68"/>
    <n v="10"/>
    <m/>
    <m/>
    <m/>
    <m/>
    <m/>
    <m/>
    <m/>
  </r>
  <r>
    <x v="2"/>
    <x v="2"/>
    <x v="44"/>
    <n v="2"/>
    <m/>
    <m/>
    <m/>
    <m/>
    <m/>
    <m/>
    <m/>
  </r>
  <r>
    <x v="2"/>
    <x v="2"/>
    <x v="0"/>
    <n v="11"/>
    <m/>
    <m/>
    <m/>
    <m/>
    <m/>
    <m/>
    <m/>
  </r>
  <r>
    <x v="2"/>
    <x v="2"/>
    <x v="11"/>
    <n v="12"/>
    <m/>
    <m/>
    <m/>
    <m/>
    <m/>
    <m/>
    <m/>
  </r>
  <r>
    <x v="2"/>
    <x v="2"/>
    <x v="15"/>
    <n v="2"/>
    <m/>
    <m/>
    <m/>
    <m/>
    <m/>
    <m/>
    <m/>
  </r>
  <r>
    <x v="2"/>
    <x v="2"/>
    <x v="17"/>
    <n v="2"/>
    <m/>
    <m/>
    <m/>
    <m/>
    <m/>
    <m/>
    <m/>
  </r>
  <r>
    <x v="7"/>
    <x v="2"/>
    <x v="19"/>
    <n v="2"/>
    <m/>
    <m/>
    <m/>
    <m/>
    <m/>
    <m/>
    <m/>
  </r>
  <r>
    <x v="3"/>
    <x v="2"/>
    <x v="18"/>
    <n v="2"/>
    <m/>
    <m/>
    <m/>
    <m/>
    <m/>
    <m/>
    <m/>
  </r>
  <r>
    <x v="3"/>
    <x v="2"/>
    <x v="14"/>
    <n v="15"/>
    <m/>
    <m/>
    <m/>
    <m/>
    <m/>
    <m/>
    <m/>
  </r>
  <r>
    <x v="3"/>
    <x v="2"/>
    <x v="19"/>
    <n v="8"/>
    <m/>
    <m/>
    <m/>
    <m/>
    <m/>
    <m/>
    <m/>
  </r>
  <r>
    <x v="3"/>
    <x v="2"/>
    <x v="69"/>
    <n v="3"/>
    <m/>
    <m/>
    <m/>
    <m/>
    <m/>
    <m/>
    <m/>
  </r>
  <r>
    <x v="3"/>
    <x v="2"/>
    <x v="21"/>
    <n v="50"/>
    <m/>
    <m/>
    <m/>
    <m/>
    <m/>
    <m/>
    <m/>
  </r>
  <r>
    <x v="3"/>
    <x v="2"/>
    <x v="22"/>
    <n v="5"/>
    <m/>
    <m/>
    <m/>
    <m/>
    <m/>
    <m/>
    <m/>
  </r>
  <r>
    <x v="3"/>
    <x v="2"/>
    <x v="24"/>
    <n v="25"/>
    <m/>
    <m/>
    <m/>
    <m/>
    <m/>
    <m/>
    <m/>
  </r>
  <r>
    <x v="3"/>
    <x v="2"/>
    <x v="26"/>
    <n v="3"/>
    <m/>
    <m/>
    <m/>
    <m/>
    <m/>
    <m/>
    <m/>
  </r>
  <r>
    <x v="3"/>
    <x v="2"/>
    <x v="70"/>
    <n v="10"/>
    <m/>
    <m/>
    <m/>
    <m/>
    <m/>
    <m/>
    <m/>
  </r>
  <r>
    <x v="3"/>
    <x v="2"/>
    <x v="27"/>
    <n v="2"/>
    <m/>
    <m/>
    <m/>
    <m/>
    <m/>
    <m/>
    <m/>
  </r>
  <r>
    <x v="3"/>
    <x v="2"/>
    <x v="28"/>
    <n v="10"/>
    <m/>
    <m/>
    <m/>
    <m/>
    <m/>
    <m/>
    <m/>
  </r>
  <r>
    <x v="3"/>
    <x v="2"/>
    <x v="29"/>
    <n v="2"/>
    <m/>
    <m/>
    <m/>
    <m/>
    <m/>
    <m/>
    <m/>
  </r>
  <r>
    <x v="8"/>
    <x v="2"/>
    <x v="30"/>
    <n v="2"/>
    <m/>
    <m/>
    <m/>
    <m/>
    <m/>
    <m/>
    <m/>
  </r>
  <r>
    <x v="8"/>
    <x v="2"/>
    <x v="1"/>
    <n v="2"/>
    <m/>
    <m/>
    <m/>
    <m/>
    <m/>
    <m/>
    <m/>
  </r>
  <r>
    <x v="8"/>
    <x v="2"/>
    <x v="2"/>
    <n v="12"/>
    <m/>
    <m/>
    <m/>
    <m/>
    <m/>
    <m/>
    <m/>
  </r>
  <r>
    <x v="8"/>
    <x v="2"/>
    <x v="31"/>
    <n v="1"/>
    <m/>
    <m/>
    <m/>
    <m/>
    <m/>
    <m/>
    <m/>
  </r>
  <r>
    <x v="8"/>
    <x v="2"/>
    <x v="3"/>
    <n v="7"/>
    <m/>
    <m/>
    <m/>
    <m/>
    <m/>
    <m/>
    <m/>
  </r>
  <r>
    <x v="8"/>
    <x v="2"/>
    <x v="71"/>
    <n v="2"/>
    <m/>
    <m/>
    <m/>
    <m/>
    <m/>
    <m/>
    <m/>
  </r>
  <r>
    <x v="8"/>
    <x v="2"/>
    <x v="72"/>
    <n v="2"/>
    <m/>
    <m/>
    <m/>
    <m/>
    <m/>
    <m/>
    <m/>
  </r>
  <r>
    <x v="8"/>
    <x v="2"/>
    <x v="4"/>
    <n v="9"/>
    <m/>
    <m/>
    <m/>
    <m/>
    <m/>
    <m/>
    <m/>
  </r>
  <r>
    <x v="8"/>
    <x v="2"/>
    <x v="73"/>
    <n v="1"/>
    <m/>
    <m/>
    <m/>
    <m/>
    <m/>
    <m/>
    <m/>
  </r>
  <r>
    <x v="8"/>
    <x v="2"/>
    <x v="6"/>
    <n v="2"/>
    <m/>
    <m/>
    <m/>
    <m/>
    <m/>
    <m/>
    <m/>
  </r>
  <r>
    <x v="8"/>
    <x v="2"/>
    <x v="74"/>
    <n v="2"/>
    <m/>
    <m/>
    <m/>
    <m/>
    <m/>
    <m/>
    <m/>
  </r>
  <r>
    <x v="8"/>
    <x v="2"/>
    <x v="7"/>
    <n v="3"/>
    <m/>
    <m/>
    <m/>
    <m/>
    <m/>
    <m/>
    <m/>
  </r>
  <r>
    <x v="8"/>
    <x v="2"/>
    <x v="75"/>
    <n v="3"/>
    <m/>
    <m/>
    <m/>
    <m/>
    <m/>
    <m/>
    <m/>
  </r>
  <r>
    <x v="8"/>
    <x v="2"/>
    <x v="76"/>
    <n v="3"/>
    <m/>
    <m/>
    <m/>
    <m/>
    <m/>
    <m/>
    <m/>
  </r>
  <r>
    <x v="8"/>
    <x v="2"/>
    <x v="8"/>
    <n v="2"/>
    <m/>
    <m/>
    <m/>
    <m/>
    <m/>
    <m/>
    <m/>
  </r>
  <r>
    <x v="8"/>
    <x v="2"/>
    <x v="32"/>
    <n v="1"/>
    <m/>
    <m/>
    <m/>
    <m/>
    <m/>
    <m/>
    <m/>
  </r>
  <r>
    <x v="8"/>
    <x v="2"/>
    <x v="66"/>
    <n v="3"/>
    <m/>
    <m/>
    <m/>
    <m/>
    <m/>
    <m/>
    <m/>
  </r>
  <r>
    <x v="8"/>
    <x v="2"/>
    <x v="49"/>
    <n v="3"/>
    <m/>
    <m/>
    <m/>
    <m/>
    <m/>
    <m/>
    <m/>
  </r>
  <r>
    <x v="8"/>
    <x v="2"/>
    <x v="39"/>
    <n v="1"/>
    <m/>
    <m/>
    <m/>
    <m/>
    <m/>
    <m/>
    <m/>
  </r>
  <r>
    <x v="8"/>
    <x v="2"/>
    <x v="9"/>
    <n v="4"/>
    <m/>
    <m/>
    <m/>
    <m/>
    <m/>
    <m/>
    <m/>
  </r>
  <r>
    <x v="8"/>
    <x v="2"/>
    <x v="34"/>
    <n v="1"/>
    <m/>
    <m/>
    <m/>
    <m/>
    <m/>
    <m/>
    <m/>
  </r>
  <r>
    <x v="8"/>
    <x v="2"/>
    <x v="77"/>
    <n v="2"/>
    <m/>
    <m/>
    <m/>
    <m/>
    <m/>
    <m/>
    <m/>
  </r>
  <r>
    <x v="8"/>
    <x v="2"/>
    <x v="50"/>
    <n v="2"/>
    <m/>
    <m/>
    <m/>
    <m/>
    <m/>
    <m/>
    <m/>
  </r>
  <r>
    <x v="8"/>
    <x v="2"/>
    <x v="35"/>
    <n v="3"/>
    <m/>
    <m/>
    <m/>
    <m/>
    <m/>
    <m/>
    <m/>
  </r>
  <r>
    <x v="8"/>
    <x v="2"/>
    <x v="78"/>
    <n v="3"/>
    <m/>
    <m/>
    <m/>
    <m/>
    <m/>
    <m/>
    <m/>
  </r>
  <r>
    <x v="8"/>
    <x v="2"/>
    <x v="44"/>
    <n v="4"/>
    <m/>
    <m/>
    <m/>
    <m/>
    <m/>
    <m/>
    <m/>
  </r>
  <r>
    <x v="8"/>
    <x v="2"/>
    <x v="0"/>
    <n v="6"/>
    <m/>
    <m/>
    <m/>
    <m/>
    <m/>
    <m/>
    <m/>
  </r>
  <r>
    <x v="8"/>
    <x v="2"/>
    <x v="52"/>
    <n v="3"/>
    <m/>
    <m/>
    <m/>
    <m/>
    <m/>
    <m/>
    <m/>
  </r>
  <r>
    <x v="8"/>
    <x v="2"/>
    <x v="11"/>
    <n v="2"/>
    <m/>
    <m/>
    <m/>
    <m/>
    <m/>
    <m/>
    <m/>
  </r>
  <r>
    <x v="8"/>
    <x v="2"/>
    <x v="12"/>
    <n v="1"/>
    <m/>
    <m/>
    <m/>
    <m/>
    <m/>
    <m/>
    <m/>
  </r>
  <r>
    <x v="8"/>
    <x v="2"/>
    <x v="79"/>
    <n v="2"/>
    <m/>
    <m/>
    <m/>
    <m/>
    <m/>
    <m/>
    <m/>
  </r>
  <r>
    <x v="8"/>
    <x v="2"/>
    <x v="38"/>
    <n v="7"/>
    <m/>
    <m/>
    <m/>
    <m/>
    <m/>
    <m/>
    <m/>
  </r>
  <r>
    <x v="8"/>
    <x v="2"/>
    <x v="14"/>
    <n v="21"/>
    <m/>
    <m/>
    <m/>
    <m/>
    <m/>
    <m/>
    <m/>
  </r>
  <r>
    <x v="8"/>
    <x v="2"/>
    <x v="15"/>
    <n v="13"/>
    <m/>
    <m/>
    <m/>
    <m/>
    <m/>
    <m/>
    <m/>
  </r>
  <r>
    <x v="8"/>
    <x v="2"/>
    <x v="80"/>
    <n v="7"/>
    <m/>
    <m/>
    <m/>
    <m/>
    <m/>
    <m/>
    <m/>
  </r>
  <r>
    <x v="8"/>
    <x v="2"/>
    <x v="40"/>
    <n v="2"/>
    <m/>
    <m/>
    <m/>
    <m/>
    <m/>
    <m/>
    <m/>
  </r>
  <r>
    <x v="8"/>
    <x v="2"/>
    <x v="81"/>
    <n v="5"/>
    <m/>
    <m/>
    <m/>
    <m/>
    <m/>
    <m/>
    <m/>
  </r>
  <r>
    <x v="8"/>
    <x v="2"/>
    <x v="16"/>
    <n v="5"/>
    <m/>
    <m/>
    <m/>
    <m/>
    <m/>
    <m/>
    <m/>
  </r>
  <r>
    <x v="8"/>
    <x v="2"/>
    <x v="17"/>
    <n v="17"/>
    <m/>
    <m/>
    <m/>
    <m/>
    <m/>
    <m/>
    <m/>
  </r>
  <r>
    <x v="4"/>
    <x v="2"/>
    <x v="30"/>
    <n v="25"/>
    <m/>
    <m/>
    <m/>
    <m/>
    <m/>
    <m/>
    <m/>
  </r>
  <r>
    <x v="4"/>
    <x v="2"/>
    <x v="1"/>
    <n v="20"/>
    <m/>
    <m/>
    <m/>
    <m/>
    <m/>
    <m/>
    <m/>
  </r>
  <r>
    <x v="4"/>
    <x v="2"/>
    <x v="2"/>
    <n v="30"/>
    <m/>
    <m/>
    <m/>
    <m/>
    <m/>
    <m/>
    <m/>
  </r>
  <r>
    <x v="4"/>
    <x v="2"/>
    <x v="31"/>
    <n v="30"/>
    <m/>
    <m/>
    <m/>
    <m/>
    <m/>
    <m/>
    <m/>
  </r>
  <r>
    <x v="4"/>
    <x v="2"/>
    <x v="3"/>
    <n v="30"/>
    <m/>
    <m/>
    <m/>
    <m/>
    <m/>
    <m/>
    <m/>
  </r>
  <r>
    <x v="4"/>
    <x v="2"/>
    <x v="18"/>
    <n v="30"/>
    <m/>
    <m/>
    <m/>
    <m/>
    <m/>
    <m/>
    <m/>
  </r>
  <r>
    <x v="4"/>
    <x v="2"/>
    <x v="67"/>
    <n v="15"/>
    <m/>
    <m/>
    <m/>
    <m/>
    <m/>
    <m/>
    <m/>
  </r>
  <r>
    <x v="4"/>
    <x v="2"/>
    <x v="45"/>
    <n v="25"/>
    <m/>
    <m/>
    <m/>
    <m/>
    <m/>
    <m/>
    <m/>
  </r>
  <r>
    <x v="4"/>
    <x v="2"/>
    <x v="4"/>
    <n v="30"/>
    <m/>
    <m/>
    <m/>
    <m/>
    <m/>
    <m/>
    <m/>
  </r>
  <r>
    <x v="4"/>
    <x v="2"/>
    <x v="68"/>
    <n v="25"/>
    <m/>
    <m/>
    <m/>
    <m/>
    <m/>
    <m/>
    <m/>
  </r>
  <r>
    <x v="4"/>
    <x v="2"/>
    <x v="6"/>
    <n v="30"/>
    <m/>
    <m/>
    <m/>
    <m/>
    <m/>
    <m/>
    <m/>
  </r>
  <r>
    <x v="4"/>
    <x v="2"/>
    <x v="7"/>
    <n v="5"/>
    <m/>
    <m/>
    <m/>
    <m/>
    <m/>
    <m/>
    <m/>
  </r>
  <r>
    <x v="4"/>
    <x v="2"/>
    <x v="75"/>
    <n v="20"/>
    <m/>
    <m/>
    <m/>
    <m/>
    <m/>
    <m/>
    <m/>
  </r>
  <r>
    <x v="4"/>
    <x v="2"/>
    <x v="46"/>
    <n v="25"/>
    <m/>
    <m/>
    <m/>
    <m/>
    <m/>
    <m/>
    <m/>
  </r>
  <r>
    <x v="4"/>
    <x v="2"/>
    <x v="8"/>
    <n v="30"/>
    <m/>
    <m/>
    <m/>
    <m/>
    <m/>
    <m/>
    <m/>
  </r>
  <r>
    <x v="4"/>
    <x v="2"/>
    <x v="9"/>
    <n v="10"/>
    <m/>
    <m/>
    <m/>
    <m/>
    <m/>
    <m/>
    <m/>
  </r>
  <r>
    <x v="4"/>
    <x v="2"/>
    <x v="50"/>
    <n v="30"/>
    <m/>
    <m/>
    <m/>
    <m/>
    <m/>
    <m/>
    <m/>
  </r>
  <r>
    <x v="4"/>
    <x v="2"/>
    <x v="35"/>
    <n v="25"/>
    <m/>
    <m/>
    <m/>
    <m/>
    <m/>
    <m/>
    <m/>
  </r>
  <r>
    <x v="4"/>
    <x v="2"/>
    <x v="44"/>
    <n v="25"/>
    <m/>
    <m/>
    <m/>
    <m/>
    <m/>
    <m/>
    <m/>
  </r>
  <r>
    <x v="4"/>
    <x v="2"/>
    <x v="0"/>
    <n v="30"/>
    <m/>
    <m/>
    <m/>
    <m/>
    <m/>
    <m/>
    <m/>
  </r>
  <r>
    <x v="4"/>
    <x v="2"/>
    <x v="10"/>
    <n v="30"/>
    <m/>
    <m/>
    <m/>
    <m/>
    <m/>
    <m/>
    <m/>
  </r>
  <r>
    <x v="4"/>
    <x v="2"/>
    <x v="52"/>
    <n v="25"/>
    <m/>
    <m/>
    <m/>
    <m/>
    <m/>
    <m/>
    <m/>
  </r>
  <r>
    <x v="4"/>
    <x v="2"/>
    <x v="11"/>
    <n v="30"/>
    <m/>
    <m/>
    <m/>
    <m/>
    <m/>
    <m/>
    <m/>
  </r>
  <r>
    <x v="4"/>
    <x v="2"/>
    <x v="36"/>
    <n v="10"/>
    <m/>
    <m/>
    <m/>
    <m/>
    <m/>
    <m/>
    <m/>
  </r>
  <r>
    <x v="4"/>
    <x v="2"/>
    <x v="37"/>
    <n v="28"/>
    <m/>
    <m/>
    <m/>
    <m/>
    <m/>
    <m/>
    <m/>
  </r>
  <r>
    <x v="4"/>
    <x v="2"/>
    <x v="38"/>
    <n v="30"/>
    <m/>
    <m/>
    <m/>
    <m/>
    <m/>
    <m/>
    <m/>
  </r>
  <r>
    <x v="4"/>
    <x v="2"/>
    <x v="14"/>
    <n v="30"/>
    <m/>
    <m/>
    <m/>
    <m/>
    <m/>
    <m/>
    <m/>
  </r>
  <r>
    <x v="4"/>
    <x v="2"/>
    <x v="15"/>
    <n v="25"/>
    <m/>
    <m/>
    <m/>
    <m/>
    <m/>
    <m/>
    <m/>
  </r>
  <r>
    <x v="4"/>
    <x v="2"/>
    <x v="80"/>
    <n v="30"/>
    <m/>
    <m/>
    <m/>
    <m/>
    <m/>
    <m/>
    <m/>
  </r>
  <r>
    <x v="4"/>
    <x v="2"/>
    <x v="53"/>
    <n v="25"/>
    <m/>
    <m/>
    <m/>
    <m/>
    <m/>
    <m/>
    <m/>
  </r>
  <r>
    <x v="4"/>
    <x v="2"/>
    <x v="17"/>
    <n v="22"/>
    <m/>
    <m/>
    <m/>
    <m/>
    <m/>
    <m/>
    <m/>
  </r>
  <r>
    <x v="4"/>
    <x v="2"/>
    <x v="40"/>
    <n v="5"/>
    <m/>
    <m/>
    <m/>
    <m/>
    <m/>
    <m/>
    <m/>
  </r>
  <r>
    <x v="4"/>
    <x v="2"/>
    <x v="41"/>
    <n v="20"/>
    <m/>
    <m/>
    <m/>
    <m/>
    <m/>
    <m/>
    <m/>
  </r>
  <r>
    <x v="4"/>
    <x v="2"/>
    <x v="59"/>
    <n v="2"/>
    <m/>
    <m/>
    <m/>
    <m/>
    <m/>
    <m/>
    <m/>
  </r>
  <r>
    <x v="4"/>
    <x v="2"/>
    <x v="79"/>
    <n v="20"/>
    <m/>
    <m/>
    <m/>
    <m/>
    <m/>
    <m/>
    <m/>
  </r>
  <r>
    <x v="4"/>
    <x v="2"/>
    <x v="73"/>
    <n v="20"/>
    <m/>
    <m/>
    <m/>
    <m/>
    <m/>
    <m/>
    <m/>
  </r>
  <r>
    <x v="4"/>
    <x v="2"/>
    <x v="82"/>
    <n v="4"/>
    <m/>
    <m/>
    <m/>
    <m/>
    <m/>
    <m/>
    <m/>
  </r>
  <r>
    <x v="0"/>
    <x v="3"/>
    <x v="66"/>
    <n v="14"/>
    <m/>
    <m/>
    <m/>
    <m/>
    <m/>
    <m/>
    <m/>
  </r>
  <r>
    <x v="0"/>
    <x v="3"/>
    <x v="34"/>
    <n v="4"/>
    <m/>
    <m/>
    <m/>
    <m/>
    <m/>
    <m/>
    <m/>
  </r>
  <r>
    <x v="0"/>
    <x v="3"/>
    <x v="0"/>
    <n v="11"/>
    <m/>
    <m/>
    <m/>
    <m/>
    <m/>
    <m/>
    <m/>
  </r>
  <r>
    <x v="0"/>
    <x v="3"/>
    <x v="36"/>
    <n v="1"/>
    <m/>
    <m/>
    <m/>
    <m/>
    <m/>
    <m/>
    <m/>
  </r>
  <r>
    <x v="2"/>
    <x v="3"/>
    <x v="2"/>
    <n v="2"/>
    <m/>
    <m/>
    <m/>
    <m/>
    <m/>
    <m/>
    <m/>
  </r>
  <r>
    <x v="2"/>
    <x v="3"/>
    <x v="3"/>
    <n v="22"/>
    <m/>
    <m/>
    <m/>
    <m/>
    <m/>
    <m/>
    <m/>
  </r>
  <r>
    <x v="2"/>
    <x v="3"/>
    <x v="67"/>
    <n v="2"/>
    <m/>
    <m/>
    <m/>
    <m/>
    <m/>
    <m/>
    <m/>
  </r>
  <r>
    <x v="2"/>
    <x v="3"/>
    <x v="68"/>
    <n v="30"/>
    <m/>
    <m/>
    <m/>
    <m/>
    <m/>
    <m/>
    <m/>
  </r>
  <r>
    <x v="2"/>
    <x v="3"/>
    <x v="34"/>
    <n v="1"/>
    <m/>
    <m/>
    <m/>
    <m/>
    <m/>
    <m/>
    <m/>
  </r>
  <r>
    <x v="2"/>
    <x v="3"/>
    <x v="0"/>
    <n v="10"/>
    <m/>
    <m/>
    <m/>
    <m/>
    <m/>
    <m/>
    <m/>
  </r>
  <r>
    <x v="2"/>
    <x v="3"/>
    <x v="11"/>
    <n v="19"/>
    <m/>
    <m/>
    <m/>
    <m/>
    <m/>
    <m/>
    <m/>
  </r>
  <r>
    <x v="2"/>
    <x v="3"/>
    <x v="15"/>
    <n v="10"/>
    <m/>
    <m/>
    <m/>
    <m/>
    <m/>
    <m/>
    <m/>
  </r>
  <r>
    <x v="2"/>
    <x v="3"/>
    <x v="17"/>
    <n v="9"/>
    <m/>
    <m/>
    <m/>
    <m/>
    <m/>
    <m/>
    <m/>
  </r>
  <r>
    <x v="3"/>
    <x v="3"/>
    <x v="18"/>
    <n v="2"/>
    <m/>
    <m/>
    <m/>
    <m/>
    <m/>
    <m/>
    <m/>
  </r>
  <r>
    <x v="3"/>
    <x v="3"/>
    <x v="14"/>
    <n v="12"/>
    <m/>
    <m/>
    <m/>
    <m/>
    <m/>
    <m/>
    <m/>
  </r>
  <r>
    <x v="3"/>
    <x v="3"/>
    <x v="20"/>
    <n v="2"/>
    <m/>
    <m/>
    <m/>
    <m/>
    <m/>
    <m/>
    <m/>
  </r>
  <r>
    <x v="3"/>
    <x v="3"/>
    <x v="21"/>
    <n v="50"/>
    <m/>
    <m/>
    <m/>
    <m/>
    <m/>
    <m/>
    <m/>
  </r>
  <r>
    <x v="3"/>
    <x v="3"/>
    <x v="24"/>
    <n v="3"/>
    <m/>
    <m/>
    <m/>
    <m/>
    <m/>
    <m/>
    <m/>
  </r>
  <r>
    <x v="3"/>
    <x v="3"/>
    <x v="26"/>
    <n v="2"/>
    <m/>
    <m/>
    <m/>
    <m/>
    <m/>
    <m/>
    <m/>
  </r>
  <r>
    <x v="3"/>
    <x v="3"/>
    <x v="27"/>
    <n v="2"/>
    <m/>
    <m/>
    <m/>
    <m/>
    <m/>
    <m/>
    <m/>
  </r>
  <r>
    <x v="3"/>
    <x v="3"/>
    <x v="28"/>
    <n v="10"/>
    <m/>
    <m/>
    <m/>
    <m/>
    <m/>
    <m/>
    <m/>
  </r>
  <r>
    <x v="3"/>
    <x v="3"/>
    <x v="29"/>
    <n v="2"/>
    <m/>
    <m/>
    <m/>
    <m/>
    <m/>
    <m/>
    <m/>
  </r>
  <r>
    <x v="8"/>
    <x v="3"/>
    <x v="1"/>
    <n v="2"/>
    <m/>
    <m/>
    <m/>
    <m/>
    <m/>
    <m/>
    <m/>
  </r>
  <r>
    <x v="8"/>
    <x v="3"/>
    <x v="2"/>
    <n v="5"/>
    <m/>
    <m/>
    <m/>
    <m/>
    <m/>
    <m/>
    <m/>
  </r>
  <r>
    <x v="8"/>
    <x v="3"/>
    <x v="31"/>
    <n v="2"/>
    <m/>
    <m/>
    <m/>
    <m/>
    <m/>
    <m/>
    <m/>
  </r>
  <r>
    <x v="8"/>
    <x v="3"/>
    <x v="3"/>
    <n v="2"/>
    <m/>
    <m/>
    <m/>
    <m/>
    <m/>
    <m/>
    <m/>
  </r>
  <r>
    <x v="8"/>
    <x v="3"/>
    <x v="72"/>
    <n v="8"/>
    <m/>
    <m/>
    <m/>
    <m/>
    <m/>
    <m/>
    <m/>
  </r>
  <r>
    <x v="8"/>
    <x v="3"/>
    <x v="5"/>
    <n v="3"/>
    <m/>
    <m/>
    <m/>
    <m/>
    <m/>
    <m/>
    <m/>
  </r>
  <r>
    <x v="8"/>
    <x v="3"/>
    <x v="73"/>
    <n v="1"/>
    <m/>
    <m/>
    <m/>
    <m/>
    <m/>
    <m/>
    <m/>
  </r>
  <r>
    <x v="8"/>
    <x v="3"/>
    <x v="6"/>
    <n v="2"/>
    <m/>
    <m/>
    <m/>
    <m/>
    <m/>
    <m/>
    <m/>
  </r>
  <r>
    <x v="8"/>
    <x v="3"/>
    <x v="76"/>
    <n v="3"/>
    <m/>
    <m/>
    <m/>
    <m/>
    <m/>
    <m/>
    <m/>
  </r>
  <r>
    <x v="8"/>
    <x v="3"/>
    <x v="32"/>
    <n v="4"/>
    <m/>
    <m/>
    <m/>
    <m/>
    <m/>
    <m/>
    <m/>
  </r>
  <r>
    <x v="8"/>
    <x v="3"/>
    <x v="83"/>
    <n v="4"/>
    <m/>
    <m/>
    <m/>
    <m/>
    <m/>
    <m/>
    <m/>
  </r>
  <r>
    <x v="8"/>
    <x v="3"/>
    <x v="66"/>
    <n v="5"/>
    <m/>
    <m/>
    <m/>
    <m/>
    <m/>
    <m/>
    <m/>
  </r>
  <r>
    <x v="8"/>
    <x v="3"/>
    <x v="39"/>
    <n v="2"/>
    <m/>
    <m/>
    <m/>
    <m/>
    <m/>
    <m/>
    <m/>
  </r>
  <r>
    <x v="8"/>
    <x v="3"/>
    <x v="33"/>
    <n v="2"/>
    <m/>
    <m/>
    <m/>
    <m/>
    <m/>
    <m/>
    <m/>
  </r>
  <r>
    <x v="8"/>
    <x v="3"/>
    <x v="84"/>
    <n v="2"/>
    <m/>
    <m/>
    <m/>
    <m/>
    <m/>
    <m/>
    <m/>
  </r>
  <r>
    <x v="8"/>
    <x v="3"/>
    <x v="34"/>
    <n v="9"/>
    <m/>
    <m/>
    <m/>
    <m/>
    <m/>
    <m/>
    <m/>
  </r>
  <r>
    <x v="8"/>
    <x v="3"/>
    <x v="50"/>
    <n v="2"/>
    <m/>
    <m/>
    <m/>
    <m/>
    <m/>
    <m/>
    <m/>
  </r>
  <r>
    <x v="8"/>
    <x v="3"/>
    <x v="0"/>
    <n v="7"/>
    <m/>
    <m/>
    <m/>
    <m/>
    <m/>
    <m/>
    <m/>
  </r>
  <r>
    <x v="8"/>
    <x v="3"/>
    <x v="51"/>
    <n v="3"/>
    <m/>
    <m/>
    <m/>
    <m/>
    <m/>
    <m/>
    <m/>
  </r>
  <r>
    <x v="8"/>
    <x v="3"/>
    <x v="52"/>
    <n v="4"/>
    <m/>
    <m/>
    <m/>
    <m/>
    <m/>
    <m/>
    <m/>
  </r>
  <r>
    <x v="8"/>
    <x v="3"/>
    <x v="11"/>
    <n v="10"/>
    <m/>
    <m/>
    <m/>
    <m/>
    <m/>
    <m/>
    <m/>
  </r>
  <r>
    <x v="8"/>
    <x v="3"/>
    <x v="12"/>
    <n v="4"/>
    <m/>
    <m/>
    <m/>
    <m/>
    <m/>
    <m/>
    <m/>
  </r>
  <r>
    <x v="8"/>
    <x v="3"/>
    <x v="38"/>
    <n v="1"/>
    <m/>
    <m/>
    <m/>
    <m/>
    <m/>
    <m/>
    <m/>
  </r>
  <r>
    <x v="8"/>
    <x v="3"/>
    <x v="15"/>
    <n v="1"/>
    <m/>
    <m/>
    <m/>
    <m/>
    <m/>
    <m/>
    <m/>
  </r>
  <r>
    <x v="8"/>
    <x v="3"/>
    <x v="80"/>
    <n v="5"/>
    <m/>
    <m/>
    <m/>
    <m/>
    <m/>
    <m/>
    <m/>
  </r>
  <r>
    <x v="8"/>
    <x v="3"/>
    <x v="53"/>
    <n v="2"/>
    <m/>
    <m/>
    <m/>
    <m/>
    <m/>
    <m/>
    <m/>
  </r>
  <r>
    <x v="8"/>
    <x v="3"/>
    <x v="54"/>
    <n v="3"/>
    <m/>
    <m/>
    <m/>
    <m/>
    <m/>
    <m/>
    <m/>
  </r>
  <r>
    <x v="8"/>
    <x v="3"/>
    <x v="17"/>
    <n v="8"/>
    <m/>
    <m/>
    <m/>
    <m/>
    <m/>
    <m/>
    <m/>
  </r>
  <r>
    <x v="4"/>
    <x v="3"/>
    <x v="1"/>
    <n v="20"/>
    <m/>
    <m/>
    <m/>
    <m/>
    <m/>
    <m/>
    <m/>
  </r>
  <r>
    <x v="4"/>
    <x v="3"/>
    <x v="2"/>
    <n v="25"/>
    <m/>
    <m/>
    <m/>
    <m/>
    <m/>
    <m/>
    <m/>
  </r>
  <r>
    <x v="4"/>
    <x v="3"/>
    <x v="31"/>
    <n v="30"/>
    <m/>
    <m/>
    <m/>
    <m/>
    <m/>
    <m/>
    <m/>
  </r>
  <r>
    <x v="4"/>
    <x v="3"/>
    <x v="3"/>
    <n v="30"/>
    <m/>
    <m/>
    <m/>
    <m/>
    <m/>
    <m/>
    <m/>
  </r>
  <r>
    <x v="4"/>
    <x v="3"/>
    <x v="18"/>
    <n v="30"/>
    <m/>
    <m/>
    <m/>
    <m/>
    <m/>
    <m/>
    <m/>
  </r>
  <r>
    <x v="4"/>
    <x v="3"/>
    <x v="67"/>
    <n v="15"/>
    <m/>
    <m/>
    <m/>
    <m/>
    <m/>
    <m/>
    <m/>
  </r>
  <r>
    <x v="4"/>
    <x v="3"/>
    <x v="45"/>
    <n v="30"/>
    <m/>
    <m/>
    <m/>
    <m/>
    <m/>
    <m/>
    <m/>
  </r>
  <r>
    <x v="4"/>
    <x v="3"/>
    <x v="4"/>
    <n v="30"/>
    <m/>
    <m/>
    <m/>
    <m/>
    <m/>
    <m/>
    <m/>
  </r>
  <r>
    <x v="4"/>
    <x v="3"/>
    <x v="5"/>
    <n v="25"/>
    <m/>
    <m/>
    <m/>
    <m/>
    <m/>
    <m/>
    <m/>
  </r>
  <r>
    <x v="4"/>
    <x v="3"/>
    <x v="68"/>
    <n v="30"/>
    <m/>
    <m/>
    <m/>
    <m/>
    <m/>
    <m/>
    <m/>
  </r>
  <r>
    <x v="4"/>
    <x v="3"/>
    <x v="6"/>
    <n v="30"/>
    <m/>
    <m/>
    <m/>
    <m/>
    <m/>
    <m/>
    <m/>
  </r>
  <r>
    <x v="4"/>
    <x v="3"/>
    <x v="46"/>
    <n v="30"/>
    <m/>
    <m/>
    <m/>
    <m/>
    <m/>
    <m/>
    <m/>
  </r>
  <r>
    <x v="4"/>
    <x v="3"/>
    <x v="8"/>
    <n v="30"/>
    <m/>
    <m/>
    <m/>
    <m/>
    <m/>
    <m/>
    <m/>
  </r>
  <r>
    <x v="4"/>
    <x v="3"/>
    <x v="83"/>
    <n v="25"/>
    <m/>
    <m/>
    <m/>
    <m/>
    <m/>
    <m/>
    <m/>
  </r>
  <r>
    <x v="4"/>
    <x v="3"/>
    <x v="48"/>
    <n v="20"/>
    <m/>
    <m/>
    <m/>
    <m/>
    <m/>
    <m/>
    <m/>
  </r>
  <r>
    <x v="4"/>
    <x v="3"/>
    <x v="9"/>
    <n v="5"/>
    <m/>
    <m/>
    <m/>
    <m/>
    <m/>
    <m/>
    <m/>
  </r>
  <r>
    <x v="4"/>
    <x v="3"/>
    <x v="50"/>
    <n v="30"/>
    <m/>
    <m/>
    <m/>
    <m/>
    <m/>
    <m/>
    <m/>
  </r>
  <r>
    <x v="4"/>
    <x v="3"/>
    <x v="35"/>
    <n v="30"/>
    <m/>
    <m/>
    <m/>
    <m/>
    <m/>
    <m/>
    <m/>
  </r>
  <r>
    <x v="4"/>
    <x v="3"/>
    <x v="44"/>
    <n v="30"/>
    <m/>
    <m/>
    <m/>
    <m/>
    <m/>
    <m/>
    <m/>
  </r>
  <r>
    <x v="4"/>
    <x v="3"/>
    <x v="0"/>
    <n v="30"/>
    <m/>
    <m/>
    <m/>
    <m/>
    <m/>
    <m/>
    <m/>
  </r>
  <r>
    <x v="4"/>
    <x v="3"/>
    <x v="10"/>
    <n v="30"/>
    <m/>
    <m/>
    <m/>
    <m/>
    <m/>
    <m/>
    <m/>
  </r>
  <r>
    <x v="4"/>
    <x v="3"/>
    <x v="52"/>
    <n v="30"/>
    <m/>
    <m/>
    <m/>
    <m/>
    <m/>
    <m/>
    <m/>
  </r>
  <r>
    <x v="4"/>
    <x v="3"/>
    <x v="11"/>
    <n v="30"/>
    <m/>
    <m/>
    <m/>
    <m/>
    <m/>
    <m/>
    <m/>
  </r>
  <r>
    <x v="4"/>
    <x v="3"/>
    <x v="36"/>
    <n v="10"/>
    <m/>
    <m/>
    <m/>
    <m/>
    <m/>
    <m/>
    <m/>
  </r>
  <r>
    <x v="4"/>
    <x v="3"/>
    <x v="37"/>
    <n v="30"/>
    <m/>
    <m/>
    <m/>
    <m/>
    <m/>
    <m/>
    <m/>
  </r>
  <r>
    <x v="4"/>
    <x v="3"/>
    <x v="38"/>
    <n v="30"/>
    <m/>
    <m/>
    <m/>
    <m/>
    <m/>
    <m/>
    <m/>
  </r>
  <r>
    <x v="4"/>
    <x v="3"/>
    <x v="14"/>
    <n v="25"/>
    <m/>
    <m/>
    <m/>
    <m/>
    <m/>
    <m/>
    <m/>
  </r>
  <r>
    <x v="4"/>
    <x v="3"/>
    <x v="15"/>
    <n v="25"/>
    <m/>
    <m/>
    <m/>
    <m/>
    <m/>
    <m/>
    <m/>
  </r>
  <r>
    <x v="4"/>
    <x v="3"/>
    <x v="80"/>
    <n v="30"/>
    <m/>
    <m/>
    <m/>
    <m/>
    <m/>
    <m/>
    <m/>
  </r>
  <r>
    <x v="4"/>
    <x v="3"/>
    <x v="53"/>
    <n v="25"/>
    <m/>
    <m/>
    <m/>
    <m/>
    <m/>
    <m/>
    <m/>
  </r>
  <r>
    <x v="4"/>
    <x v="3"/>
    <x v="16"/>
    <n v="21"/>
    <m/>
    <m/>
    <m/>
    <m/>
    <m/>
    <m/>
    <m/>
  </r>
  <r>
    <x v="4"/>
    <x v="3"/>
    <x v="17"/>
    <n v="31"/>
    <m/>
    <m/>
    <m/>
    <m/>
    <m/>
    <m/>
    <m/>
  </r>
  <r>
    <x v="4"/>
    <x v="3"/>
    <x v="85"/>
    <n v="25"/>
    <m/>
    <m/>
    <m/>
    <m/>
    <m/>
    <m/>
    <m/>
  </r>
  <r>
    <x v="4"/>
    <x v="3"/>
    <x v="40"/>
    <n v="5"/>
    <m/>
    <m/>
    <m/>
    <m/>
    <m/>
    <m/>
    <m/>
  </r>
  <r>
    <x v="4"/>
    <x v="3"/>
    <x v="41"/>
    <n v="60"/>
    <m/>
    <m/>
    <m/>
    <m/>
    <m/>
    <m/>
    <m/>
  </r>
  <r>
    <x v="4"/>
    <x v="3"/>
    <x v="59"/>
    <n v="35"/>
    <m/>
    <m/>
    <m/>
    <m/>
    <m/>
    <m/>
    <m/>
  </r>
  <r>
    <x v="4"/>
    <x v="3"/>
    <x v="79"/>
    <n v="15"/>
    <m/>
    <m/>
    <m/>
    <m/>
    <m/>
    <m/>
    <m/>
  </r>
  <r>
    <x v="4"/>
    <x v="3"/>
    <x v="73"/>
    <n v="15"/>
    <m/>
    <m/>
    <m/>
    <m/>
    <m/>
    <m/>
    <m/>
  </r>
  <r>
    <x v="0"/>
    <x v="4"/>
    <x v="34"/>
    <n v="2"/>
    <m/>
    <m/>
    <m/>
    <m/>
    <m/>
    <m/>
    <m/>
  </r>
  <r>
    <x v="0"/>
    <x v="4"/>
    <x v="0"/>
    <n v="17"/>
    <m/>
    <m/>
    <m/>
    <m/>
    <m/>
    <m/>
    <m/>
  </r>
  <r>
    <x v="2"/>
    <x v="4"/>
    <x v="3"/>
    <n v="4"/>
    <m/>
    <m/>
    <m/>
    <m/>
    <m/>
    <m/>
    <m/>
  </r>
  <r>
    <x v="2"/>
    <x v="4"/>
    <x v="86"/>
    <n v="1"/>
    <m/>
    <m/>
    <m/>
    <m/>
    <m/>
    <m/>
    <m/>
  </r>
  <r>
    <x v="2"/>
    <x v="4"/>
    <x v="35"/>
    <n v="1"/>
    <m/>
    <m/>
    <m/>
    <m/>
    <m/>
    <m/>
    <m/>
  </r>
  <r>
    <x v="2"/>
    <x v="4"/>
    <x v="44"/>
    <n v="2"/>
    <m/>
    <m/>
    <m/>
    <m/>
    <m/>
    <m/>
    <m/>
  </r>
  <r>
    <x v="2"/>
    <x v="4"/>
    <x v="0"/>
    <n v="7"/>
    <m/>
    <m/>
    <m/>
    <m/>
    <m/>
    <m/>
    <m/>
  </r>
  <r>
    <x v="2"/>
    <x v="4"/>
    <x v="11"/>
    <n v="21"/>
    <m/>
    <m/>
    <m/>
    <m/>
    <m/>
    <m/>
    <m/>
  </r>
  <r>
    <x v="2"/>
    <x v="4"/>
    <x v="15"/>
    <n v="8"/>
    <m/>
    <m/>
    <m/>
    <m/>
    <m/>
    <m/>
    <m/>
  </r>
  <r>
    <x v="2"/>
    <x v="4"/>
    <x v="17"/>
    <n v="4"/>
    <m/>
    <m/>
    <m/>
    <m/>
    <m/>
    <m/>
    <m/>
  </r>
  <r>
    <x v="3"/>
    <x v="4"/>
    <x v="18"/>
    <n v="2"/>
    <m/>
    <m/>
    <m/>
    <m/>
    <m/>
    <m/>
    <m/>
  </r>
  <r>
    <x v="3"/>
    <x v="4"/>
    <x v="14"/>
    <n v="15"/>
    <m/>
    <m/>
    <m/>
    <m/>
    <m/>
    <m/>
    <m/>
  </r>
  <r>
    <x v="3"/>
    <x v="4"/>
    <x v="19"/>
    <n v="5"/>
    <m/>
    <m/>
    <m/>
    <m/>
    <m/>
    <m/>
    <m/>
  </r>
  <r>
    <x v="3"/>
    <x v="4"/>
    <x v="20"/>
    <n v="2"/>
    <m/>
    <m/>
    <m/>
    <m/>
    <m/>
    <m/>
    <m/>
  </r>
  <r>
    <x v="3"/>
    <x v="4"/>
    <x v="69"/>
    <n v="3"/>
    <m/>
    <m/>
    <m/>
    <m/>
    <m/>
    <m/>
    <m/>
  </r>
  <r>
    <x v="3"/>
    <x v="4"/>
    <x v="21"/>
    <n v="15"/>
    <m/>
    <m/>
    <m/>
    <m/>
    <m/>
    <m/>
    <m/>
  </r>
  <r>
    <x v="3"/>
    <x v="4"/>
    <x v="22"/>
    <n v="3"/>
    <m/>
    <m/>
    <m/>
    <m/>
    <m/>
    <m/>
    <m/>
  </r>
  <r>
    <x v="3"/>
    <x v="4"/>
    <x v="24"/>
    <n v="2"/>
    <m/>
    <m/>
    <m/>
    <m/>
    <m/>
    <m/>
    <m/>
  </r>
  <r>
    <x v="3"/>
    <x v="4"/>
    <x v="26"/>
    <n v="3"/>
    <m/>
    <m/>
    <m/>
    <m/>
    <m/>
    <m/>
    <m/>
  </r>
  <r>
    <x v="3"/>
    <x v="4"/>
    <x v="43"/>
    <n v="11"/>
    <m/>
    <m/>
    <m/>
    <m/>
    <m/>
    <m/>
    <m/>
  </r>
  <r>
    <x v="3"/>
    <x v="4"/>
    <x v="87"/>
    <n v="1"/>
    <m/>
    <m/>
    <m/>
    <m/>
    <m/>
    <m/>
    <m/>
  </r>
  <r>
    <x v="3"/>
    <x v="4"/>
    <x v="27"/>
    <n v="2"/>
    <m/>
    <m/>
    <m/>
    <m/>
    <m/>
    <m/>
    <m/>
  </r>
  <r>
    <x v="3"/>
    <x v="4"/>
    <x v="28"/>
    <n v="10"/>
    <m/>
    <m/>
    <m/>
    <m/>
    <m/>
    <m/>
    <m/>
  </r>
  <r>
    <x v="3"/>
    <x v="4"/>
    <x v="29"/>
    <n v="2"/>
    <m/>
    <m/>
    <m/>
    <m/>
    <m/>
    <m/>
    <m/>
  </r>
  <r>
    <x v="4"/>
    <x v="4"/>
    <x v="1"/>
    <n v="20"/>
    <m/>
    <m/>
    <m/>
    <m/>
    <m/>
    <m/>
    <m/>
  </r>
  <r>
    <x v="4"/>
    <x v="4"/>
    <x v="31"/>
    <n v="30"/>
    <m/>
    <m/>
    <m/>
    <m/>
    <m/>
    <m/>
    <m/>
  </r>
  <r>
    <x v="4"/>
    <x v="4"/>
    <x v="3"/>
    <n v="30"/>
    <m/>
    <m/>
    <m/>
    <m/>
    <m/>
    <m/>
    <m/>
  </r>
  <r>
    <x v="4"/>
    <x v="4"/>
    <x v="18"/>
    <n v="30"/>
    <m/>
    <m/>
    <m/>
    <m/>
    <m/>
    <m/>
    <m/>
  </r>
  <r>
    <x v="4"/>
    <x v="4"/>
    <x v="67"/>
    <n v="15"/>
    <m/>
    <m/>
    <m/>
    <m/>
    <m/>
    <m/>
    <m/>
  </r>
  <r>
    <x v="4"/>
    <x v="4"/>
    <x v="4"/>
    <n v="25"/>
    <m/>
    <m/>
    <m/>
    <m/>
    <m/>
    <m/>
    <m/>
  </r>
  <r>
    <x v="4"/>
    <x v="4"/>
    <x v="6"/>
    <n v="30"/>
    <m/>
    <m/>
    <m/>
    <m/>
    <m/>
    <m/>
    <m/>
  </r>
  <r>
    <x v="4"/>
    <x v="4"/>
    <x v="75"/>
    <n v="20"/>
    <m/>
    <m/>
    <m/>
    <m/>
    <m/>
    <m/>
    <m/>
  </r>
  <r>
    <x v="4"/>
    <x v="4"/>
    <x v="8"/>
    <n v="30"/>
    <m/>
    <m/>
    <m/>
    <m/>
    <m/>
    <m/>
    <m/>
  </r>
  <r>
    <x v="4"/>
    <x v="4"/>
    <x v="83"/>
    <n v="30"/>
    <m/>
    <m/>
    <m/>
    <m/>
    <m/>
    <m/>
    <m/>
  </r>
  <r>
    <x v="4"/>
    <x v="4"/>
    <x v="49"/>
    <n v="2"/>
    <m/>
    <m/>
    <m/>
    <m/>
    <m/>
    <m/>
    <m/>
  </r>
  <r>
    <x v="4"/>
    <x v="4"/>
    <x v="86"/>
    <n v="1"/>
    <m/>
    <m/>
    <m/>
    <m/>
    <m/>
    <m/>
    <m/>
  </r>
  <r>
    <x v="4"/>
    <x v="4"/>
    <x v="9"/>
    <n v="10"/>
    <m/>
    <m/>
    <m/>
    <m/>
    <m/>
    <m/>
    <m/>
  </r>
  <r>
    <x v="4"/>
    <x v="4"/>
    <x v="34"/>
    <n v="30"/>
    <m/>
    <m/>
    <m/>
    <m/>
    <m/>
    <m/>
    <m/>
  </r>
  <r>
    <x v="4"/>
    <x v="4"/>
    <x v="0"/>
    <n v="4"/>
    <m/>
    <m/>
    <m/>
    <m/>
    <m/>
    <m/>
    <m/>
  </r>
  <r>
    <x v="4"/>
    <x v="4"/>
    <x v="10"/>
    <n v="30"/>
    <m/>
    <m/>
    <m/>
    <m/>
    <m/>
    <m/>
    <m/>
  </r>
  <r>
    <x v="4"/>
    <x v="4"/>
    <x v="11"/>
    <n v="30"/>
    <m/>
    <m/>
    <m/>
    <m/>
    <m/>
    <m/>
    <m/>
  </r>
  <r>
    <x v="4"/>
    <x v="4"/>
    <x v="36"/>
    <n v="15"/>
    <m/>
    <m/>
    <m/>
    <m/>
    <m/>
    <m/>
    <m/>
  </r>
  <r>
    <x v="4"/>
    <x v="4"/>
    <x v="37"/>
    <n v="5"/>
    <m/>
    <m/>
    <m/>
    <m/>
    <m/>
    <m/>
    <m/>
  </r>
  <r>
    <x v="4"/>
    <x v="4"/>
    <x v="14"/>
    <n v="30"/>
    <m/>
    <m/>
    <m/>
    <m/>
    <m/>
    <m/>
    <m/>
  </r>
  <r>
    <x v="4"/>
    <x v="4"/>
    <x v="15"/>
    <n v="26"/>
    <m/>
    <m/>
    <m/>
    <m/>
    <m/>
    <m/>
    <m/>
  </r>
  <r>
    <x v="4"/>
    <x v="4"/>
    <x v="17"/>
    <n v="24"/>
    <m/>
    <m/>
    <m/>
    <m/>
    <m/>
    <m/>
    <m/>
  </r>
  <r>
    <x v="4"/>
    <x v="4"/>
    <x v="76"/>
    <n v="30"/>
    <m/>
    <m/>
    <m/>
    <m/>
    <m/>
    <m/>
    <m/>
  </r>
  <r>
    <x v="4"/>
    <x v="4"/>
    <x v="39"/>
    <n v="30"/>
    <m/>
    <m/>
    <m/>
    <m/>
    <m/>
    <m/>
    <m/>
  </r>
  <r>
    <x v="4"/>
    <x v="4"/>
    <x v="85"/>
    <n v="30"/>
    <m/>
    <m/>
    <m/>
    <m/>
    <m/>
    <m/>
    <m/>
  </r>
  <r>
    <x v="4"/>
    <x v="4"/>
    <x v="40"/>
    <n v="10"/>
    <m/>
    <m/>
    <m/>
    <m/>
    <m/>
    <m/>
    <m/>
  </r>
  <r>
    <x v="4"/>
    <x v="4"/>
    <x v="41"/>
    <n v="20"/>
    <m/>
    <m/>
    <m/>
    <m/>
    <m/>
    <m/>
    <m/>
  </r>
  <r>
    <x v="4"/>
    <x v="4"/>
    <x v="49"/>
    <n v="2"/>
    <m/>
    <m/>
    <m/>
    <m/>
    <m/>
    <m/>
    <m/>
  </r>
  <r>
    <x v="4"/>
    <x v="4"/>
    <x v="59"/>
    <n v="2"/>
    <m/>
    <m/>
    <m/>
    <m/>
    <m/>
    <m/>
    <m/>
  </r>
  <r>
    <x v="0"/>
    <x v="5"/>
    <x v="34"/>
    <n v="2"/>
    <m/>
    <m/>
    <m/>
    <m/>
    <m/>
    <m/>
    <m/>
  </r>
  <r>
    <x v="0"/>
    <x v="5"/>
    <x v="0"/>
    <n v="5"/>
    <m/>
    <m/>
    <m/>
    <m/>
    <m/>
    <m/>
    <m/>
  </r>
  <r>
    <x v="2"/>
    <x v="5"/>
    <x v="68"/>
    <n v="30"/>
    <m/>
    <m/>
    <m/>
    <m/>
    <m/>
    <m/>
    <m/>
  </r>
  <r>
    <x v="2"/>
    <x v="5"/>
    <x v="86"/>
    <n v="3"/>
    <m/>
    <m/>
    <m/>
    <m/>
    <m/>
    <m/>
    <m/>
  </r>
  <r>
    <x v="2"/>
    <x v="5"/>
    <x v="0"/>
    <n v="4"/>
    <m/>
    <m/>
    <m/>
    <m/>
    <m/>
    <m/>
    <m/>
  </r>
  <r>
    <x v="2"/>
    <x v="5"/>
    <x v="11"/>
    <n v="11"/>
    <m/>
    <m/>
    <m/>
    <m/>
    <m/>
    <m/>
    <m/>
  </r>
  <r>
    <x v="3"/>
    <x v="5"/>
    <x v="20"/>
    <n v="2"/>
    <m/>
    <m/>
    <m/>
    <m/>
    <m/>
    <m/>
    <m/>
  </r>
  <r>
    <x v="3"/>
    <x v="5"/>
    <x v="69"/>
    <n v="3"/>
    <m/>
    <m/>
    <m/>
    <m/>
    <m/>
    <m/>
    <m/>
  </r>
  <r>
    <x v="3"/>
    <x v="5"/>
    <x v="21"/>
    <n v="15"/>
    <m/>
    <m/>
    <m/>
    <m/>
    <m/>
    <m/>
    <m/>
  </r>
  <r>
    <x v="3"/>
    <x v="5"/>
    <x v="24"/>
    <n v="5"/>
    <m/>
    <m/>
    <m/>
    <m/>
    <m/>
    <m/>
    <m/>
  </r>
  <r>
    <x v="3"/>
    <x v="5"/>
    <x v="26"/>
    <n v="1"/>
    <m/>
    <m/>
    <m/>
    <m/>
    <m/>
    <m/>
    <m/>
  </r>
  <r>
    <x v="3"/>
    <x v="5"/>
    <x v="43"/>
    <n v="5"/>
    <m/>
    <m/>
    <m/>
    <m/>
    <m/>
    <m/>
    <m/>
  </r>
  <r>
    <x v="3"/>
    <x v="5"/>
    <x v="70"/>
    <n v="10"/>
    <m/>
    <m/>
    <m/>
    <m/>
    <m/>
    <m/>
    <m/>
  </r>
  <r>
    <x v="4"/>
    <x v="5"/>
    <x v="1"/>
    <n v="20"/>
    <m/>
    <m/>
    <m/>
    <m/>
    <m/>
    <m/>
    <m/>
  </r>
  <r>
    <x v="4"/>
    <x v="5"/>
    <x v="31"/>
    <n v="30"/>
    <m/>
    <m/>
    <m/>
    <m/>
    <m/>
    <m/>
    <m/>
  </r>
  <r>
    <x v="4"/>
    <x v="5"/>
    <x v="18"/>
    <n v="30"/>
    <m/>
    <m/>
    <m/>
    <m/>
    <m/>
    <m/>
    <m/>
  </r>
  <r>
    <x v="4"/>
    <x v="5"/>
    <x v="67"/>
    <n v="15"/>
    <m/>
    <m/>
    <m/>
    <m/>
    <m/>
    <m/>
    <m/>
  </r>
  <r>
    <x v="4"/>
    <x v="5"/>
    <x v="45"/>
    <n v="30"/>
    <m/>
    <m/>
    <m/>
    <m/>
    <m/>
    <m/>
    <m/>
  </r>
  <r>
    <x v="4"/>
    <x v="5"/>
    <x v="4"/>
    <n v="25"/>
    <m/>
    <m/>
    <m/>
    <m/>
    <m/>
    <m/>
    <m/>
  </r>
  <r>
    <x v="4"/>
    <x v="5"/>
    <x v="68"/>
    <n v="30"/>
    <m/>
    <m/>
    <m/>
    <m/>
    <m/>
    <m/>
    <m/>
  </r>
  <r>
    <x v="4"/>
    <x v="5"/>
    <x v="6"/>
    <n v="30"/>
    <m/>
    <m/>
    <m/>
    <m/>
    <m/>
    <m/>
    <m/>
  </r>
  <r>
    <x v="4"/>
    <x v="5"/>
    <x v="7"/>
    <n v="5"/>
    <m/>
    <m/>
    <m/>
    <m/>
    <m/>
    <m/>
    <m/>
  </r>
  <r>
    <x v="4"/>
    <x v="5"/>
    <x v="46"/>
    <n v="30"/>
    <m/>
    <m/>
    <m/>
    <m/>
    <m/>
    <m/>
    <m/>
  </r>
  <r>
    <x v="4"/>
    <x v="5"/>
    <x v="8"/>
    <n v="30"/>
    <m/>
    <m/>
    <m/>
    <m/>
    <m/>
    <m/>
    <m/>
  </r>
  <r>
    <x v="4"/>
    <x v="5"/>
    <x v="47"/>
    <n v="30"/>
    <m/>
    <m/>
    <m/>
    <m/>
    <m/>
    <m/>
    <m/>
  </r>
  <r>
    <x v="4"/>
    <x v="5"/>
    <x v="49"/>
    <n v="2"/>
    <m/>
    <m/>
    <m/>
    <m/>
    <m/>
    <m/>
    <m/>
  </r>
  <r>
    <x v="4"/>
    <x v="5"/>
    <x v="86"/>
    <n v="3"/>
    <m/>
    <m/>
    <m/>
    <m/>
    <m/>
    <m/>
    <m/>
  </r>
  <r>
    <x v="4"/>
    <x v="5"/>
    <x v="9"/>
    <n v="15"/>
    <m/>
    <m/>
    <m/>
    <m/>
    <m/>
    <m/>
    <m/>
  </r>
  <r>
    <x v="4"/>
    <x v="5"/>
    <x v="35"/>
    <n v="30"/>
    <m/>
    <m/>
    <m/>
    <m/>
    <m/>
    <m/>
    <m/>
  </r>
  <r>
    <x v="4"/>
    <x v="5"/>
    <x v="44"/>
    <n v="30"/>
    <m/>
    <m/>
    <m/>
    <m/>
    <m/>
    <m/>
    <m/>
  </r>
  <r>
    <x v="4"/>
    <x v="5"/>
    <x v="0"/>
    <n v="30"/>
    <m/>
    <m/>
    <m/>
    <m/>
    <m/>
    <m/>
    <m/>
  </r>
  <r>
    <x v="4"/>
    <x v="5"/>
    <x v="10"/>
    <n v="30"/>
    <m/>
    <m/>
    <m/>
    <m/>
    <m/>
    <m/>
    <m/>
  </r>
  <r>
    <x v="4"/>
    <x v="5"/>
    <x v="52"/>
    <n v="30"/>
    <m/>
    <m/>
    <m/>
    <m/>
    <m/>
    <m/>
    <m/>
  </r>
  <r>
    <x v="4"/>
    <x v="5"/>
    <x v="11"/>
    <n v="30"/>
    <m/>
    <m/>
    <m/>
    <m/>
    <m/>
    <m/>
    <m/>
  </r>
  <r>
    <x v="4"/>
    <x v="5"/>
    <x v="36"/>
    <n v="10"/>
    <m/>
    <m/>
    <m/>
    <m/>
    <m/>
    <m/>
    <m/>
  </r>
  <r>
    <x v="4"/>
    <x v="5"/>
    <x v="37"/>
    <n v="30"/>
    <m/>
    <m/>
    <m/>
    <m/>
    <m/>
    <m/>
    <m/>
  </r>
  <r>
    <x v="4"/>
    <x v="5"/>
    <x v="14"/>
    <n v="15"/>
    <m/>
    <m/>
    <m/>
    <m/>
    <m/>
    <m/>
    <m/>
  </r>
  <r>
    <x v="4"/>
    <x v="5"/>
    <x v="15"/>
    <n v="20"/>
    <m/>
    <m/>
    <m/>
    <m/>
    <m/>
    <m/>
    <m/>
  </r>
  <r>
    <x v="4"/>
    <x v="5"/>
    <x v="54"/>
    <n v="30"/>
    <m/>
    <m/>
    <m/>
    <m/>
    <m/>
    <m/>
    <m/>
  </r>
  <r>
    <x v="4"/>
    <x v="5"/>
    <x v="16"/>
    <n v="21"/>
    <m/>
    <m/>
    <m/>
    <m/>
    <m/>
    <m/>
    <m/>
  </r>
  <r>
    <x v="4"/>
    <x v="5"/>
    <x v="17"/>
    <n v="20"/>
    <m/>
    <m/>
    <m/>
    <m/>
    <m/>
    <m/>
    <m/>
  </r>
  <r>
    <x v="4"/>
    <x v="5"/>
    <x v="40"/>
    <n v="10"/>
    <m/>
    <m/>
    <m/>
    <m/>
    <m/>
    <m/>
    <m/>
  </r>
  <r>
    <x v="4"/>
    <x v="5"/>
    <x v="41"/>
    <n v="20"/>
    <m/>
    <m/>
    <m/>
    <m/>
    <m/>
    <m/>
    <m/>
  </r>
  <r>
    <x v="4"/>
    <x v="5"/>
    <x v="49"/>
    <n v="2"/>
    <m/>
    <m/>
    <m/>
    <m/>
    <m/>
    <m/>
    <m/>
  </r>
  <r>
    <x v="4"/>
    <x v="5"/>
    <x v="59"/>
    <n v="6"/>
    <m/>
    <m/>
    <m/>
    <m/>
    <m/>
    <m/>
    <m/>
  </r>
  <r>
    <x v="0"/>
    <x v="6"/>
    <x v="34"/>
    <n v="2"/>
    <m/>
    <m/>
    <m/>
    <m/>
    <m/>
    <m/>
    <m/>
  </r>
  <r>
    <x v="0"/>
    <x v="6"/>
    <x v="0"/>
    <n v="13"/>
    <m/>
    <m/>
    <m/>
    <m/>
    <m/>
    <m/>
    <m/>
  </r>
  <r>
    <x v="2"/>
    <x v="6"/>
    <x v="46"/>
    <n v="1"/>
    <m/>
    <m/>
    <m/>
    <m/>
    <m/>
    <m/>
    <m/>
  </r>
  <r>
    <x v="2"/>
    <x v="6"/>
    <x v="86"/>
    <n v="1"/>
    <m/>
    <m/>
    <m/>
    <m/>
    <m/>
    <m/>
    <m/>
  </r>
  <r>
    <x v="2"/>
    <x v="6"/>
    <x v="0"/>
    <n v="7"/>
    <m/>
    <m/>
    <m/>
    <m/>
    <m/>
    <m/>
    <m/>
  </r>
  <r>
    <x v="2"/>
    <x v="6"/>
    <x v="11"/>
    <n v="24"/>
    <m/>
    <m/>
    <m/>
    <m/>
    <m/>
    <m/>
    <m/>
  </r>
  <r>
    <x v="2"/>
    <x v="6"/>
    <x v="15"/>
    <n v="2"/>
    <m/>
    <m/>
    <m/>
    <m/>
    <m/>
    <m/>
    <m/>
  </r>
  <r>
    <x v="2"/>
    <x v="6"/>
    <x v="17"/>
    <n v="4"/>
    <m/>
    <m/>
    <m/>
    <m/>
    <m/>
    <m/>
    <m/>
  </r>
  <r>
    <x v="3"/>
    <x v="6"/>
    <x v="14"/>
    <n v="3"/>
    <m/>
    <m/>
    <m/>
    <m/>
    <m/>
    <m/>
    <m/>
  </r>
  <r>
    <x v="3"/>
    <x v="6"/>
    <x v="19"/>
    <n v="5"/>
    <m/>
    <m/>
    <m/>
    <m/>
    <m/>
    <m/>
    <m/>
  </r>
  <r>
    <x v="3"/>
    <x v="6"/>
    <x v="69"/>
    <n v="3"/>
    <m/>
    <m/>
    <m/>
    <m/>
    <m/>
    <m/>
    <m/>
  </r>
  <r>
    <x v="3"/>
    <x v="6"/>
    <x v="21"/>
    <n v="10"/>
    <m/>
    <m/>
    <m/>
    <m/>
    <m/>
    <m/>
    <m/>
  </r>
  <r>
    <x v="3"/>
    <x v="6"/>
    <x v="22"/>
    <n v="3"/>
    <m/>
    <m/>
    <m/>
    <m/>
    <m/>
    <m/>
    <m/>
  </r>
  <r>
    <x v="3"/>
    <x v="6"/>
    <x v="26"/>
    <n v="1"/>
    <m/>
    <m/>
    <m/>
    <m/>
    <m/>
    <m/>
    <m/>
  </r>
  <r>
    <x v="3"/>
    <x v="6"/>
    <x v="43"/>
    <n v="11"/>
    <m/>
    <m/>
    <m/>
    <m/>
    <m/>
    <m/>
    <m/>
  </r>
  <r>
    <x v="4"/>
    <x v="6"/>
    <x v="1"/>
    <n v="20"/>
    <m/>
    <m/>
    <m/>
    <m/>
    <m/>
    <m/>
    <m/>
  </r>
  <r>
    <x v="4"/>
    <x v="6"/>
    <x v="31"/>
    <n v="30"/>
    <m/>
    <m/>
    <m/>
    <m/>
    <m/>
    <m/>
    <m/>
  </r>
  <r>
    <x v="4"/>
    <x v="6"/>
    <x v="18"/>
    <n v="20"/>
    <m/>
    <m/>
    <m/>
    <m/>
    <m/>
    <m/>
    <m/>
  </r>
  <r>
    <x v="4"/>
    <x v="6"/>
    <x v="4"/>
    <n v="25"/>
    <m/>
    <m/>
    <m/>
    <m/>
    <m/>
    <m/>
    <m/>
  </r>
  <r>
    <x v="4"/>
    <x v="6"/>
    <x v="6"/>
    <n v="30"/>
    <m/>
    <m/>
    <m/>
    <m/>
    <m/>
    <m/>
    <m/>
  </r>
  <r>
    <x v="4"/>
    <x v="6"/>
    <x v="7"/>
    <n v="5"/>
    <m/>
    <m/>
    <m/>
    <m/>
    <m/>
    <m/>
    <m/>
  </r>
  <r>
    <x v="4"/>
    <x v="6"/>
    <x v="75"/>
    <n v="20"/>
    <m/>
    <m/>
    <m/>
    <m/>
    <m/>
    <m/>
    <m/>
  </r>
  <r>
    <x v="4"/>
    <x v="6"/>
    <x v="8"/>
    <n v="30"/>
    <m/>
    <m/>
    <m/>
    <m/>
    <m/>
    <m/>
    <m/>
  </r>
  <r>
    <x v="4"/>
    <x v="6"/>
    <x v="83"/>
    <n v="30"/>
    <m/>
    <m/>
    <m/>
    <m/>
    <m/>
    <m/>
    <m/>
  </r>
  <r>
    <x v="4"/>
    <x v="6"/>
    <x v="49"/>
    <n v="2"/>
    <m/>
    <m/>
    <m/>
    <m/>
    <m/>
    <m/>
    <m/>
  </r>
  <r>
    <x v="4"/>
    <x v="6"/>
    <x v="86"/>
    <n v="1"/>
    <m/>
    <m/>
    <m/>
    <m/>
    <m/>
    <m/>
    <m/>
  </r>
  <r>
    <x v="4"/>
    <x v="6"/>
    <x v="9"/>
    <n v="15"/>
    <m/>
    <m/>
    <m/>
    <m/>
    <m/>
    <m/>
    <m/>
  </r>
  <r>
    <x v="4"/>
    <x v="6"/>
    <x v="34"/>
    <n v="30"/>
    <m/>
    <m/>
    <m/>
    <m/>
    <m/>
    <m/>
    <m/>
  </r>
  <r>
    <x v="4"/>
    <x v="6"/>
    <x v="0"/>
    <n v="4"/>
    <m/>
    <m/>
    <m/>
    <m/>
    <m/>
    <m/>
    <m/>
  </r>
  <r>
    <x v="4"/>
    <x v="6"/>
    <x v="10"/>
    <n v="30"/>
    <m/>
    <m/>
    <m/>
    <m/>
    <m/>
    <m/>
    <m/>
  </r>
  <r>
    <x v="4"/>
    <x v="6"/>
    <x v="11"/>
    <n v="30"/>
    <m/>
    <m/>
    <m/>
    <m/>
    <m/>
    <m/>
    <m/>
  </r>
  <r>
    <x v="4"/>
    <x v="6"/>
    <x v="36"/>
    <n v="10"/>
    <m/>
    <m/>
    <m/>
    <m/>
    <m/>
    <m/>
    <m/>
  </r>
  <r>
    <x v="4"/>
    <x v="6"/>
    <x v="37"/>
    <n v="30"/>
    <m/>
    <m/>
    <m/>
    <m/>
    <m/>
    <m/>
    <m/>
  </r>
  <r>
    <x v="4"/>
    <x v="6"/>
    <x v="14"/>
    <n v="20"/>
    <m/>
    <m/>
    <m/>
    <m/>
    <m/>
    <m/>
    <m/>
  </r>
  <r>
    <x v="4"/>
    <x v="6"/>
    <x v="15"/>
    <n v="20"/>
    <m/>
    <m/>
    <m/>
    <m/>
    <m/>
    <m/>
    <m/>
  </r>
  <r>
    <x v="4"/>
    <x v="6"/>
    <x v="16"/>
    <n v="5"/>
    <m/>
    <m/>
    <m/>
    <m/>
    <m/>
    <m/>
    <m/>
  </r>
  <r>
    <x v="4"/>
    <x v="6"/>
    <x v="17"/>
    <n v="24"/>
    <m/>
    <m/>
    <m/>
    <m/>
    <m/>
    <m/>
    <m/>
  </r>
  <r>
    <x v="4"/>
    <x v="6"/>
    <x v="76"/>
    <n v="30"/>
    <m/>
    <m/>
    <m/>
    <m/>
    <m/>
    <m/>
    <m/>
  </r>
  <r>
    <x v="4"/>
    <x v="6"/>
    <x v="39"/>
    <n v="30"/>
    <m/>
    <m/>
    <m/>
    <m/>
    <m/>
    <m/>
    <m/>
  </r>
  <r>
    <x v="4"/>
    <x v="6"/>
    <x v="85"/>
    <n v="30"/>
    <m/>
    <m/>
    <m/>
    <m/>
    <m/>
    <m/>
    <m/>
  </r>
  <r>
    <x v="4"/>
    <x v="6"/>
    <x v="40"/>
    <n v="10"/>
    <m/>
    <m/>
    <m/>
    <m/>
    <m/>
    <m/>
    <m/>
  </r>
  <r>
    <x v="4"/>
    <x v="6"/>
    <x v="41"/>
    <n v="20"/>
    <m/>
    <m/>
    <m/>
    <m/>
    <m/>
    <m/>
    <m/>
  </r>
  <r>
    <x v="4"/>
    <x v="6"/>
    <x v="49"/>
    <n v="2"/>
    <m/>
    <m/>
    <m/>
    <m/>
    <m/>
    <m/>
    <m/>
  </r>
  <r>
    <x v="4"/>
    <x v="6"/>
    <x v="59"/>
    <n v="5"/>
    <m/>
    <m/>
    <m/>
    <m/>
    <m/>
    <m/>
    <m/>
  </r>
  <r>
    <x v="0"/>
    <x v="7"/>
    <x v="66"/>
    <n v="2"/>
    <m/>
    <m/>
    <m/>
    <m/>
    <m/>
    <m/>
    <m/>
  </r>
  <r>
    <x v="0"/>
    <x v="7"/>
    <x v="34"/>
    <n v="4"/>
    <m/>
    <m/>
    <m/>
    <m/>
    <m/>
    <m/>
    <m/>
  </r>
  <r>
    <x v="0"/>
    <x v="7"/>
    <x v="0"/>
    <n v="18"/>
    <m/>
    <m/>
    <m/>
    <m/>
    <m/>
    <m/>
    <m/>
  </r>
  <r>
    <x v="1"/>
    <x v="7"/>
    <x v="1"/>
    <n v="10"/>
    <m/>
    <m/>
    <m/>
    <m/>
    <m/>
    <m/>
    <m/>
  </r>
  <r>
    <x v="1"/>
    <x v="7"/>
    <x v="2"/>
    <n v="10"/>
    <m/>
    <m/>
    <m/>
    <m/>
    <m/>
    <m/>
    <m/>
  </r>
  <r>
    <x v="1"/>
    <x v="7"/>
    <x v="3"/>
    <n v="20"/>
    <m/>
    <m/>
    <m/>
    <m/>
    <m/>
    <m/>
    <m/>
  </r>
  <r>
    <x v="1"/>
    <x v="7"/>
    <x v="4"/>
    <n v="10"/>
    <m/>
    <m/>
    <m/>
    <m/>
    <m/>
    <m/>
    <m/>
  </r>
  <r>
    <x v="1"/>
    <x v="7"/>
    <x v="5"/>
    <n v="4"/>
    <m/>
    <m/>
    <m/>
    <m/>
    <m/>
    <m/>
    <m/>
  </r>
  <r>
    <x v="1"/>
    <x v="7"/>
    <x v="6"/>
    <n v="1"/>
    <m/>
    <m/>
    <m/>
    <m/>
    <m/>
    <m/>
    <m/>
  </r>
  <r>
    <x v="1"/>
    <x v="7"/>
    <x v="7"/>
    <n v="6"/>
    <m/>
    <m/>
    <m/>
    <m/>
    <m/>
    <m/>
    <m/>
  </r>
  <r>
    <x v="1"/>
    <x v="7"/>
    <x v="8"/>
    <n v="10"/>
    <m/>
    <m/>
    <m/>
    <m/>
    <m/>
    <m/>
    <m/>
  </r>
  <r>
    <x v="1"/>
    <x v="7"/>
    <x v="9"/>
    <n v="10"/>
    <m/>
    <m/>
    <m/>
    <m/>
    <m/>
    <m/>
    <m/>
  </r>
  <r>
    <x v="1"/>
    <x v="7"/>
    <x v="10"/>
    <n v="4"/>
    <m/>
    <m/>
    <m/>
    <m/>
    <m/>
    <m/>
    <m/>
  </r>
  <r>
    <x v="1"/>
    <x v="7"/>
    <x v="11"/>
    <n v="6"/>
    <m/>
    <m/>
    <m/>
    <m/>
    <m/>
    <m/>
    <m/>
  </r>
  <r>
    <x v="1"/>
    <x v="7"/>
    <x v="12"/>
    <n v="6"/>
    <m/>
    <m/>
    <m/>
    <m/>
    <m/>
    <m/>
    <m/>
  </r>
  <r>
    <x v="1"/>
    <x v="7"/>
    <x v="13"/>
    <n v="10"/>
    <m/>
    <m/>
    <m/>
    <m/>
    <m/>
    <m/>
    <m/>
  </r>
  <r>
    <x v="1"/>
    <x v="7"/>
    <x v="14"/>
    <n v="16"/>
    <m/>
    <m/>
    <m/>
    <m/>
    <m/>
    <m/>
    <m/>
  </r>
  <r>
    <x v="1"/>
    <x v="7"/>
    <x v="15"/>
    <n v="8"/>
    <m/>
    <m/>
    <m/>
    <m/>
    <m/>
    <m/>
    <m/>
  </r>
  <r>
    <x v="1"/>
    <x v="7"/>
    <x v="16"/>
    <n v="6"/>
    <m/>
    <m/>
    <m/>
    <m/>
    <m/>
    <m/>
    <m/>
  </r>
  <r>
    <x v="1"/>
    <x v="7"/>
    <x v="17"/>
    <n v="8"/>
    <m/>
    <m/>
    <m/>
    <m/>
    <m/>
    <m/>
    <m/>
  </r>
  <r>
    <x v="2"/>
    <x v="7"/>
    <x v="3"/>
    <n v="4"/>
    <m/>
    <m/>
    <m/>
    <m/>
    <m/>
    <m/>
    <m/>
  </r>
  <r>
    <x v="2"/>
    <x v="7"/>
    <x v="67"/>
    <n v="1"/>
    <m/>
    <m/>
    <m/>
    <m/>
    <m/>
    <m/>
    <m/>
  </r>
  <r>
    <x v="2"/>
    <x v="7"/>
    <x v="68"/>
    <n v="30"/>
    <m/>
    <m/>
    <m/>
    <m/>
    <m/>
    <m/>
    <m/>
  </r>
  <r>
    <x v="2"/>
    <x v="7"/>
    <x v="46"/>
    <n v="1"/>
    <m/>
    <m/>
    <m/>
    <m/>
    <m/>
    <m/>
    <m/>
  </r>
  <r>
    <x v="2"/>
    <x v="7"/>
    <x v="86"/>
    <n v="3"/>
    <m/>
    <m/>
    <m/>
    <m/>
    <m/>
    <m/>
    <m/>
  </r>
  <r>
    <x v="2"/>
    <x v="7"/>
    <x v="44"/>
    <n v="2"/>
    <m/>
    <m/>
    <m/>
    <m/>
    <m/>
    <m/>
    <m/>
  </r>
  <r>
    <x v="2"/>
    <x v="7"/>
    <x v="0"/>
    <n v="10"/>
    <m/>
    <m/>
    <m/>
    <m/>
    <m/>
    <m/>
    <m/>
  </r>
  <r>
    <x v="2"/>
    <x v="7"/>
    <x v="11"/>
    <n v="11"/>
    <m/>
    <m/>
    <m/>
    <m/>
    <m/>
    <m/>
    <m/>
  </r>
  <r>
    <x v="2"/>
    <x v="7"/>
    <x v="15"/>
    <n v="6"/>
    <m/>
    <m/>
    <m/>
    <m/>
    <m/>
    <m/>
    <m/>
  </r>
  <r>
    <x v="3"/>
    <x v="7"/>
    <x v="18"/>
    <n v="2"/>
    <m/>
    <m/>
    <m/>
    <m/>
    <m/>
    <m/>
    <m/>
  </r>
  <r>
    <x v="3"/>
    <x v="7"/>
    <x v="14"/>
    <n v="15"/>
    <m/>
    <m/>
    <m/>
    <m/>
    <m/>
    <m/>
    <m/>
  </r>
  <r>
    <x v="3"/>
    <x v="7"/>
    <x v="19"/>
    <n v="5"/>
    <m/>
    <m/>
    <m/>
    <m/>
    <m/>
    <m/>
    <m/>
  </r>
  <r>
    <x v="3"/>
    <x v="7"/>
    <x v="20"/>
    <n v="1"/>
    <m/>
    <m/>
    <m/>
    <m/>
    <m/>
    <m/>
    <m/>
  </r>
  <r>
    <x v="3"/>
    <x v="7"/>
    <x v="69"/>
    <n v="3"/>
    <m/>
    <m/>
    <m/>
    <m/>
    <m/>
    <m/>
    <m/>
  </r>
  <r>
    <x v="3"/>
    <x v="7"/>
    <x v="21"/>
    <n v="40"/>
    <m/>
    <m/>
    <m/>
    <m/>
    <m/>
    <m/>
    <m/>
  </r>
  <r>
    <x v="3"/>
    <x v="7"/>
    <x v="22"/>
    <n v="5"/>
    <m/>
    <m/>
    <m/>
    <m/>
    <m/>
    <m/>
    <m/>
  </r>
  <r>
    <x v="3"/>
    <x v="7"/>
    <x v="24"/>
    <n v="21"/>
    <m/>
    <m/>
    <m/>
    <m/>
    <m/>
    <m/>
    <m/>
  </r>
  <r>
    <x v="3"/>
    <x v="7"/>
    <x v="25"/>
    <n v="40"/>
    <m/>
    <m/>
    <m/>
    <m/>
    <m/>
    <m/>
    <m/>
  </r>
  <r>
    <x v="3"/>
    <x v="7"/>
    <x v="26"/>
    <n v="2"/>
    <m/>
    <m/>
    <m/>
    <m/>
    <m/>
    <m/>
    <m/>
  </r>
  <r>
    <x v="3"/>
    <x v="7"/>
    <x v="27"/>
    <n v="2"/>
    <m/>
    <m/>
    <m/>
    <m/>
    <m/>
    <m/>
    <m/>
  </r>
  <r>
    <x v="3"/>
    <x v="7"/>
    <x v="28"/>
    <n v="10"/>
    <m/>
    <m/>
    <m/>
    <m/>
    <m/>
    <m/>
    <m/>
  </r>
  <r>
    <x v="3"/>
    <x v="7"/>
    <x v="29"/>
    <n v="2"/>
    <m/>
    <m/>
    <m/>
    <m/>
    <m/>
    <m/>
    <m/>
  </r>
  <r>
    <x v="4"/>
    <x v="7"/>
    <x v="30"/>
    <n v="30"/>
    <m/>
    <m/>
    <m/>
    <m/>
    <m/>
    <m/>
    <m/>
  </r>
  <r>
    <x v="4"/>
    <x v="7"/>
    <x v="1"/>
    <n v="20"/>
    <m/>
    <m/>
    <m/>
    <m/>
    <m/>
    <m/>
    <m/>
  </r>
  <r>
    <x v="4"/>
    <x v="7"/>
    <x v="31"/>
    <n v="30"/>
    <m/>
    <m/>
    <m/>
    <m/>
    <m/>
    <m/>
    <m/>
  </r>
  <r>
    <x v="4"/>
    <x v="7"/>
    <x v="3"/>
    <n v="30"/>
    <m/>
    <m/>
    <m/>
    <m/>
    <m/>
    <m/>
    <m/>
  </r>
  <r>
    <x v="4"/>
    <x v="7"/>
    <x v="18"/>
    <n v="30"/>
    <m/>
    <m/>
    <m/>
    <m/>
    <m/>
    <m/>
    <m/>
  </r>
  <r>
    <x v="4"/>
    <x v="7"/>
    <x v="67"/>
    <n v="15"/>
    <m/>
    <m/>
    <m/>
    <m/>
    <m/>
    <m/>
    <m/>
  </r>
  <r>
    <x v="4"/>
    <x v="7"/>
    <x v="45"/>
    <n v="30"/>
    <m/>
    <m/>
    <m/>
    <m/>
    <m/>
    <m/>
    <m/>
  </r>
  <r>
    <x v="4"/>
    <x v="7"/>
    <x v="4"/>
    <n v="25"/>
    <m/>
    <m/>
    <m/>
    <m/>
    <m/>
    <m/>
    <m/>
  </r>
  <r>
    <x v="4"/>
    <x v="7"/>
    <x v="68"/>
    <n v="30"/>
    <m/>
    <m/>
    <m/>
    <m/>
    <m/>
    <m/>
    <m/>
  </r>
  <r>
    <x v="4"/>
    <x v="7"/>
    <x v="6"/>
    <n v="30"/>
    <m/>
    <m/>
    <m/>
    <m/>
    <m/>
    <m/>
    <m/>
  </r>
  <r>
    <x v="4"/>
    <x v="7"/>
    <x v="75"/>
    <n v="20"/>
    <m/>
    <m/>
    <m/>
    <m/>
    <m/>
    <m/>
    <m/>
  </r>
  <r>
    <x v="4"/>
    <x v="7"/>
    <x v="46"/>
    <n v="30"/>
    <m/>
    <m/>
    <m/>
    <m/>
    <m/>
    <m/>
    <m/>
  </r>
  <r>
    <x v="4"/>
    <x v="7"/>
    <x v="8"/>
    <n v="30"/>
    <m/>
    <m/>
    <m/>
    <m/>
    <m/>
    <m/>
    <m/>
  </r>
  <r>
    <x v="4"/>
    <x v="7"/>
    <x v="47"/>
    <n v="30"/>
    <m/>
    <m/>
    <m/>
    <m/>
    <m/>
    <m/>
    <m/>
  </r>
  <r>
    <x v="4"/>
    <x v="7"/>
    <x v="49"/>
    <n v="14"/>
    <m/>
    <m/>
    <m/>
    <m/>
    <m/>
    <m/>
    <m/>
  </r>
  <r>
    <x v="4"/>
    <x v="7"/>
    <x v="86"/>
    <n v="3"/>
    <m/>
    <m/>
    <m/>
    <m/>
    <m/>
    <m/>
    <m/>
  </r>
  <r>
    <x v="4"/>
    <x v="7"/>
    <x v="9"/>
    <n v="15"/>
    <m/>
    <m/>
    <m/>
    <m/>
    <m/>
    <m/>
    <m/>
  </r>
  <r>
    <x v="4"/>
    <x v="7"/>
    <x v="35"/>
    <n v="30"/>
    <m/>
    <m/>
    <m/>
    <m/>
    <m/>
    <m/>
    <m/>
  </r>
  <r>
    <x v="4"/>
    <x v="7"/>
    <x v="44"/>
    <n v="30"/>
    <m/>
    <m/>
    <m/>
    <m/>
    <m/>
    <m/>
    <m/>
  </r>
  <r>
    <x v="4"/>
    <x v="7"/>
    <x v="0"/>
    <n v="30"/>
    <m/>
    <m/>
    <m/>
    <m/>
    <m/>
    <m/>
    <m/>
  </r>
  <r>
    <x v="4"/>
    <x v="7"/>
    <x v="10"/>
    <n v="30"/>
    <m/>
    <m/>
    <m/>
    <m/>
    <m/>
    <m/>
    <m/>
  </r>
  <r>
    <x v="4"/>
    <x v="7"/>
    <x v="52"/>
    <n v="30"/>
    <m/>
    <m/>
    <m/>
    <m/>
    <m/>
    <m/>
    <m/>
  </r>
  <r>
    <x v="4"/>
    <x v="7"/>
    <x v="11"/>
    <n v="30"/>
    <m/>
    <m/>
    <m/>
    <m/>
    <m/>
    <m/>
    <m/>
  </r>
  <r>
    <x v="4"/>
    <x v="7"/>
    <x v="36"/>
    <n v="15"/>
    <m/>
    <m/>
    <m/>
    <m/>
    <m/>
    <m/>
    <m/>
  </r>
  <r>
    <x v="4"/>
    <x v="7"/>
    <x v="37"/>
    <n v="30"/>
    <m/>
    <m/>
    <m/>
    <m/>
    <m/>
    <m/>
    <m/>
  </r>
  <r>
    <x v="4"/>
    <x v="7"/>
    <x v="14"/>
    <n v="30"/>
    <m/>
    <m/>
    <m/>
    <m/>
    <m/>
    <m/>
    <m/>
  </r>
  <r>
    <x v="4"/>
    <x v="7"/>
    <x v="15"/>
    <n v="26"/>
    <m/>
    <m/>
    <m/>
    <m/>
    <m/>
    <m/>
    <m/>
  </r>
  <r>
    <x v="4"/>
    <x v="7"/>
    <x v="54"/>
    <n v="30"/>
    <m/>
    <m/>
    <m/>
    <m/>
    <m/>
    <m/>
    <m/>
  </r>
  <r>
    <x v="4"/>
    <x v="7"/>
    <x v="16"/>
    <n v="25"/>
    <m/>
    <m/>
    <m/>
    <m/>
    <m/>
    <m/>
    <m/>
  </r>
  <r>
    <x v="4"/>
    <x v="7"/>
    <x v="17"/>
    <n v="20"/>
    <m/>
    <m/>
    <m/>
    <m/>
    <m/>
    <m/>
    <m/>
  </r>
  <r>
    <x v="4"/>
    <x v="7"/>
    <x v="40"/>
    <n v="10"/>
    <m/>
    <m/>
    <m/>
    <m/>
    <m/>
    <m/>
    <m/>
  </r>
  <r>
    <x v="4"/>
    <x v="7"/>
    <x v="41"/>
    <n v="20"/>
    <m/>
    <m/>
    <m/>
    <m/>
    <m/>
    <m/>
    <m/>
  </r>
  <r>
    <x v="4"/>
    <x v="7"/>
    <x v="49"/>
    <n v="15"/>
    <m/>
    <m/>
    <m/>
    <m/>
    <m/>
    <m/>
    <m/>
  </r>
  <r>
    <x v="4"/>
    <x v="7"/>
    <x v="88"/>
    <n v="30"/>
    <m/>
    <m/>
    <m/>
    <m/>
    <m/>
    <m/>
    <m/>
  </r>
  <r>
    <x v="4"/>
    <x v="7"/>
    <x v="59"/>
    <n v="5"/>
    <m/>
    <m/>
    <m/>
    <m/>
    <m/>
    <m/>
    <m/>
  </r>
  <r>
    <x v="0"/>
    <x v="8"/>
    <x v="0"/>
    <n v="9"/>
    <m/>
    <m/>
    <m/>
    <m/>
    <m/>
    <m/>
    <m/>
  </r>
  <r>
    <x v="1"/>
    <x v="8"/>
    <x v="1"/>
    <n v="2"/>
    <m/>
    <m/>
    <m/>
    <m/>
    <m/>
    <m/>
    <m/>
  </r>
  <r>
    <x v="1"/>
    <x v="8"/>
    <x v="2"/>
    <n v="2"/>
    <m/>
    <m/>
    <m/>
    <m/>
    <m/>
    <m/>
    <m/>
  </r>
  <r>
    <x v="1"/>
    <x v="8"/>
    <x v="3"/>
    <n v="4"/>
    <m/>
    <m/>
    <m/>
    <m/>
    <m/>
    <m/>
    <m/>
  </r>
  <r>
    <x v="1"/>
    <x v="8"/>
    <x v="4"/>
    <n v="2"/>
    <m/>
    <m/>
    <m/>
    <m/>
    <m/>
    <m/>
    <m/>
  </r>
  <r>
    <x v="1"/>
    <x v="8"/>
    <x v="5"/>
    <n v="2"/>
    <m/>
    <m/>
    <m/>
    <m/>
    <m/>
    <m/>
    <m/>
  </r>
  <r>
    <x v="1"/>
    <x v="8"/>
    <x v="7"/>
    <n v="4"/>
    <m/>
    <m/>
    <m/>
    <m/>
    <m/>
    <m/>
    <m/>
  </r>
  <r>
    <x v="1"/>
    <x v="8"/>
    <x v="8"/>
    <n v="6"/>
    <m/>
    <m/>
    <m/>
    <m/>
    <m/>
    <m/>
    <m/>
  </r>
  <r>
    <x v="1"/>
    <x v="8"/>
    <x v="9"/>
    <n v="6"/>
    <m/>
    <m/>
    <m/>
    <m/>
    <m/>
    <m/>
    <m/>
  </r>
  <r>
    <x v="1"/>
    <x v="8"/>
    <x v="10"/>
    <n v="2"/>
    <m/>
    <m/>
    <m/>
    <m/>
    <m/>
    <m/>
    <m/>
  </r>
  <r>
    <x v="1"/>
    <x v="8"/>
    <x v="11"/>
    <n v="10"/>
    <m/>
    <m/>
    <m/>
    <m/>
    <m/>
    <m/>
    <m/>
  </r>
  <r>
    <x v="1"/>
    <x v="8"/>
    <x v="12"/>
    <n v="6"/>
    <m/>
    <m/>
    <m/>
    <m/>
    <m/>
    <m/>
    <m/>
  </r>
  <r>
    <x v="1"/>
    <x v="8"/>
    <x v="13"/>
    <n v="10"/>
    <m/>
    <m/>
    <m/>
    <m/>
    <m/>
    <m/>
    <m/>
  </r>
  <r>
    <x v="1"/>
    <x v="8"/>
    <x v="14"/>
    <n v="20"/>
    <m/>
    <m/>
    <m/>
    <m/>
    <m/>
    <m/>
    <m/>
  </r>
  <r>
    <x v="1"/>
    <x v="8"/>
    <x v="15"/>
    <n v="10"/>
    <m/>
    <m/>
    <m/>
    <m/>
    <m/>
    <m/>
    <m/>
  </r>
  <r>
    <x v="1"/>
    <x v="8"/>
    <x v="16"/>
    <n v="6"/>
    <m/>
    <m/>
    <m/>
    <m/>
    <m/>
    <m/>
    <m/>
  </r>
  <r>
    <x v="1"/>
    <x v="8"/>
    <x v="17"/>
    <n v="6"/>
    <m/>
    <m/>
    <m/>
    <m/>
    <m/>
    <m/>
    <m/>
  </r>
  <r>
    <x v="2"/>
    <x v="8"/>
    <x v="3"/>
    <n v="2"/>
    <m/>
    <m/>
    <m/>
    <m/>
    <m/>
    <m/>
    <m/>
  </r>
  <r>
    <x v="2"/>
    <x v="8"/>
    <x v="44"/>
    <n v="2"/>
    <m/>
    <m/>
    <m/>
    <m/>
    <m/>
    <m/>
    <m/>
  </r>
  <r>
    <x v="2"/>
    <x v="8"/>
    <x v="0"/>
    <n v="10"/>
    <m/>
    <m/>
    <m/>
    <m/>
    <m/>
    <m/>
    <m/>
  </r>
  <r>
    <x v="2"/>
    <x v="8"/>
    <x v="11"/>
    <n v="9"/>
    <m/>
    <m/>
    <m/>
    <m/>
    <m/>
    <m/>
    <m/>
  </r>
  <r>
    <x v="2"/>
    <x v="8"/>
    <x v="17"/>
    <n v="2"/>
    <m/>
    <m/>
    <m/>
    <m/>
    <m/>
    <m/>
    <m/>
  </r>
  <r>
    <x v="7"/>
    <x v="8"/>
    <x v="0"/>
    <n v="2"/>
    <m/>
    <m/>
    <m/>
    <m/>
    <m/>
    <m/>
    <m/>
  </r>
  <r>
    <x v="3"/>
    <x v="8"/>
    <x v="14"/>
    <n v="3"/>
    <m/>
    <m/>
    <m/>
    <m/>
    <m/>
    <m/>
    <m/>
  </r>
  <r>
    <x v="3"/>
    <x v="8"/>
    <x v="19"/>
    <n v="5"/>
    <m/>
    <m/>
    <m/>
    <m/>
    <m/>
    <m/>
    <m/>
  </r>
  <r>
    <x v="3"/>
    <x v="8"/>
    <x v="20"/>
    <n v="3"/>
    <m/>
    <m/>
    <m/>
    <m/>
    <m/>
    <m/>
    <m/>
  </r>
  <r>
    <x v="3"/>
    <x v="8"/>
    <x v="69"/>
    <n v="3"/>
    <m/>
    <m/>
    <m/>
    <m/>
    <m/>
    <m/>
    <m/>
  </r>
  <r>
    <x v="3"/>
    <x v="8"/>
    <x v="21"/>
    <n v="20"/>
    <m/>
    <m/>
    <m/>
    <m/>
    <m/>
    <m/>
    <m/>
  </r>
  <r>
    <x v="3"/>
    <x v="8"/>
    <x v="22"/>
    <n v="5"/>
    <m/>
    <m/>
    <m/>
    <m/>
    <m/>
    <m/>
    <m/>
  </r>
  <r>
    <x v="3"/>
    <x v="8"/>
    <x v="24"/>
    <n v="4"/>
    <m/>
    <m/>
    <m/>
    <m/>
    <m/>
    <m/>
    <m/>
  </r>
  <r>
    <x v="3"/>
    <x v="8"/>
    <x v="26"/>
    <n v="1"/>
    <m/>
    <m/>
    <m/>
    <m/>
    <m/>
    <m/>
    <m/>
  </r>
  <r>
    <x v="3"/>
    <x v="8"/>
    <x v="87"/>
    <n v="1"/>
    <m/>
    <m/>
    <m/>
    <m/>
    <m/>
    <m/>
    <m/>
  </r>
  <r>
    <x v="4"/>
    <x v="8"/>
    <x v="1"/>
    <n v="30"/>
    <m/>
    <m/>
    <m/>
    <m/>
    <m/>
    <m/>
    <m/>
  </r>
  <r>
    <x v="4"/>
    <x v="8"/>
    <x v="2"/>
    <n v="2"/>
    <m/>
    <m/>
    <m/>
    <m/>
    <m/>
    <m/>
    <m/>
  </r>
  <r>
    <x v="4"/>
    <x v="8"/>
    <x v="3"/>
    <n v="2"/>
    <m/>
    <m/>
    <m/>
    <m/>
    <m/>
    <m/>
    <m/>
  </r>
  <r>
    <x v="4"/>
    <x v="8"/>
    <x v="18"/>
    <n v="20"/>
    <m/>
    <m/>
    <m/>
    <m/>
    <m/>
    <m/>
    <m/>
  </r>
  <r>
    <x v="4"/>
    <x v="8"/>
    <x v="67"/>
    <n v="10"/>
    <m/>
    <m/>
    <m/>
    <m/>
    <m/>
    <m/>
    <m/>
  </r>
  <r>
    <x v="4"/>
    <x v="8"/>
    <x v="45"/>
    <n v="1"/>
    <m/>
    <m/>
    <m/>
    <m/>
    <m/>
    <m/>
    <m/>
  </r>
  <r>
    <x v="4"/>
    <x v="8"/>
    <x v="4"/>
    <n v="15"/>
    <m/>
    <m/>
    <m/>
    <m/>
    <m/>
    <m/>
    <m/>
  </r>
  <r>
    <x v="4"/>
    <x v="8"/>
    <x v="5"/>
    <n v="2"/>
    <m/>
    <m/>
    <m/>
    <m/>
    <m/>
    <m/>
    <m/>
  </r>
  <r>
    <x v="4"/>
    <x v="8"/>
    <x v="68"/>
    <n v="1"/>
    <m/>
    <m/>
    <m/>
    <m/>
    <m/>
    <m/>
    <m/>
  </r>
  <r>
    <x v="4"/>
    <x v="8"/>
    <x v="6"/>
    <n v="30"/>
    <m/>
    <m/>
    <m/>
    <m/>
    <m/>
    <m/>
    <m/>
  </r>
  <r>
    <x v="4"/>
    <x v="8"/>
    <x v="75"/>
    <n v="10"/>
    <m/>
    <m/>
    <m/>
    <m/>
    <m/>
    <m/>
    <m/>
  </r>
  <r>
    <x v="4"/>
    <x v="8"/>
    <x v="8"/>
    <n v="30"/>
    <m/>
    <m/>
    <m/>
    <m/>
    <m/>
    <m/>
    <m/>
  </r>
  <r>
    <x v="4"/>
    <x v="8"/>
    <x v="83"/>
    <n v="1"/>
    <m/>
    <m/>
    <m/>
    <m/>
    <m/>
    <m/>
    <m/>
  </r>
  <r>
    <x v="4"/>
    <x v="8"/>
    <x v="66"/>
    <n v="3"/>
    <m/>
    <m/>
    <m/>
    <m/>
    <m/>
    <m/>
    <m/>
  </r>
  <r>
    <x v="4"/>
    <x v="8"/>
    <x v="9"/>
    <n v="5"/>
    <m/>
    <m/>
    <m/>
    <m/>
    <m/>
    <m/>
    <m/>
  </r>
  <r>
    <x v="4"/>
    <x v="8"/>
    <x v="34"/>
    <n v="1"/>
    <m/>
    <m/>
    <m/>
    <m/>
    <m/>
    <m/>
    <m/>
  </r>
  <r>
    <x v="4"/>
    <x v="8"/>
    <x v="50"/>
    <n v="1"/>
    <m/>
    <m/>
    <m/>
    <m/>
    <m/>
    <m/>
    <m/>
  </r>
  <r>
    <x v="4"/>
    <x v="8"/>
    <x v="35"/>
    <n v="2"/>
    <m/>
    <m/>
    <m/>
    <m/>
    <m/>
    <m/>
    <m/>
  </r>
  <r>
    <x v="4"/>
    <x v="8"/>
    <x v="0"/>
    <n v="19"/>
    <m/>
    <m/>
    <m/>
    <m/>
    <m/>
    <m/>
    <m/>
  </r>
  <r>
    <x v="4"/>
    <x v="8"/>
    <x v="10"/>
    <n v="30"/>
    <m/>
    <m/>
    <m/>
    <m/>
    <m/>
    <m/>
    <m/>
  </r>
  <r>
    <x v="4"/>
    <x v="8"/>
    <x v="52"/>
    <n v="10"/>
    <m/>
    <m/>
    <m/>
    <m/>
    <m/>
    <m/>
    <m/>
  </r>
  <r>
    <x v="4"/>
    <x v="8"/>
    <x v="11"/>
    <n v="30"/>
    <m/>
    <m/>
    <m/>
    <m/>
    <m/>
    <m/>
    <m/>
  </r>
  <r>
    <x v="4"/>
    <x v="8"/>
    <x v="36"/>
    <n v="3"/>
    <m/>
    <m/>
    <m/>
    <m/>
    <m/>
    <m/>
    <m/>
  </r>
  <r>
    <x v="4"/>
    <x v="8"/>
    <x v="37"/>
    <n v="1"/>
    <m/>
    <m/>
    <m/>
    <m/>
    <m/>
    <m/>
    <m/>
  </r>
  <r>
    <x v="4"/>
    <x v="8"/>
    <x v="38"/>
    <n v="30"/>
    <m/>
    <m/>
    <m/>
    <m/>
    <m/>
    <m/>
    <m/>
  </r>
  <r>
    <x v="4"/>
    <x v="8"/>
    <x v="14"/>
    <n v="15"/>
    <m/>
    <m/>
    <m/>
    <m/>
    <m/>
    <m/>
    <m/>
  </r>
  <r>
    <x v="4"/>
    <x v="8"/>
    <x v="15"/>
    <n v="10"/>
    <m/>
    <m/>
    <m/>
    <m/>
    <m/>
    <m/>
    <m/>
  </r>
  <r>
    <x v="4"/>
    <x v="8"/>
    <x v="80"/>
    <n v="30"/>
    <m/>
    <m/>
    <m/>
    <m/>
    <m/>
    <m/>
    <m/>
  </r>
  <r>
    <x v="4"/>
    <x v="8"/>
    <x v="53"/>
    <n v="2"/>
    <m/>
    <m/>
    <m/>
    <m/>
    <m/>
    <m/>
    <m/>
  </r>
  <r>
    <x v="4"/>
    <x v="8"/>
    <x v="54"/>
    <n v="10"/>
    <m/>
    <m/>
    <m/>
    <m/>
    <m/>
    <m/>
    <m/>
  </r>
  <r>
    <x v="4"/>
    <x v="8"/>
    <x v="19"/>
    <n v="10"/>
    <m/>
    <m/>
    <m/>
    <m/>
    <m/>
    <m/>
    <m/>
  </r>
  <r>
    <x v="4"/>
    <x v="8"/>
    <x v="17"/>
    <n v="12"/>
    <m/>
    <m/>
    <m/>
    <m/>
    <m/>
    <m/>
    <m/>
  </r>
  <r>
    <x v="4"/>
    <x v="8"/>
    <x v="40"/>
    <n v="5"/>
    <m/>
    <m/>
    <m/>
    <m/>
    <m/>
    <m/>
    <m/>
  </r>
  <r>
    <x v="4"/>
    <x v="8"/>
    <x v="41"/>
    <n v="10"/>
    <m/>
    <m/>
    <m/>
    <m/>
    <m/>
    <m/>
    <m/>
  </r>
  <r>
    <x v="4"/>
    <x v="8"/>
    <x v="88"/>
    <n v="5"/>
    <m/>
    <m/>
    <m/>
    <m/>
    <m/>
    <m/>
    <m/>
  </r>
  <r>
    <x v="4"/>
    <x v="8"/>
    <x v="82"/>
    <n v="3"/>
    <m/>
    <m/>
    <m/>
    <m/>
    <m/>
    <m/>
    <m/>
  </r>
  <r>
    <x v="5"/>
    <x v="8"/>
    <x v="21"/>
    <n v="25"/>
    <m/>
    <m/>
    <m/>
    <m/>
    <m/>
    <m/>
    <m/>
  </r>
  <r>
    <x v="5"/>
    <x v="8"/>
    <x v="43"/>
    <n v="25"/>
    <m/>
    <m/>
    <m/>
    <m/>
    <m/>
    <m/>
    <m/>
  </r>
  <r>
    <x v="5"/>
    <x v="8"/>
    <x v="61"/>
    <n v="25"/>
    <m/>
    <m/>
    <m/>
    <m/>
    <m/>
    <m/>
    <m/>
  </r>
  <r>
    <x v="0"/>
    <x v="9"/>
    <x v="89"/>
    <n v="87"/>
    <m/>
    <m/>
    <m/>
    <m/>
    <m/>
    <m/>
    <m/>
  </r>
  <r>
    <x v="0"/>
    <x v="3"/>
    <x v="89"/>
    <n v="16"/>
    <m/>
    <m/>
    <m/>
    <m/>
    <m/>
    <m/>
    <m/>
  </r>
  <r>
    <x v="1"/>
    <x v="9"/>
    <x v="89"/>
    <n v="152"/>
    <m/>
    <m/>
    <m/>
    <m/>
    <m/>
    <m/>
    <m/>
  </r>
  <r>
    <x v="1"/>
    <x v="3"/>
    <x v="89"/>
    <n v="118"/>
    <m/>
    <m/>
    <m/>
    <m/>
    <m/>
    <m/>
    <m/>
  </r>
  <r>
    <x v="6"/>
    <x v="3"/>
    <x v="89"/>
    <n v="2"/>
    <m/>
    <m/>
    <m/>
    <m/>
    <m/>
    <m/>
    <m/>
  </r>
  <r>
    <x v="2"/>
    <x v="9"/>
    <x v="89"/>
    <n v="4"/>
    <m/>
    <m/>
    <m/>
    <m/>
    <m/>
    <m/>
    <m/>
  </r>
  <r>
    <x v="2"/>
    <x v="3"/>
    <x v="89"/>
    <n v="5"/>
    <m/>
    <m/>
    <m/>
    <m/>
    <m/>
    <m/>
    <m/>
  </r>
  <r>
    <x v="7"/>
    <x v="9"/>
    <x v="89"/>
    <n v="1"/>
    <m/>
    <m/>
    <m/>
    <m/>
    <m/>
    <m/>
    <m/>
  </r>
  <r>
    <x v="7"/>
    <x v="3"/>
    <x v="89"/>
    <n v="5"/>
    <m/>
    <m/>
    <m/>
    <m/>
    <m/>
    <m/>
    <m/>
  </r>
  <r>
    <x v="9"/>
    <x v="9"/>
    <x v="89"/>
    <n v="68"/>
    <m/>
    <m/>
    <m/>
    <m/>
    <m/>
    <m/>
    <m/>
  </r>
  <r>
    <x v="9"/>
    <x v="3"/>
    <x v="89"/>
    <n v="10"/>
    <m/>
    <m/>
    <m/>
    <m/>
    <m/>
    <m/>
    <m/>
  </r>
  <r>
    <x v="8"/>
    <x v="3"/>
    <x v="89"/>
    <n v="106"/>
    <m/>
    <m/>
    <m/>
    <m/>
    <m/>
    <m/>
    <m/>
  </r>
  <r>
    <x v="4"/>
    <x v="9"/>
    <x v="89"/>
    <n v="4"/>
    <m/>
    <m/>
    <m/>
    <m/>
    <m/>
    <m/>
    <m/>
  </r>
  <r>
    <x v="4"/>
    <x v="3"/>
    <x v="89"/>
    <n v="11"/>
    <m/>
    <m/>
    <m/>
    <m/>
    <m/>
    <m/>
    <m/>
  </r>
  <r>
    <x v="10"/>
    <x v="9"/>
    <x v="89"/>
    <m/>
    <n v="45"/>
    <n v="36"/>
    <n v="0"/>
    <n v="12"/>
    <n v="2"/>
    <n v="0"/>
    <n v="9"/>
  </r>
  <r>
    <x v="10"/>
    <x v="9"/>
    <x v="89"/>
    <m/>
    <n v="45"/>
    <n v="19"/>
    <n v="1"/>
    <n v="3"/>
    <n v="0"/>
    <n v="0"/>
    <n v="25"/>
  </r>
  <r>
    <x v="10"/>
    <x v="9"/>
    <x v="89"/>
    <m/>
    <n v="45"/>
    <n v="12"/>
    <n v="0"/>
    <n v="1"/>
    <n v="0"/>
    <n v="0"/>
    <n v="33"/>
  </r>
  <r>
    <x v="10"/>
    <x v="9"/>
    <x v="89"/>
    <m/>
    <n v="45"/>
    <n v="15"/>
    <n v="1"/>
    <n v="5"/>
    <n v="0"/>
    <n v="0"/>
    <n v="29"/>
  </r>
  <r>
    <x v="10"/>
    <x v="9"/>
    <x v="89"/>
    <m/>
    <n v="45"/>
    <n v="9"/>
    <n v="1"/>
    <n v="8"/>
    <n v="1"/>
    <n v="0"/>
    <n v="35"/>
  </r>
  <r>
    <x v="10"/>
    <x v="9"/>
    <x v="89"/>
    <m/>
    <n v="45"/>
    <m/>
    <n v="1"/>
    <n v="7"/>
    <n v="0"/>
    <n v="0"/>
    <n v="44"/>
  </r>
  <r>
    <x v="10"/>
    <x v="9"/>
    <x v="89"/>
    <m/>
    <n v="45"/>
    <n v="16"/>
    <n v="0"/>
    <n v="5"/>
    <n v="1"/>
    <n v="0"/>
    <n v="29"/>
  </r>
  <r>
    <x v="10"/>
    <x v="9"/>
    <x v="89"/>
    <m/>
    <n v="45"/>
    <n v="16"/>
    <n v="0"/>
    <n v="0"/>
    <n v="0"/>
    <n v="0"/>
    <n v="29"/>
  </r>
  <r>
    <x v="10"/>
    <x v="9"/>
    <x v="89"/>
    <m/>
    <n v="45"/>
    <m/>
    <m/>
    <m/>
    <m/>
    <m/>
    <n v="45"/>
  </r>
  <r>
    <x v="10"/>
    <x v="9"/>
    <x v="89"/>
    <m/>
    <n v="45"/>
    <m/>
    <m/>
    <m/>
    <m/>
    <m/>
    <n v="45"/>
  </r>
  <r>
    <x v="10"/>
    <x v="0"/>
    <x v="34"/>
    <m/>
    <n v="40"/>
    <n v="29"/>
    <n v="1"/>
    <n v="0"/>
    <n v="2"/>
    <n v="0"/>
    <n v="10"/>
  </r>
  <r>
    <x v="10"/>
    <x v="0"/>
    <x v="33"/>
    <m/>
    <n v="40"/>
    <n v="33"/>
    <n v="0"/>
    <n v="1"/>
    <n v="2"/>
    <n v="0"/>
    <n v="7"/>
  </r>
  <r>
    <x v="10"/>
    <x v="0"/>
    <x v="14"/>
    <m/>
    <n v="40"/>
    <n v="36"/>
    <n v="0"/>
    <n v="7"/>
    <n v="6"/>
    <n v="0"/>
    <n v="4"/>
  </r>
  <r>
    <x v="10"/>
    <x v="0"/>
    <x v="11"/>
    <m/>
    <n v="40"/>
    <n v="36"/>
    <n v="0"/>
    <n v="0"/>
    <n v="5"/>
    <n v="0"/>
    <n v="4"/>
  </r>
  <r>
    <x v="10"/>
    <x v="0"/>
    <x v="8"/>
    <m/>
    <n v="40"/>
    <n v="24"/>
    <n v="1"/>
    <n v="1"/>
    <n v="1"/>
    <n v="0"/>
    <n v="15"/>
  </r>
  <r>
    <x v="10"/>
    <x v="0"/>
    <x v="6"/>
    <m/>
    <n v="40"/>
    <n v="36"/>
    <m/>
    <n v="8"/>
    <n v="36"/>
    <n v="36"/>
    <n v="4"/>
  </r>
  <r>
    <x v="10"/>
    <x v="0"/>
    <x v="36"/>
    <m/>
    <n v="40"/>
    <n v="15"/>
    <n v="0"/>
    <n v="1"/>
    <n v="0"/>
    <n v="0"/>
    <n v="25"/>
  </r>
  <r>
    <x v="10"/>
    <x v="0"/>
    <x v="34"/>
    <m/>
    <n v="40"/>
    <n v="18"/>
    <n v="0"/>
    <n v="4"/>
    <n v="17"/>
    <n v="0"/>
    <n v="22"/>
  </r>
  <r>
    <x v="10"/>
    <x v="0"/>
    <x v="15"/>
    <m/>
    <n v="40"/>
    <n v="10"/>
    <n v="0"/>
    <n v="3"/>
    <n v="2"/>
    <n v="0"/>
    <n v="30"/>
  </r>
  <r>
    <x v="10"/>
    <x v="0"/>
    <x v="32"/>
    <m/>
    <n v="40"/>
    <n v="40"/>
    <n v="0"/>
    <n v="7"/>
    <n v="38"/>
    <n v="0"/>
    <n v="0"/>
  </r>
  <r>
    <x v="10"/>
    <x v="0"/>
    <x v="33"/>
    <m/>
    <n v="40"/>
    <n v="26"/>
    <n v="0"/>
    <n v="11"/>
    <n v="3"/>
    <n v="0"/>
    <n v="14"/>
  </r>
  <r>
    <x v="10"/>
    <x v="0"/>
    <x v="51"/>
    <m/>
    <n v="40"/>
    <n v="21"/>
    <n v="0"/>
    <n v="4"/>
    <n v="2"/>
    <n v="0"/>
    <n v="19"/>
  </r>
  <r>
    <x v="10"/>
    <x v="0"/>
    <x v="0"/>
    <m/>
    <n v="40"/>
    <n v="24"/>
    <n v="4"/>
    <n v="2"/>
    <n v="13"/>
    <n v="0"/>
    <n v="12"/>
  </r>
  <r>
    <x v="10"/>
    <x v="0"/>
    <x v="17"/>
    <m/>
    <n v="40"/>
    <n v="26"/>
    <n v="0"/>
    <n v="1"/>
    <n v="3"/>
    <n v="0"/>
    <n v="14"/>
  </r>
  <r>
    <x v="10"/>
    <x v="0"/>
    <x v="38"/>
    <m/>
    <n v="40"/>
    <n v="40"/>
    <n v="0"/>
    <n v="3"/>
    <n v="16"/>
    <n v="0"/>
    <n v="0"/>
  </r>
  <r>
    <x v="10"/>
    <x v="0"/>
    <x v="37"/>
    <m/>
    <n v="40"/>
    <m/>
    <m/>
    <m/>
    <m/>
    <m/>
    <n v="40"/>
  </r>
  <r>
    <x v="10"/>
    <x v="0"/>
    <x v="3"/>
    <m/>
    <n v="40"/>
    <m/>
    <m/>
    <m/>
    <m/>
    <m/>
    <n v="40"/>
  </r>
  <r>
    <x v="10"/>
    <x v="0"/>
    <x v="13"/>
    <m/>
    <n v="40"/>
    <m/>
    <m/>
    <m/>
    <m/>
    <m/>
    <n v="40"/>
  </r>
  <r>
    <x v="10"/>
    <x v="0"/>
    <x v="39"/>
    <m/>
    <n v="40"/>
    <m/>
    <m/>
    <m/>
    <m/>
    <m/>
    <n v="40"/>
  </r>
  <r>
    <x v="10"/>
    <x v="1"/>
    <x v="55"/>
    <m/>
    <n v="40"/>
    <n v="16"/>
    <n v="0"/>
    <n v="3"/>
    <n v="1"/>
    <n v="0"/>
    <n v="24"/>
  </r>
  <r>
    <x v="10"/>
    <x v="1"/>
    <x v="15"/>
    <m/>
    <n v="40"/>
    <n v="39"/>
    <n v="0"/>
    <n v="3"/>
    <n v="25"/>
    <n v="0"/>
    <n v="1"/>
  </r>
  <r>
    <x v="10"/>
    <x v="1"/>
    <x v="1"/>
    <m/>
    <n v="40"/>
    <n v="8"/>
    <n v="0"/>
    <n v="6"/>
    <n v="3"/>
    <n v="0"/>
    <n v="32"/>
  </r>
  <r>
    <x v="10"/>
    <x v="1"/>
    <x v="90"/>
    <m/>
    <n v="40"/>
    <n v="31"/>
    <n v="0"/>
    <n v="1"/>
    <n v="23"/>
    <n v="0"/>
    <n v="9"/>
  </r>
  <r>
    <x v="10"/>
    <x v="1"/>
    <x v="91"/>
    <m/>
    <n v="40"/>
    <n v="20"/>
    <n v="0"/>
    <n v="1"/>
    <n v="16"/>
    <n v="0"/>
    <n v="20"/>
  </r>
  <r>
    <x v="10"/>
    <x v="1"/>
    <x v="92"/>
    <m/>
    <n v="40"/>
    <n v="24"/>
    <n v="0"/>
    <n v="1"/>
    <n v="1"/>
    <n v="0"/>
    <n v="16"/>
  </r>
  <r>
    <x v="10"/>
    <x v="1"/>
    <x v="52"/>
    <m/>
    <n v="40"/>
    <m/>
    <m/>
    <m/>
    <m/>
    <m/>
    <n v="40"/>
  </r>
  <r>
    <x v="10"/>
    <x v="1"/>
    <x v="93"/>
    <m/>
    <n v="40"/>
    <m/>
    <m/>
    <m/>
    <m/>
    <m/>
    <n v="40"/>
  </r>
  <r>
    <x v="10"/>
    <x v="1"/>
    <x v="53"/>
    <m/>
    <n v="40"/>
    <m/>
    <m/>
    <m/>
    <m/>
    <m/>
    <n v="40"/>
  </r>
  <r>
    <x v="10"/>
    <x v="2"/>
    <x v="2"/>
    <m/>
    <n v="25"/>
    <n v="25"/>
    <n v="0"/>
    <n v="6"/>
    <n v="6"/>
    <n v="0"/>
    <n v="0"/>
  </r>
  <r>
    <x v="10"/>
    <x v="2"/>
    <x v="52"/>
    <m/>
    <n v="25"/>
    <n v="8"/>
    <n v="0"/>
    <n v="0"/>
    <n v="1"/>
    <n v="0"/>
    <n v="17"/>
  </r>
  <r>
    <x v="10"/>
    <x v="2"/>
    <x v="15"/>
    <m/>
    <n v="25"/>
    <n v="3"/>
    <n v="0"/>
    <n v="0"/>
    <n v="1"/>
    <n v="0"/>
    <n v="22"/>
  </r>
  <r>
    <x v="10"/>
    <x v="2"/>
    <x v="11"/>
    <m/>
    <n v="25"/>
    <n v="5"/>
    <n v="1"/>
    <n v="1"/>
    <n v="1"/>
    <n v="0"/>
    <n v="19"/>
  </r>
  <r>
    <x v="10"/>
    <x v="2"/>
    <x v="10"/>
    <m/>
    <n v="25"/>
    <n v="22"/>
    <n v="0"/>
    <n v="5"/>
    <n v="4"/>
    <n v="0"/>
    <n v="3"/>
  </r>
  <r>
    <x v="10"/>
    <x v="2"/>
    <x v="3"/>
    <m/>
    <n v="25"/>
    <n v="5"/>
    <n v="0"/>
    <n v="3"/>
    <n v="0"/>
    <n v="0"/>
    <n v="20"/>
  </r>
  <r>
    <x v="10"/>
    <x v="2"/>
    <x v="6"/>
    <m/>
    <n v="25"/>
    <n v="25"/>
    <n v="0"/>
    <n v="1"/>
    <n v="17"/>
    <n v="0"/>
    <n v="0"/>
  </r>
  <r>
    <x v="10"/>
    <x v="2"/>
    <x v="68"/>
    <m/>
    <n v="25"/>
    <n v="12"/>
    <n v="0"/>
    <n v="2"/>
    <n v="0"/>
    <n v="0"/>
    <n v="13"/>
  </r>
  <r>
    <x v="10"/>
    <x v="2"/>
    <x v="35"/>
    <m/>
    <n v="25"/>
    <n v="2"/>
    <n v="0"/>
    <n v="0"/>
    <n v="2"/>
    <n v="0"/>
    <n v="23"/>
  </r>
  <r>
    <x v="10"/>
    <x v="2"/>
    <x v="37"/>
    <m/>
    <n v="25"/>
    <n v="2"/>
    <n v="0"/>
    <n v="0"/>
    <n v="0"/>
    <n v="0"/>
    <n v="23"/>
  </r>
  <r>
    <x v="10"/>
    <x v="2"/>
    <x v="66"/>
    <m/>
    <n v="25"/>
    <n v="16"/>
    <n v="0"/>
    <n v="1"/>
    <n v="0"/>
    <n v="0"/>
    <n v="9"/>
  </r>
  <r>
    <x v="10"/>
    <x v="2"/>
    <x v="80"/>
    <m/>
    <n v="25"/>
    <n v="10"/>
    <n v="0"/>
    <n v="0"/>
    <n v="4"/>
    <n v="0"/>
    <n v="15"/>
  </r>
  <r>
    <x v="10"/>
    <x v="2"/>
    <x v="1"/>
    <m/>
    <n v="25"/>
    <n v="18"/>
    <n v="0"/>
    <n v="5"/>
    <n v="4"/>
    <n v="0"/>
    <n v="7"/>
  </r>
  <r>
    <x v="10"/>
    <x v="2"/>
    <x v="50"/>
    <m/>
    <n v="25"/>
    <n v="13"/>
    <n v="0"/>
    <n v="3"/>
    <n v="2"/>
    <n v="0"/>
    <n v="12"/>
  </r>
  <r>
    <x v="10"/>
    <x v="3"/>
    <x v="89"/>
    <m/>
    <n v="30"/>
    <n v="20"/>
    <n v="0"/>
    <n v="0"/>
    <n v="0"/>
    <n v="0"/>
    <n v="10"/>
  </r>
  <r>
    <x v="10"/>
    <x v="3"/>
    <x v="89"/>
    <m/>
    <n v="30"/>
    <n v="9"/>
    <n v="0"/>
    <n v="0"/>
    <n v="1"/>
    <n v="0"/>
    <n v="21"/>
  </r>
  <r>
    <x v="10"/>
    <x v="3"/>
    <x v="52"/>
    <m/>
    <n v="30"/>
    <n v="30"/>
    <n v="0"/>
    <n v="2"/>
    <n v="2"/>
    <n v="0"/>
    <n v="0"/>
  </r>
  <r>
    <x v="10"/>
    <x v="3"/>
    <x v="15"/>
    <m/>
    <n v="30"/>
    <n v="4"/>
    <n v="0"/>
    <n v="1"/>
    <n v="0"/>
    <n v="0"/>
    <n v="26"/>
  </r>
  <r>
    <x v="10"/>
    <x v="3"/>
    <x v="11"/>
    <m/>
    <n v="30"/>
    <n v="0"/>
    <n v="0"/>
    <n v="0"/>
    <n v="0"/>
    <n v="0"/>
    <n v="30"/>
  </r>
  <r>
    <x v="10"/>
    <x v="3"/>
    <x v="6"/>
    <m/>
    <n v="30"/>
    <n v="29"/>
    <n v="0"/>
    <n v="0"/>
    <n v="17"/>
    <n v="0"/>
    <n v="1"/>
  </r>
  <r>
    <x v="10"/>
    <x v="3"/>
    <x v="3"/>
    <m/>
    <n v="30"/>
    <n v="26"/>
    <n v="0"/>
    <n v="8"/>
    <n v="5"/>
    <n v="0"/>
    <n v="4"/>
  </r>
  <r>
    <x v="10"/>
    <x v="3"/>
    <x v="59"/>
    <m/>
    <n v="30"/>
    <n v="28"/>
    <n v="0"/>
    <n v="4"/>
    <n v="2"/>
    <n v="0"/>
    <n v="2"/>
  </r>
  <r>
    <x v="10"/>
    <x v="3"/>
    <x v="68"/>
    <m/>
    <n v="30"/>
    <n v="15"/>
    <n v="0"/>
    <n v="6"/>
    <n v="1"/>
    <n v="0"/>
    <n v="15"/>
  </r>
  <r>
    <x v="10"/>
    <x v="3"/>
    <x v="35"/>
    <m/>
    <n v="30"/>
    <n v="15"/>
    <n v="0"/>
    <n v="1"/>
    <n v="6"/>
    <n v="0"/>
    <n v="15"/>
  </r>
  <r>
    <x v="10"/>
    <x v="3"/>
    <x v="37"/>
    <m/>
    <n v="30"/>
    <n v="10"/>
    <n v="0"/>
    <n v="1"/>
    <n v="0"/>
    <n v="0"/>
    <n v="20"/>
  </r>
  <r>
    <x v="10"/>
    <x v="3"/>
    <x v="34"/>
    <m/>
    <n v="30"/>
    <n v="16"/>
    <n v="0"/>
    <n v="3"/>
    <n v="10"/>
    <n v="0"/>
    <n v="14"/>
  </r>
  <r>
    <x v="10"/>
    <x v="3"/>
    <x v="80"/>
    <m/>
    <n v="30"/>
    <n v="14"/>
    <n v="0"/>
    <n v="2"/>
    <n v="6"/>
    <n v="0"/>
    <n v="16"/>
  </r>
  <r>
    <x v="10"/>
    <x v="3"/>
    <x v="1"/>
    <m/>
    <n v="30"/>
    <n v="1"/>
    <n v="0"/>
    <n v="0"/>
    <n v="0"/>
    <n v="0"/>
    <n v="29"/>
  </r>
  <r>
    <x v="10"/>
    <x v="3"/>
    <x v="50"/>
    <m/>
    <n v="30"/>
    <n v="5"/>
    <n v="0"/>
    <n v="2"/>
    <n v="1"/>
    <n v="0"/>
    <n v="25"/>
  </r>
  <r>
    <x v="10"/>
    <x v="3"/>
    <x v="89"/>
    <m/>
    <n v="30"/>
    <m/>
    <m/>
    <m/>
    <m/>
    <m/>
    <n v="30"/>
  </r>
  <r>
    <x v="10"/>
    <x v="7"/>
    <x v="94"/>
    <m/>
    <n v="30"/>
    <n v="0"/>
    <n v="0"/>
    <n v="0"/>
    <n v="0"/>
    <n v="0"/>
    <n v="30"/>
  </r>
  <r>
    <x v="10"/>
    <x v="7"/>
    <x v="11"/>
    <m/>
    <n v="30"/>
    <n v="9"/>
    <n v="0"/>
    <n v="1"/>
    <n v="0"/>
    <n v="0"/>
    <n v="21"/>
  </r>
  <r>
    <x v="10"/>
    <x v="7"/>
    <x v="95"/>
    <m/>
    <n v="30"/>
    <n v="12"/>
    <n v="1"/>
    <n v="1"/>
    <n v="0"/>
    <n v="0"/>
    <n v="17"/>
  </r>
  <r>
    <x v="10"/>
    <x v="7"/>
    <x v="8"/>
    <m/>
    <n v="30"/>
    <n v="24"/>
    <n v="0"/>
    <n v="6"/>
    <n v="0"/>
    <n v="0"/>
    <n v="6"/>
  </r>
  <r>
    <x v="10"/>
    <x v="7"/>
    <x v="6"/>
    <m/>
    <n v="30"/>
    <n v="12"/>
    <n v="4"/>
    <n v="10"/>
    <n v="12"/>
    <n v="0"/>
    <n v="14"/>
  </r>
  <r>
    <x v="10"/>
    <x v="7"/>
    <x v="1"/>
    <m/>
    <n v="30"/>
    <n v="25"/>
    <n v="0"/>
    <n v="4"/>
    <n v="19"/>
    <n v="0"/>
    <n v="5"/>
  </r>
  <r>
    <x v="10"/>
    <x v="7"/>
    <x v="17"/>
    <m/>
    <n v="30"/>
    <n v="21"/>
    <n v="0"/>
    <n v="7"/>
    <n v="1"/>
    <n v="0"/>
    <n v="9"/>
  </r>
  <r>
    <x v="10"/>
    <x v="7"/>
    <x v="15"/>
    <m/>
    <n v="30"/>
    <n v="17"/>
    <n v="0"/>
    <n v="7"/>
    <n v="11"/>
    <n v="0"/>
    <n v="13"/>
  </r>
  <r>
    <x v="10"/>
    <x v="7"/>
    <x v="67"/>
    <m/>
    <n v="30"/>
    <n v="23"/>
    <n v="0"/>
    <n v="4"/>
    <n v="2"/>
    <n v="0"/>
    <n v="7"/>
  </r>
  <r>
    <x v="10"/>
    <x v="7"/>
    <x v="10"/>
    <m/>
    <n v="30"/>
    <n v="8"/>
    <n v="0"/>
    <n v="6"/>
    <n v="0"/>
    <n v="0"/>
    <n v="22"/>
  </r>
  <r>
    <x v="10"/>
    <x v="7"/>
    <x v="37"/>
    <m/>
    <n v="30"/>
    <m/>
    <m/>
    <m/>
    <m/>
    <m/>
    <n v="30"/>
  </r>
  <r>
    <x v="10"/>
    <x v="8"/>
    <x v="8"/>
    <m/>
    <n v="25"/>
    <n v="11"/>
    <n v="0"/>
    <n v="3"/>
    <n v="2"/>
    <n v="0"/>
    <n v="14"/>
  </r>
  <r>
    <x v="10"/>
    <x v="8"/>
    <x v="96"/>
    <m/>
    <n v="25"/>
    <n v="22"/>
    <n v="0"/>
    <n v="1"/>
    <n v="2"/>
    <n v="0"/>
    <n v="3"/>
  </r>
  <r>
    <x v="10"/>
    <x v="8"/>
    <x v="97"/>
    <m/>
    <n v="25"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B00-000000000000}" name="PivotTable1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D4" firstHeaderRow="0" firstDataRow="1" firstDataCol="0"/>
  <pivotFields count="40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"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</pivotFields>
  <rowItems count="1">
    <i/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Quotas" fld="18" baseField="0" baseItem="0"/>
    <dataField name="Sum of Graduates" fld="24" baseField="0" baseItem="0"/>
    <dataField name="Sum of Fail" fld="25" baseField="0" baseItem="0"/>
    <dataField name="Sum of No Shows" fld="26" baseField="0" baseItem="0"/>
  </dataFields>
  <formats count="1">
    <format dxfId="2005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77837C9-BFA1-4987-A836-1A6C413DB730}" name="PivotTable1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C25" firstHeaderRow="0" firstDataRow="1" firstDataCol="1" rowPageCount="1" colPageCount="1"/>
  <pivotFields count="40">
    <pivotField showAll="0"/>
    <pivotField axis="axisPage" showAll="0">
      <items count="60">
        <item x="43"/>
        <item x="37"/>
        <item x="46"/>
        <item x="39"/>
        <item x="47"/>
        <item x="14"/>
        <item x="45"/>
        <item x="36"/>
        <item x="44"/>
        <item x="4"/>
        <item x="15"/>
        <item x="54"/>
        <item x="52"/>
        <item x="1"/>
        <item x="5"/>
        <item x="6"/>
        <item x="48"/>
        <item x="10"/>
        <item x="11"/>
        <item x="51"/>
        <item x="12"/>
        <item x="40"/>
        <item x="0"/>
        <item x="7"/>
        <item x="56"/>
        <item x="42"/>
        <item x="38"/>
        <item x="55"/>
        <item x="3"/>
        <item x="16"/>
        <item x="8"/>
        <item x="9"/>
        <item x="41"/>
        <item x="2"/>
        <item x="18"/>
        <item x="19"/>
        <item x="20"/>
        <item x="21"/>
        <item x="17"/>
        <item x="13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49"/>
        <item x="53"/>
        <item x="57"/>
        <item x="50"/>
        <item m="1" x="58"/>
        <item t="default"/>
      </items>
    </pivotField>
    <pivotField showAll="0"/>
    <pivotField showAll="0"/>
    <pivotField axis="axisRow" showAll="0">
      <items count="85">
        <item m="1" x="80"/>
        <item x="21"/>
        <item m="1" x="63"/>
        <item x="32"/>
        <item x="18"/>
        <item x="51"/>
        <item x="50"/>
        <item x="1"/>
        <item x="14"/>
        <item x="47"/>
        <item x="35"/>
        <item m="1" x="70"/>
        <item m="1" x="69"/>
        <item m="1" x="62"/>
        <item m="1" x="59"/>
        <item m="1" x="74"/>
        <item x="27"/>
        <item x="23"/>
        <item x="28"/>
        <item x="0"/>
        <item m="1" x="56"/>
        <item m="1" x="77"/>
        <item x="15"/>
        <item x="31"/>
        <item x="12"/>
        <item x="46"/>
        <item x="41"/>
        <item x="5"/>
        <item m="1" x="61"/>
        <item m="1" x="66"/>
        <item m="1" x="71"/>
        <item x="17"/>
        <item m="1" x="53"/>
        <item x="11"/>
        <item x="43"/>
        <item m="1" x="58"/>
        <item x="26"/>
        <item m="1" x="72"/>
        <item x="6"/>
        <item x="42"/>
        <item x="45"/>
        <item x="37"/>
        <item m="1" x="83"/>
        <item m="1" x="55"/>
        <item m="1" x="79"/>
        <item x="34"/>
        <item x="2"/>
        <item x="4"/>
        <item x="7"/>
        <item x="8"/>
        <item m="1" x="82"/>
        <item x="24"/>
        <item m="1" x="78"/>
        <item x="33"/>
        <item x="19"/>
        <item x="13"/>
        <item x="16"/>
        <item x="20"/>
        <item x="10"/>
        <item x="30"/>
        <item m="1" x="75"/>
        <item x="3"/>
        <item x="9"/>
        <item x="22"/>
        <item m="1" x="81"/>
        <item x="36"/>
        <item m="1" x="64"/>
        <item m="1" x="54"/>
        <item x="44"/>
        <item m="1" x="76"/>
        <item x="52"/>
        <item x="49"/>
        <item x="25"/>
        <item m="1" x="57"/>
        <item x="38"/>
        <item m="1" x="73"/>
        <item x="29"/>
        <item m="1" x="67"/>
        <item x="39"/>
        <item m="1" x="68"/>
        <item x="48"/>
        <item m="1" x="60"/>
        <item m="1" x="65"/>
        <item x="40"/>
        <item t="default"/>
      </items>
    </pivotField>
    <pivotField numFmtId="14" showAll="0"/>
    <pivotField numFmtId="14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numFmtI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" showAll="0"/>
  </pivotFields>
  <rowFields count="1">
    <field x="4"/>
  </rowFields>
  <rowItems count="22">
    <i>
      <x v="6"/>
    </i>
    <i>
      <x v="8"/>
    </i>
    <i>
      <x v="18"/>
    </i>
    <i>
      <x v="22"/>
    </i>
    <i>
      <x v="24"/>
    </i>
    <i>
      <x v="34"/>
    </i>
    <i>
      <x v="38"/>
    </i>
    <i>
      <x v="46"/>
    </i>
    <i>
      <x v="47"/>
    </i>
    <i>
      <x v="48"/>
    </i>
    <i>
      <x v="54"/>
    </i>
    <i>
      <x v="55"/>
    </i>
    <i>
      <x v="56"/>
    </i>
    <i>
      <x v="58"/>
    </i>
    <i>
      <x v="59"/>
    </i>
    <i>
      <x v="61"/>
    </i>
    <i>
      <x v="62"/>
    </i>
    <i>
      <x v="63"/>
    </i>
    <i>
      <x v="71"/>
    </i>
    <i>
      <x v="72"/>
    </i>
    <i>
      <x v="80"/>
    </i>
    <i t="grand">
      <x/>
    </i>
  </rowItems>
  <colFields count="1">
    <field x="-2"/>
  </colFields>
  <colItems count="2">
    <i>
      <x/>
    </i>
    <i i="1">
      <x v="1"/>
    </i>
  </colItems>
  <pageFields count="1">
    <pageField fld="1" item="9" hier="-1"/>
  </pageFields>
  <dataFields count="2">
    <dataField name="Total Planned Quotas in location" fld="18" baseField="0" baseItem="0"/>
    <dataField name="FY26 Quota Need" fld="21" subtotal="min" baseField="4" baseItem="4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579D96D-9457-4706-971C-1E87D7923AA3}" name="PivotTable2" cacheId="1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17" firstHeaderRow="0" firstDataRow="1" firstDataCol="1" rowPageCount="1" colPageCount="1"/>
  <pivotFields count="9">
    <pivotField axis="axisPage" showAll="0">
      <items count="57">
        <item x="0"/>
        <item x="2"/>
        <item x="18"/>
        <item x="19"/>
        <item x="8"/>
        <item x="11"/>
        <item x="21"/>
        <item x="23"/>
        <item x="6"/>
        <item x="20"/>
        <item x="22"/>
        <item x="7"/>
        <item x="15"/>
        <item x="17"/>
        <item x="9"/>
        <item x="10"/>
        <item x="4"/>
        <item x="12"/>
        <item x="13"/>
        <item x="14"/>
        <item x="16"/>
        <item x="5"/>
        <item x="1"/>
        <item x="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55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t="default"/>
      </items>
    </pivotField>
    <pivotField axis="axisRow" showAll="0">
      <items count="25">
        <item m="1" x="14"/>
        <item x="0"/>
        <item x="1"/>
        <item x="2"/>
        <item x="3"/>
        <item x="4"/>
        <item x="5"/>
        <item x="6"/>
        <item x="7"/>
        <item x="8"/>
        <item x="9"/>
        <item m="1" x="15"/>
        <item x="10"/>
        <item m="1" x="17"/>
        <item x="11"/>
        <item x="12"/>
        <item m="1" x="18"/>
        <item m="1" x="19"/>
        <item m="1" x="20"/>
        <item m="1" x="21"/>
        <item m="1" x="22"/>
        <item m="1" x="23"/>
        <item m="1" x="16"/>
        <item m="1" x="1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14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2"/>
    </i>
    <i>
      <x v="14"/>
    </i>
    <i>
      <x v="15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AST" fld="2" baseField="0" baseItem="0"/>
    <dataField name="Sum of CET/CEST" fld="3" baseField="0" baseItem="0"/>
    <dataField name="Sum of EST/EDT" fld="4" baseField="0" baseItem="0"/>
    <dataField name="Sum of HST" fld="5" baseField="0" baseItem="0"/>
    <dataField name="Sum of JST" fld="6" baseField="0" baseItem="0"/>
    <dataField name="Sum of PST/PDT " fld="7" baseField="0" baseItem="0"/>
  </dataFields>
  <formats count="8">
    <format dxfId="1584">
      <pivotArea collapsedLevelsAreSubtotals="1" fieldPosition="0">
        <references count="1">
          <reference field="1" count="0"/>
        </references>
      </pivotArea>
    </format>
    <format dxfId="1583">
      <pivotArea dataOnly="0" labelOnly="1" fieldPosition="0">
        <references count="1">
          <reference field="1" count="0"/>
        </references>
      </pivotArea>
    </format>
    <format dxfId="1582">
      <pivotArea collapsedLevelsAreSubtotals="1" fieldPosition="0">
        <references count="1">
          <reference field="1" count="1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581">
      <pivotArea dataOnly="0" labelOnly="1" fieldPosition="0">
        <references count="1">
          <reference field="1" count="16"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</reference>
        </references>
      </pivotArea>
    </format>
    <format dxfId="1580">
      <pivotArea grandRow="1" outline="0" collapsedLevelsAreSubtotals="1" fieldPosition="0"/>
    </format>
    <format dxfId="1579">
      <pivotArea dataOnly="0" labelOnly="1" grandRow="1" outline="0" fieldPosition="0"/>
    </format>
    <format dxfId="1578">
      <pivotArea grandRow="1" outline="0" collapsedLevelsAreSubtotals="1" fieldPosition="0"/>
    </format>
    <format dxfId="1577">
      <pivotArea dataOnly="0" labelOnly="1" grandRow="1" outline="0" fieldPosition="0"/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DDC9CC7-1F7D-4FE3-9828-4B7E37668A90}" name="PivotTable1" cacheId="14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J20" firstHeaderRow="1" firstDataRow="2" firstDataCol="1" rowPageCount="1" colPageCount="1"/>
  <pivotFields count="19">
    <pivotField axis="axisPage" multipleItemSelectionAllowed="1" showAll="0">
      <items count="57">
        <item x="0"/>
        <item x="2"/>
        <item x="18"/>
        <item x="19"/>
        <item x="8"/>
        <item x="11"/>
        <item x="21"/>
        <item x="23"/>
        <item x="6"/>
        <item x="20"/>
        <item x="22"/>
        <item x="7"/>
        <item x="15"/>
        <item x="17"/>
        <item x="9"/>
        <item x="10"/>
        <item x="4"/>
        <item x="12"/>
        <item x="13"/>
        <item x="14"/>
        <item x="16"/>
        <item x="5"/>
        <item x="1"/>
        <item x="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axis="axisCol" showAll="0" sortType="ascending">
      <items count="87">
        <item x="62"/>
        <item x="0"/>
        <item x="1"/>
        <item x="2"/>
        <item x="3"/>
        <item x="4"/>
        <item x="5"/>
        <item x="73"/>
        <item x="72"/>
        <item x="63"/>
        <item x="55"/>
        <item x="83"/>
        <item x="6"/>
        <item x="7"/>
        <item x="8"/>
        <item x="9"/>
        <item x="10"/>
        <item x="82"/>
        <item x="11"/>
        <item x="85"/>
        <item x="12"/>
        <item x="13"/>
        <item x="56"/>
        <item x="14"/>
        <item x="76"/>
        <item x="15"/>
        <item x="16"/>
        <item x="17"/>
        <item x="18"/>
        <item x="19"/>
        <item x="20"/>
        <item x="21"/>
        <item x="57"/>
        <item x="22"/>
        <item x="23"/>
        <item x="77"/>
        <item x="24"/>
        <item x="25"/>
        <item x="26"/>
        <item x="69"/>
        <item x="67"/>
        <item x="65"/>
        <item x="70"/>
        <item x="68"/>
        <item x="66"/>
        <item x="71"/>
        <item x="52"/>
        <item x="81"/>
        <item x="58"/>
        <item x="27"/>
        <item x="84"/>
        <item x="28"/>
        <item x="78"/>
        <item x="29"/>
        <item x="59"/>
        <item x="30"/>
        <item x="31"/>
        <item x="32"/>
        <item x="33"/>
        <item x="34"/>
        <item x="79"/>
        <item x="35"/>
        <item x="36"/>
        <item x="53"/>
        <item x="37"/>
        <item x="38"/>
        <item x="39"/>
        <item x="54"/>
        <item x="64"/>
        <item x="61"/>
        <item x="40"/>
        <item x="41"/>
        <item x="42"/>
        <item x="43"/>
        <item x="44"/>
        <item x="45"/>
        <item x="74"/>
        <item x="46"/>
        <item x="80"/>
        <item x="47"/>
        <item x="48"/>
        <item x="49"/>
        <item x="50"/>
        <item x="60"/>
        <item x="75"/>
        <item x="51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-2"/>
  </rowFields>
  <rowItems count="16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  <i i="15">
      <x v="15"/>
    </i>
  </rowItems>
  <colFields count="1">
    <field x="1"/>
  </colFields>
  <colItems count="8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 t="grand">
      <x/>
    </i>
  </colItems>
  <pageFields count="1">
    <pageField fld="0" hier="-1"/>
  </pageFields>
  <dataFields count="16">
    <dataField name="Sum of Asbestos Inspector" fld="2" baseField="0" baseItem="0"/>
    <dataField name="Sum of Asbestos Inspector Refresher" fld="3" baseField="0" baseItem="0"/>
    <dataField name="Sum of Asbestos Management Planner" fld="4" baseField="0" baseItem="0"/>
    <dataField name="Sum of Asbestos Management Planner Refresher" fld="5" baseField="0" baseItem="0"/>
    <dataField name="Sum of Asbestos Supervisor Initial" fld="6" baseField="0" baseItem="0"/>
    <dataField name="Sum of Asbestos Supervisor Refresher" fld="7" baseField="0" baseItem="0"/>
    <dataField name="Sum of Competent Person for Fall Protection Course" fld="8" baseField="0" baseItem="0"/>
    <dataField name="Sum of Confined Space Safety " fld="9" baseField="0" baseItem="0"/>
    <dataField name="Sum of Construction Safety Standards" fld="10" baseField="0" baseItem="0"/>
    <dataField name="Sum of Emergency Asbestos Response Team" fld="11" baseField="0" baseItem="0"/>
    <dataField name="Sum of Fire Protection &amp; Life Safety" fld="12" baseField="0" baseItem="0"/>
    <dataField name="Sum of Industrial Noise and Hearing Conservation Program" fld="13" baseField="0" baseItem="0"/>
    <dataField name="Sum of Occupational Health Program Manager (In development)" fld="14" baseField="0" baseItem="0"/>
    <dataField name="Sum of Respiratory Protection Program Management" fld="15" baseField="0" baseItem="0"/>
    <dataField name="Sum of Safety Managers Course " fld="16" baseField="0" baseItem="0"/>
    <dataField name="Sum of Workplace Inspection Course (In Development)" fld="17" baseField="0" baseItem="0"/>
  </dataFields>
  <formats count="26">
    <format dxfId="157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8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1"/>
            <x v="53"/>
            <x v="54"/>
            <x v="55"/>
            <x v="56"/>
            <x v="57"/>
          </reference>
        </references>
      </pivotArea>
    </format>
    <format dxfId="1575">
      <pivotArea dataOnly="0" labelOnly="1" fieldPosition="0">
        <references count="1">
          <reference field="1" count="24">
            <x v="58"/>
            <x v="59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</reference>
        </references>
      </pivotArea>
    </format>
    <format dxfId="1574">
      <pivotArea dataOnly="0" labelOnly="1" grandCol="1" outline="0" fieldPosition="0"/>
    </format>
    <format dxfId="1573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8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1"/>
            <x v="53"/>
            <x v="54"/>
            <x v="55"/>
            <x v="56"/>
            <x v="57"/>
          </reference>
        </references>
      </pivotArea>
    </format>
    <format dxfId="1572">
      <pivotArea dataOnly="0" labelOnly="1" fieldPosition="0">
        <references count="1">
          <reference field="1" count="24">
            <x v="58"/>
            <x v="59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</reference>
        </references>
      </pivotArea>
    </format>
    <format dxfId="1571">
      <pivotArea dataOnly="0" labelOnly="1" grandCol="1" outline="0" fieldPosition="0"/>
    </format>
    <format dxfId="1570">
      <pivotArea outline="0" collapsedLevelsAreSubtotals="1" fieldPosition="0"/>
    </format>
    <format dxfId="1569">
      <pivotArea field="-2" type="button" dataOnly="0" labelOnly="1" outline="0" axis="axisRow" fieldPosition="0"/>
    </format>
    <format dxfId="1568">
      <pivotArea dataOnly="0" labelOnly="1" outline="0" fieldPosition="0">
        <references count="1">
          <reference field="4294967294" count="16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</reference>
        </references>
      </pivotArea>
    </format>
    <format dxfId="1567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2"/>
            <x v="13"/>
            <x v="14"/>
            <x v="15"/>
            <x v="16"/>
            <x v="18"/>
            <x v="20"/>
            <x v="21"/>
            <x v="22"/>
            <x v="23"/>
            <x v="25"/>
            <x v="26"/>
            <x v="27"/>
            <x v="28"/>
            <x v="29"/>
            <x v="30"/>
            <x v="31"/>
            <x v="32"/>
            <x v="33"/>
            <x v="34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8"/>
            <x v="49"/>
            <x v="51"/>
            <x v="53"/>
            <x v="54"/>
            <x v="55"/>
            <x v="56"/>
            <x v="57"/>
          </reference>
        </references>
      </pivotArea>
    </format>
    <format dxfId="1566">
      <pivotArea dataOnly="0" labelOnly="1" fieldPosition="0">
        <references count="1">
          <reference field="1" count="24">
            <x v="58"/>
            <x v="59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7"/>
            <x v="79"/>
            <x v="80"/>
            <x v="81"/>
            <x v="82"/>
            <x v="83"/>
            <x v="85"/>
          </reference>
        </references>
      </pivotArea>
    </format>
    <format dxfId="1565">
      <pivotArea dataOnly="0" labelOnly="1" grandCol="1" outline="0" fieldPosition="0"/>
    </format>
    <format dxfId="1564">
      <pivotArea dataOnly="0" labelOnly="1" fieldPosition="0">
        <references count="1">
          <reference field="1" count="12">
            <x v="11"/>
            <x v="17"/>
            <x v="19"/>
            <x v="24"/>
            <x v="35"/>
            <x v="47"/>
            <x v="50"/>
            <x v="52"/>
            <x v="60"/>
            <x v="76"/>
            <x v="78"/>
            <x v="84"/>
          </reference>
        </references>
      </pivotArea>
    </format>
    <format dxfId="1563">
      <pivotArea grandCol="1" outline="0" collapsedLevelsAreSubtotals="1" fieldPosition="0"/>
    </format>
    <format dxfId="1562">
      <pivotArea grandCol="1" outline="0" collapsedLevelsAreSubtotals="1" fieldPosition="0"/>
    </format>
    <format dxfId="1561">
      <pivotArea grandCol="1" outline="0" collapsedLevelsAreSubtotals="1" fieldPosition="0"/>
    </format>
    <format dxfId="1560">
      <pivotArea dataOnly="0" labelOnly="1" grandCol="1" outline="0" fieldPosition="0"/>
    </format>
    <format dxfId="1559">
      <pivotArea grandCol="1" outline="0" collapsedLevelsAreSubtotals="1" fieldPosition="0"/>
    </format>
    <format dxfId="1558">
      <pivotArea dataOnly="0" labelOnly="1" grandCol="1" outline="0" fieldPosition="0"/>
    </format>
    <format dxfId="1557">
      <pivotArea grandCol="1" outline="0" collapsedLevelsAreSubtotals="1" fieldPosition="0"/>
    </format>
    <format dxfId="1556">
      <pivotArea dataOnly="0" labelOnly="1" grandCol="1" outline="0" fieldPosition="0"/>
    </format>
    <format dxfId="1555">
      <pivotArea dataOnly="0" labelOnly="1" fieldPosition="0">
        <references count="1">
          <reference field="1" count="50"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</reference>
        </references>
      </pivotArea>
    </format>
    <format dxfId="1554">
      <pivotArea dataOnly="0" labelOnly="1" fieldPosition="0">
        <references count="1">
          <reference field="1" count="25"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</reference>
        </references>
      </pivotArea>
    </format>
    <format dxfId="1553">
      <pivotArea dataOnly="0" labelOnly="1" grandCol="1" outline="0" fieldPosition="0"/>
    </format>
    <format dxfId="1552">
      <pivotArea collapsedLevelsAreSubtotals="1" fieldPosition="0">
        <references count="1">
          <reference field="4294967294" count="1">
            <x v="6"/>
          </reference>
        </references>
      </pivotArea>
    </format>
    <format dxfId="1551">
      <pivotArea dataOnly="0" labelOnly="1" outline="0" fieldPosition="0">
        <references count="1">
          <reference field="4294967294" count="1">
            <x v="6"/>
          </reference>
        </references>
      </pivotArea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A468BE5-B514-4871-9ABF-37C85D0BD06A}" name="PivotTable1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91" firstHeaderRow="0" firstDataRow="1" firstDataCol="1" rowPageCount="1" colPageCount="1"/>
  <pivotFields count="10">
    <pivotField axis="axisPage" showAll="0">
      <items count="56">
        <item x="0"/>
        <item x="1"/>
        <item x="2"/>
        <item x="28"/>
        <item x="3"/>
        <item x="4"/>
        <item x="14"/>
        <item x="5"/>
        <item x="29"/>
        <item x="6"/>
        <item x="7"/>
        <item x="8"/>
        <item x="15"/>
        <item x="9"/>
        <item x="16"/>
        <item x="17"/>
        <item x="27"/>
        <item x="10"/>
        <item x="18"/>
        <item x="19"/>
        <item x="20"/>
        <item x="30"/>
        <item x="21"/>
        <item x="22"/>
        <item x="23"/>
        <item x="11"/>
        <item x="24"/>
        <item x="12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9"/>
        <item x="50"/>
        <item x="51"/>
        <item x="52"/>
        <item x="25"/>
        <item x="53"/>
        <item x="26"/>
        <item x="13"/>
        <item x="47"/>
        <item x="48"/>
        <item x="46"/>
        <item x="54"/>
        <item t="default"/>
      </items>
    </pivotField>
    <pivotField axis="axisRow" showAll="0">
      <items count="89">
        <item sd="0" x="61"/>
        <item sd="0" x="50"/>
        <item sd="0" x="0"/>
        <item sd="0" x="21"/>
        <item sd="0" x="28"/>
        <item sd="0" x="32"/>
        <item sd="0" x="84"/>
        <item sd="0" x="57"/>
        <item sd="0" x="71"/>
        <item sd="0" x="49"/>
        <item sd="0" x="22"/>
        <item sd="0" x="76"/>
        <item sd="0" x="44"/>
        <item sd="0" x="64"/>
        <item sd="0" x="47"/>
        <item sd="0" x="34"/>
        <item sd="0" x="58"/>
        <item sd="0" x="69"/>
        <item sd="0" x="72"/>
        <item sd="0" x="56"/>
        <item sd="0" x="46"/>
        <item sd="0" x="67"/>
        <item sd="0" x="35"/>
        <item sd="0" x="12"/>
        <item sd="0" x="79"/>
        <item sd="0" x="59"/>
        <item sd="0" x="1"/>
        <item sd="0" x="13"/>
        <item sd="0" x="14"/>
        <item sd="0" x="2"/>
        <item sd="0" x="15"/>
        <item sd="0" x="68"/>
        <item sd="0" x="16"/>
        <item sd="0" x="29"/>
        <item sd="0" x="60"/>
        <item sd="0" x="17"/>
        <item sd="0" x="36"/>
        <item sd="0" x="18"/>
        <item sd="0" x="70"/>
        <item sd="0" x="74"/>
        <item sd="0" x="62"/>
        <item sd="0" x="26"/>
        <item sd="0" x="25"/>
        <item sd="0" x="85"/>
        <item sd="0" x="63"/>
        <item sd="0" x="55"/>
        <item sd="0" x="9"/>
        <item sd="0" x="43"/>
        <item sd="0" x="73"/>
        <item sd="0" x="48"/>
        <item sd="0" x="45"/>
        <item sd="0" x="51"/>
        <item sd="0" x="37"/>
        <item sd="0" x="24"/>
        <item sd="0" x="30"/>
        <item sd="0" x="3"/>
        <item sd="0" x="82"/>
        <item sd="0" x="80"/>
        <item sd="0" x="81"/>
        <item sd="0" x="86"/>
        <item sd="0" x="4"/>
        <item sd="0" x="19"/>
        <item sd="0" x="5"/>
        <item sd="0" x="83"/>
        <item sd="0" x="6"/>
        <item sd="0" x="20"/>
        <item sd="0" x="10"/>
        <item sd="0" x="38"/>
        <item sd="0" x="65"/>
        <item sd="0" x="11"/>
        <item sd="0" x="75"/>
        <item sd="0" x="23"/>
        <item sd="0" x="78"/>
        <item sd="0" x="52"/>
        <item sd="0" x="33"/>
        <item sd="0" x="7"/>
        <item sd="0" x="39"/>
        <item sd="0" x="53"/>
        <item sd="0" x="66"/>
        <item sd="0" x="54"/>
        <item sd="0" x="40"/>
        <item sd="0" x="41"/>
        <item sd="0" x="27"/>
        <item sd="0" x="42"/>
        <item x="77"/>
        <item x="31"/>
        <item sd="0" x="8"/>
        <item h="1" x="87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dataField="1" showAll="0"/>
  </pivotFields>
  <rowFields count="1">
    <field x="1"/>
  </rowFields>
  <rowItems count="8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pageFields count="1">
    <pageField fld="0" hier="-1"/>
  </pageFields>
  <dataFields count="7">
    <dataField name="Sum of Quotas Needed" fld="2" baseField="0" baseItem="0"/>
    <dataField name="Sum of Grads" fld="4" baseField="0" baseItem="0"/>
    <dataField name="Sum of Fails" fld="5" baseField="0" baseItem="0"/>
    <dataField name="Sum of No-Shows" fld="6" baseField="0" baseItem="0"/>
    <dataField name="Sum of Walk-ins" fld="7" baseField="0" baseItem="0"/>
    <dataField name="Sum of Unused Quotas" fld="9" baseField="0" baseItem="0"/>
    <dataField name="Sum of Planned Quotas" fld="3" baseField="0" baseItem="0"/>
  </dataField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FE3F6B3-9BF5-4802-B6A9-FF3458F0E0EB}" name="PivotTable1" cacheId="16" dataOnRows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T13" firstHeaderRow="1" firstDataRow="2" firstDataCol="1" rowPageCount="1" colPageCount="1"/>
  <pivotFields count="12">
    <pivotField axis="axisPage" multipleItemSelectionAllowed="1" showAll="0">
      <items count="13">
        <item x="1"/>
        <item x="0"/>
        <item h="1" x="9"/>
        <item x="2"/>
        <item x="3"/>
        <item x="4"/>
        <item m="1" x="11"/>
        <item x="6"/>
        <item m="1" x="10"/>
        <item x="8"/>
        <item x="5"/>
        <item x="7"/>
        <item t="default"/>
      </items>
    </pivotField>
    <pivotField axis="axisCol" showAll="0" sortType="ascending">
      <items count="98">
        <item x="78"/>
        <item x="0"/>
        <item x="1"/>
        <item x="2"/>
        <item x="3"/>
        <item x="4"/>
        <item x="5"/>
        <item x="89"/>
        <item x="52"/>
        <item x="67"/>
        <item x="6"/>
        <item x="68"/>
        <item x="7"/>
        <item x="8"/>
        <item x="9"/>
        <item x="10"/>
        <item x="69"/>
        <item x="11"/>
        <item x="70"/>
        <item x="12"/>
        <item x="13"/>
        <item x="71"/>
        <item x="14"/>
        <item x="15"/>
        <item x="16"/>
        <item x="17"/>
        <item x="82"/>
        <item x="83"/>
        <item x="18"/>
        <item x="19"/>
        <item x="20"/>
        <item x="21"/>
        <item x="72"/>
        <item x="22"/>
        <item x="23"/>
        <item x="24"/>
        <item x="25"/>
        <item x="88"/>
        <item x="26"/>
        <item x="95"/>
        <item x="56"/>
        <item x="57"/>
        <item x="59"/>
        <item x="58"/>
        <item x="65"/>
        <item x="53"/>
        <item x="94"/>
        <item x="91"/>
        <item x="54"/>
        <item x="61"/>
        <item x="64"/>
        <item x="92"/>
        <item x="60"/>
        <item x="90"/>
        <item x="93"/>
        <item x="55"/>
        <item x="62"/>
        <item x="66"/>
        <item x="63"/>
        <item x="73"/>
        <item x="27"/>
        <item x="81"/>
        <item x="74"/>
        <item x="28"/>
        <item x="29"/>
        <item x="75"/>
        <item x="30"/>
        <item x="31"/>
        <item x="32"/>
        <item x="33"/>
        <item x="34"/>
        <item x="35"/>
        <item x="36"/>
        <item x="37"/>
        <item x="38"/>
        <item x="39"/>
        <item x="76"/>
        <item x="40"/>
        <item x="41"/>
        <item x="42"/>
        <item x="43"/>
        <item x="85"/>
        <item x="44"/>
        <item x="45"/>
        <item x="80"/>
        <item x="77"/>
        <item x="46"/>
        <item x="86"/>
        <item x="84"/>
        <item x="47"/>
        <item x="48"/>
        <item x="49"/>
        <item x="50"/>
        <item x="79"/>
        <item x="51"/>
        <item x="87"/>
        <item x="96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"/>
  </colFields>
  <colItems count="97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 t="grand">
      <x/>
    </i>
  </colItems>
  <pageFields count="1">
    <pageField fld="0" hier="-1"/>
  </pageFields>
  <dataFields count="9">
    <dataField name="Sum of Facility Response Team Five Day" fld="2" baseField="0" baseItem="0"/>
    <dataField name="Sum of Facility Response Team Three Day" fld="3" baseField="0" baseItem="0"/>
    <dataField name="Sum of Hazardous Substance Incident Response Management" fld="4" baseField="0" baseItem="0"/>
    <dataField name="Sum of Hazardous Substance Incident Response Management  Refresher" fld="5" baseField="0" baseItem="0"/>
    <dataField name="Sum of Incident Command System 300 " fld="6" baseField="0" baseItem="0"/>
    <dataField name="Sum of Incident Command System 300 Refresher" fld="7" baseField="0" baseItem="0"/>
    <dataField name="Sum of Incident Command System 400 " fld="8" baseField="0" baseItem="0"/>
    <dataField name="Sum of Oil Hazardous Substance Spill Response Tabletop Exercise " fld="9" baseField="0" baseItem="0"/>
    <dataField name="Sum of Tank Managers Course" fld="10" baseField="0" baseItem="0"/>
  </dataFields>
  <formats count="25">
    <format dxfId="1550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8"/>
            <x v="49"/>
            <x v="50"/>
            <x v="52"/>
            <x v="55"/>
          </reference>
        </references>
      </pivotArea>
    </format>
    <format dxfId="1549">
      <pivotArea dataOnly="0" labelOnly="1" fieldPosition="0">
        <references count="1">
          <reference field="1" count="41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4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8"/>
            <x v="49"/>
            <x v="50"/>
            <x v="52"/>
            <x v="55"/>
          </reference>
        </references>
      </pivotArea>
    </format>
    <format dxfId="1547">
      <pivotArea dataOnly="0" labelOnly="1" fieldPosition="0">
        <references count="1">
          <reference field="1" count="41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46">
      <pivotArea outline="0" collapsedLevelsAreSubtotals="1" fieldPosition="0">
        <references count="1">
          <reference field="1" count="0" selected="0"/>
        </references>
      </pivotArea>
    </format>
    <format dxfId="1545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544">
      <pivotArea collapsedLevelsAreSubtotals="1" fieldPosition="0">
        <references count="1">
          <reference field="4294967294" count="1">
            <x v="0"/>
          </reference>
        </references>
      </pivotArea>
    </format>
    <format dxfId="1543">
      <pivotArea collapsedLevelsAreSubtotals="1" fieldPosition="0">
        <references count="1">
          <reference field="4294967294" count="1">
            <x v="2"/>
          </reference>
        </references>
      </pivotArea>
    </format>
    <format dxfId="1542">
      <pivotArea collapsedLevelsAreSubtotals="1" fieldPosition="0">
        <references count="1">
          <reference field="4294967294" count="1">
            <x v="4"/>
          </reference>
        </references>
      </pivotArea>
    </format>
    <format dxfId="1541">
      <pivotArea outline="0" collapsedLevelsAreSubtotals="1" fieldPosition="0"/>
    </format>
    <format dxfId="1540">
      <pivotArea field="-2" type="button" dataOnly="0" labelOnly="1" outline="0" axis="axisRow" fieldPosition="0"/>
    </format>
    <format dxfId="1539">
      <pivotArea dataOnly="0" labelOnly="1" outline="0" fieldPosition="0">
        <references count="1">
          <reference field="4294967294" count="9">
            <x v="0"/>
            <x v="1"/>
            <x v="2"/>
            <x v="3"/>
            <x v="4"/>
            <x v="5"/>
            <x v="6"/>
            <x v="7"/>
            <x v="8"/>
          </reference>
        </references>
      </pivotArea>
    </format>
    <format dxfId="1538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40"/>
            <x v="41"/>
            <x v="42"/>
            <x v="43"/>
            <x v="44"/>
            <x v="45"/>
            <x v="48"/>
            <x v="49"/>
            <x v="50"/>
            <x v="52"/>
            <x v="55"/>
          </reference>
        </references>
      </pivotArea>
    </format>
    <format dxfId="1537">
      <pivotArea dataOnly="0" labelOnly="1" fieldPosition="0">
        <references count="1">
          <reference field="1" count="41"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36">
      <pivotArea dataOnly="0" labelOnly="1" grandCol="1" outline="0" fieldPosition="0"/>
    </format>
    <format dxfId="1535">
      <pivotArea dataOnly="0" labelOnly="1" fieldPosition="0">
        <references count="1">
          <reference field="1" count="16"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</reference>
        </references>
      </pivotArea>
    </format>
    <format dxfId="1534">
      <pivotArea grandCol="1" outline="0" collapsedLevelsAreSubtotals="1" fieldPosition="0"/>
    </format>
    <format dxfId="1533">
      <pivotArea dataOnly="0" labelOnly="1" grandCol="1" outline="0" fieldPosition="0"/>
    </format>
    <format dxfId="1532">
      <pivotArea grandCol="1" outline="0" collapsedLevelsAreSubtotals="1" fieldPosition="0"/>
    </format>
    <format dxfId="1531">
      <pivotArea dataOnly="0" labelOnly="1" grandCol="1" outline="0" fieldPosition="0"/>
    </format>
    <format dxfId="1530">
      <pivotArea dataOnly="0" labelOnly="1" fieldPosition="0">
        <references count="1">
          <reference field="1" count="50"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</reference>
        </references>
      </pivotArea>
    </format>
    <format dxfId="1529">
      <pivotArea dataOnly="0" labelOnly="1" fieldPosition="0">
        <references count="1">
          <reference field="1" count="33"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</reference>
        </references>
      </pivotArea>
    </format>
    <format dxfId="1528">
      <pivotArea dataOnly="0" labelOnly="1" grandCol="1" outline="0" fieldPosition="0"/>
    </format>
    <format dxfId="1527">
      <pivotArea grandCol="1" outline="0" collapsedLevelsAreSubtotals="1" fieldPosition="0"/>
    </format>
    <format dxfId="1526">
      <pivotArea dataOnly="0" labelOnly="1" grandCol="1" outline="0" fieldPosition="0"/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5B37983-011F-4722-A5F1-0657E67CB2BF}" name="PivotTable1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6" firstHeaderRow="0" firstDataRow="1" firstDataCol="1" rowPageCount="1" colPageCount="1"/>
  <pivotFields count="9">
    <pivotField axis="axisPage" showAll="0">
      <items count="10">
        <item x="7"/>
        <item x="5"/>
        <item x="4"/>
        <item x="2"/>
        <item x="3"/>
        <item x="6"/>
        <item x="1"/>
        <item x="0"/>
        <item x="8"/>
        <item t="default"/>
      </items>
    </pivotField>
    <pivotField axis="axisRow" showAll="0">
      <items count="5">
        <item x="0"/>
        <item m="1" x="3"/>
        <item x="1"/>
        <item h="1" x="2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1">
    <field x="1"/>
  </rowFields>
  <rowItems count="3">
    <i>
      <x/>
    </i>
    <i>
      <x v="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0" hier="-1"/>
  </pageFields>
  <dataFields count="6">
    <dataField name="Sum of AST" fld="2" baseField="0" baseItem="0"/>
    <dataField name="Sum of CET/CEST" fld="3" baseField="0" baseItem="0"/>
    <dataField name="Sum of EST/EDT" fld="4" baseField="0" baseItem="0"/>
    <dataField name="Sum of HST" fld="5" baseField="0" baseItem="0"/>
    <dataField name="Sum of JST" fld="6" baseField="0" baseItem="0"/>
    <dataField name="Sum of PST/PDT " fld="7" baseField="0" baseItem="0"/>
  </dataFields>
  <formats count="8">
    <format dxfId="1525">
      <pivotArea grandRow="1" outline="0" collapsedLevelsAreSubtotals="1" fieldPosition="0"/>
    </format>
    <format dxfId="1524">
      <pivotArea dataOnly="0" labelOnly="1" grandRow="1" outline="0" fieldPosition="0"/>
    </format>
    <format dxfId="1523">
      <pivotArea collapsedLevelsAreSubtotals="1" fieldPosition="0">
        <references count="1">
          <reference field="1" count="0"/>
        </references>
      </pivotArea>
    </format>
    <format dxfId="1522">
      <pivotArea dataOnly="0" labelOnly="1" fieldPosition="0">
        <references count="1">
          <reference field="1" count="0"/>
        </references>
      </pivotArea>
    </format>
    <format dxfId="1521">
      <pivotArea grandRow="1" outline="0" collapsedLevelsAreSubtotals="1" fieldPosition="0"/>
    </format>
    <format dxfId="1520">
      <pivotArea dataOnly="0" labelOnly="1" grandRow="1" outline="0" fieldPosition="0"/>
    </format>
    <format dxfId="1519">
      <pivotArea grandRow="1" outline="0" collapsedLevelsAreSubtotals="1" fieldPosition="0"/>
    </format>
    <format dxfId="1518">
      <pivotArea dataOnly="0" labelOnly="1" grandRow="1" outline="0" fieldPosition="0"/>
    </format>
  </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51CEF3F-2EE3-42B0-A177-AF9996BB6A30}" name="PivotTable1" cacheId="2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2">
  <location ref="A3:I103" firstHeaderRow="0" firstDataRow="1" firstDataCol="1" rowPageCount="1" colPageCount="1"/>
  <pivotFields count="11">
    <pivotField axis="axisRow" showAll="0">
      <items count="12">
        <item x="4"/>
        <item x="9"/>
        <item x="7"/>
        <item x="6"/>
        <item x="2"/>
        <item x="8"/>
        <item x="1"/>
        <item x="0"/>
        <item x="5"/>
        <item x="3"/>
        <item x="10"/>
        <item t="default"/>
      </items>
    </pivotField>
    <pivotField axis="axisPage" showAll="0">
      <items count="11">
        <item x="9"/>
        <item x="0"/>
        <item sd="0" x="1"/>
        <item sd="0" x="2"/>
        <item sd="0" x="3"/>
        <item sd="0" x="4"/>
        <item sd="0" x="5"/>
        <item sd="0" x="6"/>
        <item sd="0" x="7"/>
        <item sd="0" x="8"/>
        <item t="default"/>
      </items>
    </pivotField>
    <pivotField axis="axisRow" showAll="0" sortType="ascending">
      <items count="99">
        <item sd="0" x="55"/>
        <item sd="0" x="30"/>
        <item sd="0" x="1"/>
        <item sd="0" x="2"/>
        <item sd="0" x="97"/>
        <item sd="0" x="31"/>
        <item sd="0" x="94"/>
        <item sd="0" x="3"/>
        <item sd="0" x="18"/>
        <item sd="0" x="82"/>
        <item sd="0" x="20"/>
        <item sd="0" x="71"/>
        <item sd="0" x="67"/>
        <item sd="0" x="72"/>
        <item sd="0" x="45"/>
        <item sd="0" x="4"/>
        <item sd="0" x="5"/>
        <item sd="0" x="68"/>
        <item sd="0" x="73"/>
        <item sd="0" x="6"/>
        <item sd="0" x="74"/>
        <item sd="0" x="7"/>
        <item sd="0" x="75"/>
        <item sd="0" x="76"/>
        <item sd="0" x="89"/>
        <item sd="0" x="46"/>
        <item sd="0" x="8"/>
        <item sd="0" x="32"/>
        <item sd="0" x="83"/>
        <item sd="0" x="92"/>
        <item sd="0" x="56"/>
        <item sd="0" x="90"/>
        <item sd="0" x="57"/>
        <item sd="0" x="47"/>
        <item sd="0" x="48"/>
        <item sd="0" x="66"/>
        <item sd="0" x="49"/>
        <item sd="0" x="39"/>
        <item sd="0" x="86"/>
        <item sd="0" x="33"/>
        <item sd="0" x="84"/>
        <item sd="0" x="9"/>
        <item sd="0" x="59"/>
        <item sd="0" x="34"/>
        <item sd="0" x="65"/>
        <item sd="0" x="23"/>
        <item sd="0" x="42"/>
        <item sd="0" x="25"/>
        <item sd="0" x="24"/>
        <item sd="0" x="28"/>
        <item sd="0" x="69"/>
        <item sd="0" x="64"/>
        <item sd="0" x="61"/>
        <item sd="0" x="21"/>
        <item sd="0" x="43"/>
        <item sd="0" x="27"/>
        <item sd="0" x="62"/>
        <item sd="0" x="26"/>
        <item sd="0" x="60"/>
        <item sd="0" x="63"/>
        <item sd="0" x="22"/>
        <item sd="0" x="70"/>
        <item sd="0" x="29"/>
        <item sd="0" x="87"/>
        <item sd="0" x="77"/>
        <item sd="0" x="50"/>
        <item sd="0" x="35"/>
        <item sd="0" x="78"/>
        <item sd="0" x="44"/>
        <item sd="0" x="0"/>
        <item sd="0" x="10"/>
        <item sd="0" x="51"/>
        <item sd="0" x="52"/>
        <item sd="0" x="11"/>
        <item sd="0" x="12"/>
        <item sd="0" x="95"/>
        <item sd="0" x="13"/>
        <item sd="0" x="36"/>
        <item sd="0" x="37"/>
        <item sd="0" x="79"/>
        <item sd="0" x="38"/>
        <item sd="0" x="14"/>
        <item sd="0" x="15"/>
        <item sd="0" x="80"/>
        <item sd="0" x="40"/>
        <item sd="0" x="53"/>
        <item sd="0" x="96"/>
        <item sd="0" x="41"/>
        <item sd="0" x="91"/>
        <item sd="0" x="58"/>
        <item sd="0" x="81"/>
        <item x="93"/>
        <item sd="0" x="54"/>
        <item sd="0" x="19"/>
        <item sd="0" x="16"/>
        <item sd="0" x="85"/>
        <item sd="0" x="17"/>
        <item sd="0" x="88"/>
        <item t="default" sd="0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2"/>
    <field x="0"/>
  </rowFields>
  <rowItems count="10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r="1">
      <x v="10"/>
    </i>
    <i>
      <x v="92"/>
    </i>
    <i>
      <x v="93"/>
    </i>
    <i>
      <x v="94"/>
    </i>
    <i>
      <x v="95"/>
    </i>
    <i>
      <x v="96"/>
    </i>
    <i>
      <x v="97"/>
    </i>
    <i t="grand">
      <x/>
    </i>
  </rowItems>
  <colFields count="1">
    <field x="-2"/>
  </colFields>
  <colItems count="8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</colItems>
  <pageFields count="1">
    <pageField fld="1" hier="-1"/>
  </pageFields>
  <dataFields count="8">
    <dataField name="Sum of Quotas Needed" fld="3" baseField="0" baseItem="0"/>
    <dataField name="Sum of Planned Quotas" fld="4" baseField="0" baseItem="0"/>
    <dataField name="Sum of Unused Quotas" fld="10" baseField="0" baseItem="0"/>
    <dataField name="Sum of Grads" fld="5" baseField="0" baseItem="0"/>
    <dataField name="Sum of Fails" fld="6" baseField="0" baseItem="0"/>
    <dataField name="Sum of No-Shows" fld="7" baseField="0" baseItem="0"/>
    <dataField name="Sum of Walk-ins" fld="8" baseField="0" baseItem="0"/>
    <dataField name="Sum of Foreign Grads" fld="9" baseField="0" baseItem="0"/>
  </dataFields>
  <formats count="6">
    <format dxfId="1515">
      <pivotArea type="all" dataOnly="0" outline="0" fieldPosition="0"/>
    </format>
    <format dxfId="1514">
      <pivotArea outline="0" collapsedLevelsAreSubtotals="1" fieldPosition="0"/>
    </format>
    <format dxfId="1513">
      <pivotArea field="2" type="button" dataOnly="0" labelOnly="1" outline="0" axis="axisRow" fieldPosition="0"/>
    </format>
    <format dxfId="1512">
      <pivotArea dataOnly="0" labelOnly="1" fieldPosition="0">
        <references count="1">
          <reference field="2" count="41">
            <x v="1"/>
            <x v="2"/>
            <x v="5"/>
            <x v="7"/>
            <x v="8"/>
            <x v="10"/>
            <x v="15"/>
            <x v="16"/>
            <x v="19"/>
            <x v="21"/>
            <x v="26"/>
            <x v="27"/>
            <x v="37"/>
            <x v="39"/>
            <x v="41"/>
            <x v="43"/>
            <x v="45"/>
            <x v="46"/>
            <x v="47"/>
            <x v="48"/>
            <x v="49"/>
            <x v="53"/>
            <x v="54"/>
            <x v="55"/>
            <x v="57"/>
            <x v="60"/>
            <x v="62"/>
            <x v="69"/>
            <x v="70"/>
            <x v="73"/>
            <x v="74"/>
            <x v="76"/>
            <x v="77"/>
            <x v="78"/>
            <x v="80"/>
            <x v="81"/>
            <x v="82"/>
            <x v="87"/>
            <x v="93"/>
            <x v="94"/>
            <x v="96"/>
          </reference>
        </references>
      </pivotArea>
    </format>
    <format dxfId="1511">
      <pivotArea dataOnly="0" labelOnly="1" grandRow="1" outline="0" fieldPosition="0"/>
    </format>
    <format dxfId="1510">
      <pivotArea dataOnly="0" labelOnly="1" outline="0" fieldPosition="0">
        <references count="1">
          <reference field="4294967294" count="7">
            <x v="0"/>
            <x v="1"/>
            <x v="3"/>
            <x v="4"/>
            <x v="5"/>
            <x v="6"/>
            <x v="7"/>
          </reference>
        </references>
      </pivotArea>
    </format>
  </formats>
  <conditionalFormats count="1">
    <conditionalFormat priority="1">
      <pivotAreas count="1">
        <pivotArea type="data" collapsedLevelsAreSubtotals="1" fieldPosition="0">
          <references count="2">
            <reference field="4294967294" count="1" selected="0">
              <x v="2"/>
            </reference>
            <reference field="2" count="1">
              <x v="19"/>
            </reference>
          </references>
        </pivotArea>
      </pivotAreas>
    </conditionalFormat>
  </conditionalFormats>
  <chartFormats count="8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4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5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6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7"/>
          </reference>
        </references>
      </pivotArea>
    </chartFormat>
  </chartFormat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0B422C7-8178-4A6E-A6BE-A72526B3692B}" name="Table6" displayName="Table6" ref="A3:Y15" totalsRowShown="0">
  <autoFilter ref="A3:Y15" xr:uid="{90B422C7-8178-4A6E-A6BE-A72526B3692B}"/>
  <sortState xmlns:xlrd2="http://schemas.microsoft.com/office/spreadsheetml/2017/richdata2" ref="A4:Y15">
    <sortCondition ref="K3:K15"/>
  </sortState>
  <tableColumns count="25">
    <tableColumn id="1" xr3:uid="{3D421DA6-E286-4B67-8246-33AE44F93D2F}" name="Command"/>
    <tableColumn id="2" xr3:uid="{921A1960-5C85-47F7-9734-14D85D21B7C1}" name="Location/Course Title"/>
    <tableColumn id="3" xr3:uid="{91B0E971-9D0F-48B6-A535-6B82B0B56CC0}" name="Asbestos Inspector"/>
    <tableColumn id="4" xr3:uid="{4C4B0716-6733-4F34-9EA0-6EDBA6EAEB43}" name="Asbestos Inspector Refresher"/>
    <tableColumn id="5" xr3:uid="{E977899F-A981-4606-8EFC-275BA329972B}" name="Asbestos Management Planner"/>
    <tableColumn id="6" xr3:uid="{E3F8035B-0CAC-422B-A4E7-60BF4F0AF8A0}" name="Asbestos Management Planner Refresher"/>
    <tableColumn id="7" xr3:uid="{E593043C-2002-4307-8639-EAEF02A5620E}" name="Asbestos Supervisor Initial"/>
    <tableColumn id="8" xr3:uid="{623059BD-D728-4D4A-A480-8DC11999F6C7}" name="Asbestos Supervisor Refresher"/>
    <tableColumn id="9" xr3:uid="{1E03F65C-2F06-482A-88B6-F97E68D0DFF8}" name="Competent Person for Fall Protection Course"/>
    <tableColumn id="10" xr3:uid="{07D3A5B0-0954-40B1-A8B0-A0279674F14D}" name="Confined Space Safety "/>
    <tableColumn id="11" xr3:uid="{E83727AD-5754-4E02-88F9-29DD47D5CA2B}" name="Construction Safety Standards"/>
    <tableColumn id="12" xr3:uid="{E2AEE1AB-461C-4C4B-B2CC-7EBA492E6979}" name="Emergency Asbestos Response Team"/>
    <tableColumn id="13" xr3:uid="{88D2550D-8290-4EB1-B606-37851D750C83}" name="Facility Response Team Five Day"/>
    <tableColumn id="14" xr3:uid="{A4D018A5-676E-4DF3-960E-634DF99D82F2}" name="Facility Response Team Three Day"/>
    <tableColumn id="15" xr3:uid="{51959371-55AE-47CD-BB01-EC7069AC59EA}" name="Fire Protection &amp; Life Safety"/>
    <tableColumn id="16" xr3:uid="{822E7226-EA13-4D29-AD19-AD29B9833EC2}" name="Hazardous Substance Incident Response Management"/>
    <tableColumn id="17" xr3:uid="{70321E44-8FC6-45E3-B220-2F0497B8285E}" name="Hazardous Substance Incident Response Management  Refresher"/>
    <tableColumn id="18" xr3:uid="{6AC8210E-8DBE-47FB-9AF1-E64BE72B883D}" name="Incident Command System 300 "/>
    <tableColumn id="19" xr3:uid="{61262390-9253-4766-A970-CE0BB066ADF2}" name="Incident Command System 300 Refresher"/>
    <tableColumn id="20" xr3:uid="{14EAFBDA-7A22-44F4-BB3E-37469E8EADE4}" name="Incident Command System 400 "/>
    <tableColumn id="21" xr3:uid="{A14D8C2D-AA3E-4CAF-859D-13E872D3F02C}" name="Industrial Noise and Hearing Conservation Program"/>
    <tableColumn id="22" xr3:uid="{8AC9B75B-19E2-4D61-8988-C190853B6A4C}" name="Oil Hazardous Substance Spill Response Tabletop Exercise "/>
    <tableColumn id="23" xr3:uid="{9EF6440F-CE15-4612-B188-20BD6CE9C980}" name="Respiratory Protection Program Management"/>
    <tableColumn id="24" xr3:uid="{3A2B8E6F-9652-4E82-BECC-9FC509EBDCF7}" name="Tank Managers Course"/>
    <tableColumn id="25" xr3:uid="{72BD6C81-8E37-4164-BC51-BBC6EB7319E9}" name="Totals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able2" displayName="Table2" ref="B3:AO664" totalsRowCount="1" headerRowDxfId="1772" dataDxfId="1770" totalsRowDxfId="1769" headerRowBorderDxfId="1771">
  <autoFilter ref="B3:AO663" xr:uid="{00000000-0009-0000-0100-000002000000}"/>
  <sortState xmlns:xlrd2="http://schemas.microsoft.com/office/spreadsheetml/2017/richdata2" ref="B4:AO663">
    <sortCondition ref="G3:G663"/>
  </sortState>
  <tableColumns count="40">
    <tableColumn id="1" xr3:uid="{00000000-0010-0000-0500-000001000000}" name="Comments" totalsRowLabel="Total" dataDxfId="1768" totalsRowDxfId="1767"/>
    <tableColumn id="2" xr3:uid="{00000000-0010-0000-0500-000002000000}" name="Course Title" totalsRowFunction="count" dataDxfId="1766" totalsRowDxfId="1765"/>
    <tableColumn id="3" xr3:uid="{00000000-0010-0000-0500-000003000000}" name="CIN" dataDxfId="1764" totalsRowDxfId="1763">
      <calculatedColumnFormula>VLOOKUP(Table2[[#This Row],[Course Title]],'TSD-Data'!$A$1:$E$83,2,FALSE)</calculatedColumnFormula>
    </tableColumn>
    <tableColumn id="4" xr3:uid="{00000000-0010-0000-0500-000004000000}" name="CDP" dataDxfId="1762" totalsRowDxfId="1761">
      <calculatedColumnFormula>VLOOKUP(Table2[[#This Row],[Course Title]],'TSD-Data'!$A$1:$E$83,3,FALSE)</calculatedColumnFormula>
    </tableColumn>
    <tableColumn id="5" xr3:uid="{00000000-0010-0000-0500-000005000000}" name="Location" dataDxfId="1760" totalsRowDxfId="1759"/>
    <tableColumn id="6" xr3:uid="{00000000-0010-0000-0500-000006000000}" name="Start Date" dataDxfId="1758" totalsRowDxfId="1757"/>
    <tableColumn id="7" xr3:uid="{00000000-0010-0000-0500-000007000000}" name="End Date" dataDxfId="1756" totalsRowDxfId="1755"/>
    <tableColumn id="39" xr3:uid="{E04993C6-4294-4873-9FA6-31F315986D81}" name="Funding Status" dataDxfId="1754" totalsRowDxfId="1753"/>
    <tableColumn id="26" xr3:uid="{00000000-0010-0000-0500-00001A000000}" name="Resident Local Start Time of location" dataDxfId="1752" totalsRowDxfId="1751"/>
    <tableColumn id="32" xr3:uid="{00000000-0010-0000-0500-000020000000}" name="EST/EDT Local Live Session Start Time " dataDxfId="1750" totalsRowDxfId="1749"/>
    <tableColumn id="28" xr3:uid="{00000000-0010-0000-0500-00001C000000}" name="PST/PDT Local Live Session Start Time " dataDxfId="1748" totalsRowDxfId="1747"/>
    <tableColumn id="29" xr3:uid="{00000000-0010-0000-0500-00001D000000}" name="AST Local Live Session Start Time " dataDxfId="1746" totalsRowDxfId="1745"/>
    <tableColumn id="30" xr3:uid="{00000000-0010-0000-0500-00001E000000}" name="CET/CEST Local Live Session Start Time " dataDxfId="1744" totalsRowDxfId="1743"/>
    <tableColumn id="27" xr3:uid="{00000000-0010-0000-0500-00001B000000}" name="HST Local Live Session Start Time " dataDxfId="1742" totalsRowDxfId="1741"/>
    <tableColumn id="31" xr3:uid="{00000000-0010-0000-0500-00001F000000}" name="JST Local Live Session Start Time " dataDxfId="1740" totalsRowDxfId="1739"/>
    <tableColumn id="8" xr3:uid="{00000000-0010-0000-0500-000008000000}" name="Primary Instructor" dataDxfId="1738" totalsRowDxfId="1737"/>
    <tableColumn id="9" xr3:uid="{00000000-0010-0000-0500-000009000000}" name="Instructor 2" dataDxfId="1736" totalsRowDxfId="1735"/>
    <tableColumn id="37" xr3:uid="{6148186B-A7FB-47A2-97C4-82AF31060797}" name=" Support" dataDxfId="1734" totalsRowDxfId="1733"/>
    <tableColumn id="22" xr3:uid="{00000000-0010-0000-0500-000016000000}" name="Quotas" totalsRowFunction="sum" dataDxfId="1732" totalsRowDxfId="1731">
      <calculatedColumnFormula>VLOOKUP(Table2[[#This Row],[Course Title]],'TSD-Data'!$A$1:$E$83,4,FALSE)</calculatedColumnFormula>
    </tableColumn>
    <tableColumn id="11" xr3:uid="{00000000-0010-0000-0500-00000B000000}" name="Course Length (Hours)" totalsRowFunction="sum" dataDxfId="1730" totalsRowDxfId="1729">
      <calculatedColumnFormula>VLOOKUP(Table2[[#This Row],[Course Title]],'TSD-Data'!$A$1:$F$83,6,FALSE)</calculatedColumnFormula>
    </tableColumn>
    <tableColumn id="10" xr3:uid="{00000000-0010-0000-0500-00000A000000}" name="Course Length (Days)" totalsRowFunction="sum" dataDxfId="1728" totalsRowDxfId="1727">
      <calculatedColumnFormula>VLOOKUP(Table2[[#This Row],[Course Title]],'TSD-Data'!$A$1:$F$83,5,FALSE)</calculatedColumnFormula>
    </tableColumn>
    <tableColumn id="12" xr3:uid="{21BFFE1C-0DFD-4247-9F4C-40FE9E4167CB}" name="FY26 Need" dataDxfId="1726" totalsRowDxfId="1725"/>
    <tableColumn id="13" xr3:uid="{A721A77A-8D69-4276-9351-50C0DE5E1918}" name="Registered" totalsRowFunction="sum" dataDxfId="1724" totalsRowDxfId="1723"/>
    <tableColumn id="14" xr3:uid="{59F4F846-4AAC-4B1E-BACA-9E42603D1953}" name="Waitlisted" totalsRowFunction="sum" dataDxfId="1722" totalsRowDxfId="1721"/>
    <tableColumn id="16" xr3:uid="{00000000-0010-0000-0500-000010000000}" name="Graduates" totalsRowFunction="sum" dataDxfId="1720" totalsRowDxfId="1719"/>
    <tableColumn id="17" xr3:uid="{00000000-0010-0000-0500-000011000000}" name="Fail" totalsRowFunction="sum" dataDxfId="1718" totalsRowDxfId="1717"/>
    <tableColumn id="18" xr3:uid="{00000000-0010-0000-0500-000012000000}" name="No Shows" totalsRowFunction="sum" dataDxfId="1716" totalsRowDxfId="1715"/>
    <tableColumn id="19" xr3:uid="{00000000-0010-0000-0500-000013000000}" name="Walk-ins" totalsRowFunction="sum" dataDxfId="1714" totalsRowDxfId="1713"/>
    <tableColumn id="20" xr3:uid="{00000000-0010-0000-0500-000014000000}" name="Foreign Grads" totalsRowFunction="sum" dataDxfId="1712" totalsRowDxfId="1711"/>
    <tableColumn id="21" xr3:uid="{00000000-0010-0000-0500-000015000000}" name="Roster Received by" dataDxfId="1710" totalsRowDxfId="1709"/>
    <tableColumn id="23" xr3:uid="{00000000-0010-0000-0500-000017000000}" name="Roster Due" dataDxfId="1708" totalsRowDxfId="1707">
      <calculatedColumnFormula>Table2[[#This Row],[End Date]]+2-TODAY()</calculatedColumnFormula>
    </tableColumn>
    <tableColumn id="24" xr3:uid="{00000000-0010-0000-0500-000018000000}" name="Roster Status" dataDxfId="1706" totalsRowDxfId="1705">
      <calculatedColumnFormula>IF(ISBLANK(Table2[[#This Row],[Roster Received by]]),1,0)</calculatedColumnFormula>
    </tableColumn>
    <tableColumn id="33" xr3:uid="{36BCB078-BF54-4A0A-ACCB-03EDF08FCA74}" name="Remaining Courses" dataDxfId="1704" totalsRowDxfId="1703">
      <calculatedColumnFormula>IF(Table2[[#This Row],[Start Date]]&gt;TODAY(),1,)</calculatedColumnFormula>
    </tableColumn>
    <tableColumn id="36" xr3:uid="{A78DB514-4877-4DC5-964C-04D2F85726FB}" name="1 Instructor" dataDxfId="1702" totalsRowDxfId="1701">
      <calculatedColumnFormula>IF(ISBLANK(Table2[[#This Row],[Primary Instructor]]),0,1)</calculatedColumnFormula>
    </tableColumn>
    <tableColumn id="35" xr3:uid="{8CE0A7B7-E4D7-4F25-B570-80DA9EC4BF30}" name="2 Instructors" dataDxfId="1700" totalsRowDxfId="1699">
      <calculatedColumnFormula>IF(ISBLANK(Table2[[#This Row],[Instructor 2]]),0,1)</calculatedColumnFormula>
    </tableColumn>
    <tableColumn id="34" xr3:uid="{0CD40F24-74B8-40FD-886D-07A1C314B27B}" name="Total" dataDxfId="1698" totalsRowDxfId="1697">
      <calculatedColumnFormula>AJ275</calculatedColumnFormula>
    </tableColumn>
    <tableColumn id="25" xr3:uid="{00000000-0010-0000-0500-000019000000}" name="Open Quotas" dataDxfId="1696" totalsRowDxfId="1695"/>
    <tableColumn id="15" xr3:uid="{F566B582-F1BF-4E5C-9C87-144958A9FE2C}" name="QTR" dataDxfId="1694" totalsRowDxfId="1693"/>
    <tableColumn id="38" xr3:uid="{3E0E683E-3ACA-430F-8A2E-F2D6B9E5099E}" name="Department" dataDxfId="1692" totalsRowDxfId="1691">
      <calculatedColumnFormula>VLOOKUP(Table2[[#This Row],[Course Title]],'TSD-Data'!$A$1:$G$83,7,FALSE)</calculatedColumnFormula>
    </tableColumn>
    <tableColumn id="40" xr3:uid="{A2A80DC5-934D-4B6C-8FE0-79C1B7FDD07A}" name="Unused quotas" dataDxfId="1690" totalsRowDxfId="1689">
      <calculatedColumnFormula>Table2[[#This Row],[Quotas]]-Table2[[#This Row],[Graduates]]-Table2[[#This Row],[Fail]]</calculatedColumnFormula>
    </tableColumn>
  </tableColumns>
  <tableStyleInfo name="TableStyleMedium15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BC0813-CAD4-4ECB-8D01-730FDBC724EF}" name="Table1" displayName="Table1" ref="A3:I58" totalsRowShown="0">
  <autoFilter ref="A3:I58" xr:uid="{A0BC0813-CAD4-4ECB-8D01-730FDBC724EF}"/>
  <tableColumns count="9">
    <tableColumn id="1" xr3:uid="{83788D03-E4D3-4F86-8BED-7B463C1D7761}" name="Command"/>
    <tableColumn id="2" xr3:uid="{63BFF435-070C-4A29-87AE-05C729CB6697}" name="Course Title/Preferred Time Zone"/>
    <tableColumn id="3" xr3:uid="{FFF33B61-E929-488A-8786-B4ECE14F8CF4}" name="AST"/>
    <tableColumn id="4" xr3:uid="{F781F7B3-2CB8-4704-A2B9-44B83DB19266}" name="CET/CEST"/>
    <tableColumn id="5" xr3:uid="{A7314E10-1C2E-4991-92AF-01B10764F6D7}" name="EST/EDT"/>
    <tableColumn id="6" xr3:uid="{5618DEA1-62E4-4522-BF5B-5F5A9A0C690C}" name="HST"/>
    <tableColumn id="7" xr3:uid="{FE4BF020-8A75-4368-B1F7-B6F2C67270F8}" name="JST"/>
    <tableColumn id="8" xr3:uid="{5519A898-FA9C-456A-8C68-AA7D1A211698}" name="PST/PDT "/>
    <tableColumn id="9" xr3:uid="{02139B2B-F484-4F36-8DDC-950EB441530D}" name="Totals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3242128-953E-4481-9593-EBFC69CE1FCF}" name="Table119" displayName="Table119" ref="A1:AW65" totalsRowCount="1" headerRowDxfId="1688" dataDxfId="1686" totalsRowDxfId="1684" headerRowBorderDxfId="1687" tableBorderDxfId="1685" totalsRowBorderDxfId="1683">
  <autoFilter ref="A1:AW64" xr:uid="{00000000-0009-0000-0100-000001000000}"/>
  <sortState xmlns:xlrd2="http://schemas.microsoft.com/office/spreadsheetml/2017/richdata2" ref="A2:AW64">
    <sortCondition ref="A1:A64"/>
  </sortState>
  <tableColumns count="49">
    <tableColumn id="1" xr3:uid="{5DE21DDE-1C89-495B-8381-07C199290CB1}" name="Course" totalsRowLabel="Total" dataDxfId="1682" totalsRowDxfId="1681"/>
    <tableColumn id="21" xr3:uid="{7D518124-F71D-44BD-A2C2-45CBDDD6EA91}" name="Dept" dataDxfId="1680" totalsRowDxfId="1679">
      <calculatedColumnFormula>VLOOKUP(Table119[[#This Row],[Course]],'TSD-Data'!$A$1:$G$98,7,FALSE)</calculatedColumnFormula>
    </tableColumn>
    <tableColumn id="8" xr3:uid="{F3B2F834-811A-407B-BC5D-6D64DFD9AE2F}" name="Format" dataDxfId="1678" totalsRowDxfId="1677"/>
    <tableColumn id="2" xr3:uid="{BC8FED00-26F2-4309-9D22-7CB9C96E2B49}" name="CIN" dataDxfId="1676" totalsRowDxfId="1675">
      <calculatedColumnFormula>VLOOKUP(Table119[[#This Row],[Course]],'TSD-Data'!$A$1:$G$93,2,FALSE)</calculatedColumnFormula>
    </tableColumn>
    <tableColumn id="3" xr3:uid="{DD39FB7D-7198-4FAE-B379-5545F294A3F4}" name="CDP" dataDxfId="1674" totalsRowDxfId="1673">
      <calculatedColumnFormula>VLOOKUP(Table119[[#This Row],[Course]],'TSD-Data'!$A$1:$G$93,3,FALSE)</calculatedColumnFormula>
    </tableColumn>
    <tableColumn id="60" xr3:uid="{707FF0E6-D70A-4C55-A8D2-78477C2B014B}" name="FY26 Total Courses" totalsRowFunction="sum" dataDxfId="1672" totalsRowDxfId="1671">
      <calculatedColumnFormula>COUNTIF(Table2[Course Title],Table119[[#This Row],[Course]])</calculatedColumnFormula>
    </tableColumn>
    <tableColumn id="46" xr3:uid="{21D39B7F-4426-4129-AC71-EE401668ED52}" name="FY26 Quota Per course" dataDxfId="1670" totalsRowDxfId="1669">
      <calculatedColumnFormula>VLOOKUP(Table119[[#This Row],[Course]],'TSD-Data'!$A$1:$G$93,4,FALSE)</calculatedColumnFormula>
    </tableColumn>
    <tableColumn id="64" xr3:uid="{F57346A6-7443-445F-867E-B25A3069B9CF}" name="FY26 Grads" totalsRowFunction="sum" dataDxfId="1668" totalsRowDxfId="1667">
      <calculatedColumnFormula>SUMIF(Table2[Course Title],Table119[[#This Row],[Course]],Table2[Graduates])</calculatedColumnFormula>
    </tableColumn>
    <tableColumn id="63" xr3:uid="{BDE358E8-BD96-4557-BC6B-487BEE9ACC28}" name="FY26 Fails" totalsRowFunction="sum" dataDxfId="1666" totalsRowDxfId="1665">
      <calculatedColumnFormula>SUMIF(Table2[Course Title],Table119[[#This Row],[Course]],Table2[Fail])</calculatedColumnFormula>
    </tableColumn>
    <tableColumn id="62" xr3:uid="{B37CE330-BDEC-4CEF-AEBE-0F3CC9635BA5}" name="FY26 No Shows" totalsRowFunction="sum" dataDxfId="1664" totalsRowDxfId="1663">
      <calculatedColumnFormula>SUMIF(Table2[Course Title],Table119[[#This Row],[Course]],Table2[No Shows])</calculatedColumnFormula>
    </tableColumn>
    <tableColumn id="65" xr3:uid="{A9F793E5-DFE8-4D12-A237-09A9BB17F7D8}" name="FY26 Average Class Size" dataDxfId="1662" totalsRowDxfId="1661">
      <calculatedColumnFormula>(Table119[[#This Row],[FY26 Grads]]+Table119[[#This Row],[FY26 Fails]])/Table119[[#This Row],[FY26 Total Courses]]</calculatedColumnFormula>
    </tableColumn>
    <tableColumn id="43" xr3:uid="{ABFD1430-827C-4B99-A947-C8A132C1841B}" name="FY26 FLT Quota Need" totalsRowFunction="sum" dataDxfId="1660" totalsRowDxfId="1659"/>
    <tableColumn id="44" xr3:uid="{FC5BEF44-61B0-4AC2-99BF-E8B8C76B9F92}" name="FY26 NSETC % towards fleet need" dataDxfId="1658" totalsRowDxfId="1657" dataCellStyle="Percent">
      <calculatedColumnFormula>IFERROR((H2+I2)/L2, "0")</calculatedColumnFormula>
    </tableColumn>
    <tableColumn id="39" xr3:uid="{7277C6C3-2497-49CC-9EF5-28D4F7649E86}" name="Column3" dataDxfId="1656" totalsRowDxfId="1655"/>
    <tableColumn id="48" xr3:uid="{2C6A8E64-35DF-44BE-A03C-42E6A6401C2E}" name="FY25 Total Courses" totalsRowFunction="sum" dataDxfId="1654" totalsRowDxfId="1653"/>
    <tableColumn id="5" xr3:uid="{3994B820-48A3-4993-9B89-699336C710C3}" name="FY25 Quota Per Course" totalsRowFunction="sum" dataDxfId="1652" totalsRowDxfId="1651"/>
    <tableColumn id="49" xr3:uid="{17837056-4605-469B-80E9-9765A315EC42}" name="FY25 Grads" totalsRowFunction="sum" dataDxfId="1650" totalsRowDxfId="1649"/>
    <tableColumn id="50" xr3:uid="{BF02E37F-6716-4062-AF32-673CEC977920}" name="FY25 Fails" totalsRowFunction="sum" dataDxfId="1648" totalsRowDxfId="1647"/>
    <tableColumn id="59" xr3:uid="{C340754F-EA6C-4CBD-8542-8520C67D4CF2}" name="FY25 No Shows" totalsRowFunction="sum" dataDxfId="1646" totalsRowDxfId="1645"/>
    <tableColumn id="51" xr3:uid="{6BF3AFFA-7820-4914-AFC6-2FA9EC36878E}" name="FY25 Average class size" dataDxfId="1644" totalsRowDxfId="1643">
      <calculatedColumnFormula>(Table119[[#This Row],[FY25 Grads]]+Table119[[#This Row],[FY25 Fails]])/Table119[[#This Row],[FY25 Total Courses]]</calculatedColumnFormula>
    </tableColumn>
    <tableColumn id="52" xr3:uid="{35A864B4-8265-4B85-B6CF-1C2B3E6C3178}" name="FY25 FLT Quota Need" totalsRowFunction="sum" dataDxfId="1642" totalsRowDxfId="1641"/>
    <tableColumn id="58" xr3:uid="{EDB1328E-4BA6-45DA-ACC9-D7D47C8EC73A}" name="FY25 NSETC % towards fleet need" dataDxfId="1640" totalsRowDxfId="1639" dataCellStyle="Percent">
      <calculatedColumnFormula>IFERROR((Q2+R2)/U2, "N/A")</calculatedColumnFormula>
    </tableColumn>
    <tableColumn id="9" xr3:uid="{7DC90EE6-484C-4D3C-A87D-C77E0D4FF30B}" name="Quotas: All Data" totalsRowFunction="sum" dataDxfId="1638" totalsRowDxfId="1637"/>
    <tableColumn id="10" xr3:uid="{187D4068-685C-4B68-A4BF-8057A32E4490}" name="Courses Needed: All Data" totalsRowFunction="sum" dataDxfId="1636" totalsRowDxfId="1635"/>
    <tableColumn id="20" xr3:uid="{731D765C-39ED-4A42-9196-4285D832B23C}" name="Column1" dataDxfId="1634" totalsRowDxfId="1633"/>
    <tableColumn id="11" xr3:uid="{B3131F06-2E27-42E2-9466-B5D7F0CC93D2}" name="FY24 Total Courses" totalsRowFunction="custom" dataDxfId="1632" totalsRowDxfId="1631">
      <totalsRowFormula>SUM(Z2:Z64)</totalsRowFormula>
    </tableColumn>
    <tableColumn id="16" xr3:uid="{13EB8F2E-5666-4E33-B48E-2780DBCE33CE}" name="FY24 Quotas Per Course" totalsRowFunction="custom" dataDxfId="1630" totalsRowDxfId="1629">
      <totalsRowFormula>SUM(AA2:AA64)</totalsRowFormula>
    </tableColumn>
    <tableColumn id="38" xr3:uid="{8CD6012D-A593-45C7-90DD-B4AE712F75BC}" name="FY24 Grads" totalsRowFunction="custom" dataDxfId="1628" totalsRowDxfId="1627">
      <totalsRowFormula>SUM(AB2:AB64)</totalsRowFormula>
    </tableColumn>
    <tableColumn id="37" xr3:uid="{70A92902-3F5D-450C-922E-438F3D54263D}" name="FY24 Fails" totalsRowFunction="custom" dataDxfId="1626" totalsRowDxfId="1625">
      <totalsRowFormula>SUBTOTAL(109,AC2:AC64)</totalsRowFormula>
    </tableColumn>
    <tableColumn id="17" xr3:uid="{0D1DDA85-393C-4E5E-8D27-C30215363DD2}" name="FY24 Average class size" dataDxfId="1624" totalsRowDxfId="1623">
      <calculatedColumnFormula>AVERAGE(AB2+AC2)/Z2</calculatedColumnFormula>
    </tableColumn>
    <tableColumn id="18" xr3:uid="{A28CC44C-4BE5-40C6-94D1-2AEB279C96F5}" name="FY24 FLT Quota Need" totalsRowFunction="custom" dataDxfId="1622" totalsRowDxfId="1621">
      <totalsRowFormula>SUM(AE2:AE64)</totalsRowFormula>
    </tableColumn>
    <tableColumn id="19" xr3:uid="{5B96E9E9-BD81-4DA8-A884-DDB65095A7DD}" name="FY24 NSETC % towards fleet need" dataDxfId="1620" totalsRowDxfId="1619">
      <calculatedColumnFormula>SUM(AB2+AC2)/AE2</calculatedColumnFormula>
    </tableColumn>
    <tableColumn id="31" xr3:uid="{D2FBB141-7AD4-4296-ADB7-297841E66BDC}" name="Column2" dataDxfId="1618" totalsRowDxfId="1617"/>
    <tableColumn id="29" xr3:uid="{1A2E5926-4A8C-4A4F-8B7A-882AA94DBB96}" name="FY23 Total Courses" totalsRowFunction="custom" dataDxfId="1616" totalsRowDxfId="1615">
      <totalsRowFormula>SUM(AH2:AH64)</totalsRowFormula>
    </tableColumn>
    <tableColumn id="15" xr3:uid="{3CA16644-1596-48DF-8795-C09EE3F42835}" name="FY23 Quotas Per Course" totalsRowFunction="custom" dataDxfId="1614" totalsRowDxfId="1613">
      <totalsRowFormula>SUM(AI2:AI64)</totalsRowFormula>
    </tableColumn>
    <tableColumn id="14" xr3:uid="{E40F803B-86F2-4FC2-85D6-2E3D3ADB91F8}" name="FY23 Grads" totalsRowFunction="custom" dataDxfId="1612" totalsRowDxfId="1611">
      <totalsRowFormula>SUM(AJ2:AJ64)</totalsRowFormula>
    </tableColumn>
    <tableColumn id="13" xr3:uid="{A9107747-AD8A-445A-9D63-B0B3C38DE30B}" name="FY23 Fails" totalsRowFunction="custom" dataDxfId="1610" totalsRowDxfId="1609">
      <totalsRowFormula>SUM(AS2:AS64)</totalsRowFormula>
    </tableColumn>
    <tableColumn id="12" xr3:uid="{3697AB69-AE05-4886-A4C9-0DBEA3AAD7E9}" name="FY23 Average class size" dataDxfId="1608" totalsRowDxfId="1607">
      <calculatedColumnFormula>AVERAGE(AJ2+AK2)/AH2</calculatedColumnFormula>
    </tableColumn>
    <tableColumn id="34" xr3:uid="{C8DD9B6C-714F-4936-818B-2BE2CF259193}" name="FY23 FLT Quota Need" totalsRowFunction="custom" dataDxfId="1606" totalsRowDxfId="1605">
      <totalsRowFormula>SUM(AM2:AM64)</totalsRowFormula>
    </tableColumn>
    <tableColumn id="33" xr3:uid="{6225ABCC-E99B-4BC6-BBB1-DDFB664A79F2}" name="FY23 NSETC % towards fleet need" dataDxfId="1604" totalsRowDxfId="1603">
      <calculatedColumnFormula>SUM(AJ2+AK2)/AM2</calculatedColumnFormula>
    </tableColumn>
    <tableColumn id="32" xr3:uid="{412B0686-B577-435C-9FC8-36B7E40E847A}" name="Column122" dataDxfId="1602" totalsRowDxfId="1601"/>
    <tableColumn id="30" xr3:uid="{833248E2-59ED-4580-ABF8-D94E79AEC124}" name="FY22 Total Courses" totalsRowFunction="sum" dataDxfId="1600" totalsRowDxfId="1599"/>
    <tableColumn id="28" xr3:uid="{846EB57B-B4C1-4EBB-A5E7-5E3646F4D947}" name="FY22 Quotas Per Course" totalsRowFunction="custom" dataDxfId="1598" totalsRowDxfId="1597">
      <totalsRowFormula>SUM(AQ2:AQ64)</totalsRowFormula>
    </tableColumn>
    <tableColumn id="24" xr3:uid="{3F9FA3D9-5BF6-4498-A5B8-8DC7CD473AA0}" name="FY22 Grads" totalsRowFunction="custom" dataDxfId="1596" totalsRowDxfId="1595">
      <totalsRowFormula>SUM(AR2:AR64)</totalsRowFormula>
    </tableColumn>
    <tableColumn id="36" xr3:uid="{2D07C787-7F35-4A4D-B418-64FD91BA87C4}" name="FY22 Fails" totalsRowFunction="custom" dataDxfId="1594" totalsRowDxfId="1593">
      <totalsRowFormula>SUM(AS2:AS64)</totalsRowFormula>
    </tableColumn>
    <tableColumn id="35" xr3:uid="{5415F141-01B5-4BCF-94B0-38968F0BCB8F}" name="FY22 Average class size" dataDxfId="1592" totalsRowDxfId="1591"/>
    <tableColumn id="23" xr3:uid="{AA499A51-E86B-4C1E-A74D-930978F05062}" name="FY22 FLT Quota Need" totalsRowFunction="custom" dataDxfId="1590" totalsRowDxfId="1589">
      <totalsRowFormula>SUM(AU2:AU64)</totalsRowFormula>
    </tableColumn>
    <tableColumn id="22" xr3:uid="{8096F8D5-5E5C-4D57-BA74-418CF207EA3D}" name="FY22 NSETC % towards fleet need" dataDxfId="1588" totalsRowDxfId="1587">
      <calculatedColumnFormula>SUM(AR2+AS2)/AU2</calculatedColumnFormula>
    </tableColumn>
    <tableColumn id="42" xr3:uid="{D768DDF1-FBB8-4B0B-AC5C-D6932F878BB2}" name="Course2" totalsRowLabel="Total" dataDxfId="1586" totalsRowDxfId="1585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99537816-584E-45BC-8B79-A6E26D29FB1D}" name="Table13" displayName="Table13" ref="A3:Y4" totalsRowShown="0">
  <autoFilter ref="A3:Y4" xr:uid="{99537816-584E-45BC-8B79-A6E26D29FB1D}"/>
  <sortState xmlns:xlrd2="http://schemas.microsoft.com/office/spreadsheetml/2017/richdata2" ref="A4:Y4">
    <sortCondition ref="N3:N4"/>
  </sortState>
  <tableColumns count="25">
    <tableColumn id="1" xr3:uid="{0D4818A8-0613-4907-83B7-3351C78B3D36}" name="Command"/>
    <tableColumn id="2" xr3:uid="{3E296298-B26A-46E0-87D8-EB8F4C7A42B5}" name="Location/Course Title"/>
    <tableColumn id="3" xr3:uid="{76F957E1-68DE-4E1B-9579-70F51AC117FF}" name="Asbestos Inspector"/>
    <tableColumn id="4" xr3:uid="{F51396D4-E231-4BB6-98AD-F19562E0F26F}" name="Asbestos Inspector Refresher"/>
    <tableColumn id="5" xr3:uid="{19C52C31-B759-4DB0-9F4D-CC86F5D7EEF8}" name="Asbestos Management Planner"/>
    <tableColumn id="6" xr3:uid="{CCBE4131-BBCE-4A37-BC7A-28C47A25CDEB}" name="Asbestos Management Planner Refresher"/>
    <tableColumn id="7" xr3:uid="{B308F5D2-4789-40B7-9644-1FA1D58C1F75}" name="Asbestos Supervisor Initial"/>
    <tableColumn id="8" xr3:uid="{6777534C-018B-4C2D-8AF0-402140A8BBB7}" name="Asbestos Supervisor Refresher"/>
    <tableColumn id="9" xr3:uid="{DDD20D20-C9BE-4EB2-B41B-7992D8E01D09}" name="Competent Person for Fall Protection Course"/>
    <tableColumn id="10" xr3:uid="{1EC46675-1198-4EB4-AA7E-3353BD861F30}" name="Confined Space Safety "/>
    <tableColumn id="11" xr3:uid="{8EEA679E-A7CA-46ED-87E0-13F347667290}" name="Construction Safety Standards"/>
    <tableColumn id="12" xr3:uid="{98842E77-2B4B-48D1-93D2-4E71D033D94F}" name="Emergency Asbestos Response Team"/>
    <tableColumn id="13" xr3:uid="{BC636471-49A6-4D1E-94A8-14166515797E}" name="Facility Response Team Five Day"/>
    <tableColumn id="14" xr3:uid="{AF9AB3CD-EC8A-4D94-A813-F8714ECCBFD7}" name="Facility Response Team Three Day"/>
    <tableColumn id="15" xr3:uid="{B84476DD-4B47-475C-AF48-FA1E9843C641}" name="Fire Protection &amp; Life Safety"/>
    <tableColumn id="16" xr3:uid="{A46108EB-19C8-4B7B-BBD9-2FBDAA4F47BE}" name="Hazardous Substance Incident Response Management"/>
    <tableColumn id="17" xr3:uid="{781AF24F-FC75-4ACD-92EB-FF2059E9F1BB}" name="Hazardous Substance Incident Response Management  Refresher"/>
    <tableColumn id="18" xr3:uid="{7685E2D4-5238-46C6-B9AB-59480B4EE57A}" name="Incident Command System 300 "/>
    <tableColumn id="19" xr3:uid="{12AB6EEF-C6F0-4921-929F-B11CEC4CFC2C}" name="Incident Command System 300 Refresher"/>
    <tableColumn id="20" xr3:uid="{99FCD6E1-6374-4629-A850-A81E4F9583EC}" name="Incident Command System 400 "/>
    <tableColumn id="21" xr3:uid="{5EC60A3E-AE28-4C94-8EC9-28C2746575E9}" name="Industrial Noise and Hearing Conservation Program"/>
    <tableColumn id="22" xr3:uid="{C7C229FC-99B3-4A7F-83C4-AF2895FE22D6}" name="Oil Hazardous Substance Spill Response Tabletop Exercise "/>
    <tableColumn id="23" xr3:uid="{F26C1772-6DFA-406F-8692-C0828AA48BA8}" name="Respiratory Protection Program Management"/>
    <tableColumn id="24" xr3:uid="{07574640-39C6-4737-BBEF-8382785FD841}" name="Tank Managers Course"/>
    <tableColumn id="25" xr3:uid="{7F612C68-7104-44E4-A5E3-82E823CA10C6}" name="Totals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319E4743-4130-4D92-AD83-3A3839BE8249}" name="Table14" displayName="Table14" ref="A3:Y16" totalsRowShown="0">
  <autoFilter ref="A3:Y16" xr:uid="{319E4743-4130-4D92-AD83-3A3839BE8249}"/>
  <sortState xmlns:xlrd2="http://schemas.microsoft.com/office/spreadsheetml/2017/richdata2" ref="A4:Y16">
    <sortCondition ref="I3:I16"/>
  </sortState>
  <tableColumns count="25">
    <tableColumn id="1" xr3:uid="{A5FE80CB-5560-4C47-A00B-129469F88A33}" name="Command"/>
    <tableColumn id="2" xr3:uid="{4596AE97-1666-4502-9BFC-26875C2933EF}" name="Location/Course Title"/>
    <tableColumn id="3" xr3:uid="{0A6DED73-A464-40F7-825B-2B19F1192CAC}" name="Asbestos Inspector"/>
    <tableColumn id="4" xr3:uid="{977083E6-823D-4C67-83FD-409241327E21}" name="Asbestos Inspector Refresher"/>
    <tableColumn id="5" xr3:uid="{81AD8009-ED8C-430A-9D1F-A56E020BA073}" name="Asbestos Management Planner"/>
    <tableColumn id="6" xr3:uid="{E3F31221-79EC-4006-94F5-3E009DC99344}" name="Asbestos Management Planner Refresher"/>
    <tableColumn id="7" xr3:uid="{048E75A7-82F0-4F16-9BA1-8E2E70B5C6D7}" name="Asbestos Supervisor Initial"/>
    <tableColumn id="8" xr3:uid="{D970964B-FC1B-44FA-9DD1-9B52B0E0464B}" name="Asbestos Supervisor Refresher"/>
    <tableColumn id="9" xr3:uid="{6B5273FF-9DA0-4D9B-84E8-B9DB019E5C6C}" name="Competent Person for Fall Protection Course"/>
    <tableColumn id="10" xr3:uid="{34E3ED6A-8CA2-4B4B-AC72-FFD010E2A7CC}" name="Confined Space Safety "/>
    <tableColumn id="11" xr3:uid="{7421D481-FBB0-4A8E-950A-C0B01107F651}" name="Construction Safety Standards"/>
    <tableColumn id="12" xr3:uid="{A8943F39-2078-4531-A2C3-E2047D05EE3C}" name="Emergency Asbestos Response Team"/>
    <tableColumn id="13" xr3:uid="{FB978321-6DC7-45CD-A2B4-333887E8A2C4}" name="Facility Response Team Five Day"/>
    <tableColumn id="14" xr3:uid="{03BA62D7-3518-463E-9361-4B78AE033671}" name="Facility Response Team Three Day"/>
    <tableColumn id="15" xr3:uid="{6CD1C29A-BA47-4AD7-9162-DDDE144EAF91}" name="Fire Protection &amp; Life Safety"/>
    <tableColumn id="16" xr3:uid="{F6EE51FA-C165-4F30-8B29-25D9DF49CA13}" name="Hazardous Substance Incident Response Management"/>
    <tableColumn id="17" xr3:uid="{EFA455DC-434A-4E99-AF0C-FCE578842501}" name="Hazardous Substance Incident Response Management  Refresher"/>
    <tableColumn id="18" xr3:uid="{DAA27C04-0E11-4A71-85C9-23CB99C535BD}" name="Incident Command System 300 "/>
    <tableColumn id="19" xr3:uid="{35577BE4-B23C-41F2-B9A3-056E45440D68}" name="Incident Command System 300 Refresher"/>
    <tableColumn id="20" xr3:uid="{74577DCC-3DA5-4A1B-8E9A-499E7A3196EA}" name="Incident Command System 400 "/>
    <tableColumn id="21" xr3:uid="{0920A710-57DA-4286-B79D-B958778CFFD2}" name="Industrial Noise and Hearing Conservation Program"/>
    <tableColumn id="22" xr3:uid="{E754A833-4F7A-4AF1-91B9-6A8663C5FF26}" name="Oil Hazardous Substance Spill Response Tabletop Exercise "/>
    <tableColumn id="23" xr3:uid="{6D230E40-FB5B-4E6B-AA33-FAF6E2788EBC}" name="Respiratory Protection Program Management"/>
    <tableColumn id="24" xr3:uid="{6B9BA8DA-F822-4334-96C8-ECA995DA2936}" name="Tank Managers Course"/>
    <tableColumn id="25" xr3:uid="{6F2BDA51-1E8E-4E2B-9F10-C95DB5246AAF}" name="Totals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5E9D6244-F96B-4F9C-8F2D-EEB8EC6EBEEE}" name="Table15" displayName="Table15" ref="A3:Y16" totalsRowShown="0">
  <autoFilter ref="A3:Y16" xr:uid="{5E9D6244-F96B-4F9C-8F2D-EEB8EC6EBEEE}"/>
  <sortState xmlns:xlrd2="http://schemas.microsoft.com/office/spreadsheetml/2017/richdata2" ref="A4:Y16">
    <sortCondition ref="I3:I16"/>
  </sortState>
  <tableColumns count="25">
    <tableColumn id="1" xr3:uid="{C4EBF9C7-B051-49F0-8408-CAEEA8212BD6}" name="Command"/>
    <tableColumn id="2" xr3:uid="{2D2E791E-042D-46C5-AC8F-2523E070747A}" name="Location/Course Title"/>
    <tableColumn id="3" xr3:uid="{EFDC29C2-A34F-4503-AA89-2894BFD6BF80}" name="Asbestos Inspector"/>
    <tableColumn id="4" xr3:uid="{65888510-5CA7-43B6-AB85-2346DE638340}" name="Asbestos Inspector Refresher"/>
    <tableColumn id="5" xr3:uid="{8B60FD59-75A5-41EA-8F7A-38BDA0A0908E}" name="Asbestos Management Planner"/>
    <tableColumn id="6" xr3:uid="{60BBD7DC-B103-44B4-923C-A63B11DC90F0}" name="Asbestos Management Planner Refresher"/>
    <tableColumn id="7" xr3:uid="{09CDA64D-3CAF-45FC-BBF8-A63A9D54FAC1}" name="Asbestos Supervisor Initial"/>
    <tableColumn id="8" xr3:uid="{D7B3D767-693C-410C-B96D-A0E1885303D2}" name="Asbestos Supervisor Refresher"/>
    <tableColumn id="9" xr3:uid="{975A4CEF-F613-498B-87B9-AFA977BDE54C}" name="Competent Person for Fall Protection Course"/>
    <tableColumn id="10" xr3:uid="{815D23B9-8A90-4202-8197-53CEB9630EBA}" name="Confined Space Safety "/>
    <tableColumn id="11" xr3:uid="{01731274-14CE-4FDE-8DEE-EFAB0D7156AF}" name="Construction Safety Standards"/>
    <tableColumn id="12" xr3:uid="{04664E09-1A05-4E17-AE0B-CEBEC80F3B6C}" name="Emergency Asbestos Response Team"/>
    <tableColumn id="13" xr3:uid="{A9EABD99-692A-45CF-8CE8-17449998EC01}" name="Facility Response Team Five Day"/>
    <tableColumn id="14" xr3:uid="{FB263A2B-4A4B-4144-9DE3-1F99A95D6721}" name="Facility Response Team Three Day"/>
    <tableColumn id="15" xr3:uid="{EE9B185A-7D0A-4156-801A-5A4CF101A7B4}" name="Fire Protection &amp; Life Safety"/>
    <tableColumn id="16" xr3:uid="{3B475B83-A950-4A1F-A3AF-5BB6EA781357}" name="Hazardous Substance Incident Response Management"/>
    <tableColumn id="17" xr3:uid="{AF267EB6-916A-4F70-92D8-0E75CD538506}" name="Hazardous Substance Incident Response Management  Refresher"/>
    <tableColumn id="18" xr3:uid="{A91FC45C-EE33-400C-A793-6CE8091E22BF}" name="Incident Command System 300 "/>
    <tableColumn id="19" xr3:uid="{A92E60F2-97AC-49E4-B1CF-7F5F1FBD8FDB}" name="Incident Command System 300 Refresher"/>
    <tableColumn id="20" xr3:uid="{CBB9CB94-EB74-4B5A-B156-8017E4A8F9AD}" name="Incident Command System 400 "/>
    <tableColumn id="21" xr3:uid="{2270F2AA-0FA9-44D1-B1CF-D90C9D05098E}" name="Industrial Noise and Hearing Conservation Program"/>
    <tableColumn id="22" xr3:uid="{867E2E16-37C4-4BA7-929A-4158CDF479DA}" name="Oil Hazardous Substance Spill Response Tabletop Exercise "/>
    <tableColumn id="23" xr3:uid="{7D22CCB0-3AE5-4641-8995-CA3A932EAFC1}" name="Respiratory Protection Program Management"/>
    <tableColumn id="24" xr3:uid="{18E07E93-776D-410F-B07B-74EA4416C947}" name="Tank Managers Course"/>
    <tableColumn id="25" xr3:uid="{171D8D4C-1478-4E01-9AF0-ABBD59945B5C}" name="Totals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16EDB5DD-DA60-4B72-B8A7-AA0DAC1BF15F}" name="Table16" displayName="Table16" ref="A3:Y15" totalsRowShown="0">
  <autoFilter ref="A3:Y15" xr:uid="{16EDB5DD-DA60-4B72-B8A7-AA0DAC1BF15F}"/>
  <sortState xmlns:xlrd2="http://schemas.microsoft.com/office/spreadsheetml/2017/richdata2" ref="A4:Y15">
    <sortCondition ref="Q3:Q15"/>
  </sortState>
  <tableColumns count="25">
    <tableColumn id="1" xr3:uid="{4CCA47A7-1E64-4866-AECF-97355BE6DABF}" name="Command"/>
    <tableColumn id="2" xr3:uid="{1370DB97-3716-4B6A-A3DE-9247713F3EEE}" name="Location/Course Title"/>
    <tableColumn id="3" xr3:uid="{B156F5EE-F050-4B7A-B07B-6F12E550E8C6}" name="Asbestos Inspector"/>
    <tableColumn id="4" xr3:uid="{DFE5EF05-360A-430D-95D9-CD0FB9DFB27E}" name="Asbestos Inspector Refresher"/>
    <tableColumn id="5" xr3:uid="{2C0498B5-EE35-4DAD-BDE0-C603B64C0FF8}" name="Asbestos Management Planner"/>
    <tableColumn id="6" xr3:uid="{C29E64D8-E080-4D84-87AA-88E06EA47C66}" name="Asbestos Management Planner Refresher"/>
    <tableColumn id="7" xr3:uid="{122E6C15-8391-4DEC-8E92-40494569B2C0}" name="Asbestos Supervisor Initial"/>
    <tableColumn id="8" xr3:uid="{95F8F474-5EBE-469B-828F-E4537FE9AF3F}" name="Asbestos Supervisor Refresher"/>
    <tableColumn id="9" xr3:uid="{02C91983-D313-469D-BD68-BEBB7209B1E4}" name="Competent Person for Fall Protection Course"/>
    <tableColumn id="10" xr3:uid="{12AC4B62-B0FD-470F-B902-BAC4C8BB05BE}" name="Confined Space Safety "/>
    <tableColumn id="11" xr3:uid="{B76BBB8F-ADD1-4F53-9D14-F6CA5852D5E7}" name="Construction Safety Standards"/>
    <tableColumn id="12" xr3:uid="{23B3AD00-51BD-410F-A704-B5DD0077C4A4}" name="Emergency Asbestos Response Team"/>
    <tableColumn id="13" xr3:uid="{12AA430A-876F-462D-9240-9889F88BC742}" name="Facility Response Team Five Day"/>
    <tableColumn id="14" xr3:uid="{90D460CE-949F-49E1-AF7A-D099C50E0ABB}" name="Facility Response Team Three Day"/>
    <tableColumn id="15" xr3:uid="{EA0558CB-A3EE-41D1-8270-387B65429745}" name="Fire Protection &amp; Life Safety"/>
    <tableColumn id="16" xr3:uid="{ED04441E-39EC-488D-A492-C74992A2BC35}" name="Hazardous Substance Incident Response Management"/>
    <tableColumn id="17" xr3:uid="{D9D030FE-EC0F-482D-A3DE-DA62E4F3A753}" name="Hazardous Substance Incident Response Management  Refresher"/>
    <tableColumn id="18" xr3:uid="{D4EA12FA-BBEB-40A7-9591-40AB54B24217}" name="Incident Command System 300 "/>
    <tableColumn id="19" xr3:uid="{7FA5D622-7D92-4E11-914F-714FD89DCF59}" name="Incident Command System 300 Refresher"/>
    <tableColumn id="20" xr3:uid="{C4E52DFA-BE1F-4350-B6FC-2C756C4BE3DE}" name="Incident Command System 400 "/>
    <tableColumn id="21" xr3:uid="{78FC86D6-04E5-46ED-8AC4-E927E0BD8628}" name="Industrial Noise and Hearing Conservation Program"/>
    <tableColumn id="22" xr3:uid="{71D7CCE6-73C2-4A31-B2D6-BCC80E535B76}" name="Oil Hazardous Substance Spill Response Tabletop Exercise "/>
    <tableColumn id="23" xr3:uid="{A720F4B2-1462-473D-A64E-FC5B74141AFC}" name="Respiratory Protection Program Management"/>
    <tableColumn id="24" xr3:uid="{4C8C235A-FDA9-4A1D-8F3B-4F810EEA6DC5}" name="Tank Managers Course"/>
    <tableColumn id="25" xr3:uid="{502AB6FD-0AEB-4404-AA31-41005DCB5B44}" name="Total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4D3AAA6-D87B-4AD0-B345-E17FCDBF3401}" name="Table7" displayName="Table7" ref="A3:Y15" totalsRowShown="0">
  <autoFilter ref="A3:Y15" xr:uid="{F4D3AAA6-D87B-4AD0-B345-E17FCDBF3401}"/>
  <sortState xmlns:xlrd2="http://schemas.microsoft.com/office/spreadsheetml/2017/richdata2" ref="A4:Y15">
    <sortCondition ref="I3:I15"/>
  </sortState>
  <tableColumns count="25">
    <tableColumn id="1" xr3:uid="{E766E59A-8A96-4795-A6BB-730C8F5B3D92}" name="Command"/>
    <tableColumn id="2" xr3:uid="{92536367-24D1-4DFE-896C-975BCBFB7935}" name="Location/Course Title"/>
    <tableColumn id="3" xr3:uid="{35476E06-EEB0-4680-A712-20D90362147B}" name="Asbestos Inspector"/>
    <tableColumn id="4" xr3:uid="{5CF48CA8-321C-46F3-BCB6-297439F12BBB}" name="Asbestos Inspector Refresher"/>
    <tableColumn id="5" xr3:uid="{F2E00528-D4FF-40E8-A17E-D1538CE63758}" name="Asbestos Management Planner"/>
    <tableColumn id="6" xr3:uid="{E1C991AD-491D-4E1E-B8EF-C7884AF716BD}" name="Asbestos Management Planner Refresher"/>
    <tableColumn id="7" xr3:uid="{132A6DCF-684F-4B22-8880-BE73BAD809CE}" name="Asbestos Supervisor Initial"/>
    <tableColumn id="8" xr3:uid="{2BAB1A3F-55A5-44B0-9C9D-547BC149648B}" name="Asbestos Supervisor Refresher"/>
    <tableColumn id="9" xr3:uid="{A28B2E9A-7F80-4DCC-A7D8-761B9D752676}" name="Competent Person for Fall Protection Course"/>
    <tableColumn id="10" xr3:uid="{AC1AE372-2363-46ED-ADD0-5C90973A232B}" name="Confined Space Safety "/>
    <tableColumn id="11" xr3:uid="{CE1EAF60-5EF0-4BE8-8BA7-FFE8622BCDDD}" name="Construction Safety Standards"/>
    <tableColumn id="12" xr3:uid="{0D3E761F-0C28-44A3-AAD2-FD4A13DDDD87}" name="Emergency Asbestos Response Team"/>
    <tableColumn id="13" xr3:uid="{224BA0B1-C48B-4C7B-94B6-EBFED82DC4BB}" name="Facility Response Team Five Day"/>
    <tableColumn id="14" xr3:uid="{3553C414-676A-4C61-AEBB-9264184FBFAD}" name="Facility Response Team Three Day"/>
    <tableColumn id="15" xr3:uid="{5AB617AB-665A-411D-93DB-8F26EA67DADD}" name="Fire Protection &amp; Life Safety"/>
    <tableColumn id="16" xr3:uid="{128A4561-D818-4368-B51E-256E2F660A90}" name="Hazardous Substance Incident Response Management"/>
    <tableColumn id="17" xr3:uid="{094F4E89-A5D1-4650-81F5-D3B427C63428}" name="Hazardous Substance Incident Response Management  Refresher"/>
    <tableColumn id="18" xr3:uid="{24FB481A-1B5D-4A67-A940-92A6419FA7FB}" name="Incident Command System 300 "/>
    <tableColumn id="19" xr3:uid="{02A6E327-1665-4258-9619-4589D41AF807}" name="Incident Command System 300 Refresher"/>
    <tableColumn id="20" xr3:uid="{719AB886-8D3B-4B5B-AE83-55DADCD0442A}" name="Incident Command System 400 "/>
    <tableColumn id="21" xr3:uid="{278FD186-93E5-40EB-8010-BE9AA760A2FC}" name="Industrial Noise and Hearing Conservation Program"/>
    <tableColumn id="22" xr3:uid="{C28E94D3-DFE4-463F-AC43-02B42E4D1A03}" name="Oil Hazardous Substance Spill Response Tabletop Exercise "/>
    <tableColumn id="23" xr3:uid="{33587C8E-A082-433E-9D5B-76276FA572A1}" name="Respiratory Protection Program Management"/>
    <tableColumn id="24" xr3:uid="{D2B92A64-1E79-4B5B-9665-A68EF87B6879}" name="Tank Managers Course"/>
    <tableColumn id="25" xr3:uid="{57AD49A1-B2F2-4975-A748-CE6475F1001E}" name="Totals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3BDB62BC-12AB-41C4-B63B-93E766567BDD}" name="Table12" displayName="Table12" ref="A3:H16" totalsRowShown="0">
  <autoFilter ref="A3:H16" xr:uid="{3BDB62BC-12AB-41C4-B63B-93E766567BDD}"/>
  <sortState xmlns:xlrd2="http://schemas.microsoft.com/office/spreadsheetml/2017/richdata2" ref="A4:H16">
    <sortCondition ref="C3:C16"/>
  </sortState>
  <tableColumns count="8">
    <tableColumn id="1" xr3:uid="{69BAA560-E615-4C4C-A6C6-92AD5BEC184D}" name="Command"/>
    <tableColumn id="2" xr3:uid="{B973BD34-E7DF-4943-9A73-B8424CAE24BE}" name="Course Title/Preferred Time Zone"/>
    <tableColumn id="3" xr3:uid="{CF04A1E6-C0C9-4D24-A5A2-F66463CC66B8}" name="AST (Arabian Standard Time)"/>
    <tableColumn id="4" xr3:uid="{0A94480C-449F-4ECB-A8ED-930438B9E7F4}" name="CET/CEST (Central European Standard Time)"/>
    <tableColumn id="5" xr3:uid="{A93F64DD-E57D-4286-BE27-105865660EDE}" name="EST/EDT (Eastern Standard Time)"/>
    <tableColumn id="6" xr3:uid="{B55EBEDB-2D9B-4A47-855C-C4649890C138}" name="HST (Hawaii Standard Time)"/>
    <tableColumn id="7" xr3:uid="{67ABF3DC-D55A-4B8F-9C58-12EE306A5D84}" name="JST (Japan Standard Time)"/>
    <tableColumn id="8" xr3:uid="{B142A742-C3F1-457B-9536-9DF04C44A114}" name="PST/PDT (Pacific Standard Time)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93A3C4CD-1AEA-456F-8412-1F06E9A3464F}" name="Table210" displayName="Table210" ref="A3:AA98" totalsRowCount="1" headerRowDxfId="2004" dataDxfId="2002" totalsRowDxfId="2001" headerRowBorderDxfId="2003">
  <autoFilter ref="A3:AA97" xr:uid="{00000000-0009-0000-0100-000002000000}"/>
  <sortState xmlns:xlrd2="http://schemas.microsoft.com/office/spreadsheetml/2017/richdata2" ref="A4:AA97">
    <sortCondition ref="B3:B97"/>
  </sortState>
  <tableColumns count="27">
    <tableColumn id="1" xr3:uid="{BAAFD926-C9A0-428C-B15B-5AE0D4441A78}" name="Comments" totalsRowLabel="Total" dataDxfId="2000" totalsRowDxfId="1999"/>
    <tableColumn id="2" xr3:uid="{C9C57765-0894-4081-B097-E75909F9477E}" name="Course Title" totalsRowFunction="count" dataDxfId="1998" totalsRowDxfId="1997"/>
    <tableColumn id="3" xr3:uid="{9AD2E90B-E624-4AD8-AA66-86C468D308B6}" name="CIN" dataDxfId="1996" totalsRowDxfId="1995"/>
    <tableColumn id="4" xr3:uid="{2059424E-4D38-4A3D-A11E-FB5EAA05A845}" name="CDP " dataDxfId="1994" totalsRowDxfId="1993"/>
    <tableColumn id="5" xr3:uid="{F7F4FA51-D11C-4625-B18C-A9D9123D27AB}" name="Location" dataDxfId="1992" totalsRowDxfId="1991"/>
    <tableColumn id="6" xr3:uid="{5E81E744-317D-463F-9389-C5B09B3DF59A}" name="Start Date" dataDxfId="1990" totalsRowDxfId="1989"/>
    <tableColumn id="7" xr3:uid="{497A73EC-3068-4F85-8286-58EBC84E5760}" name="End Date" dataDxfId="1988" totalsRowDxfId="1987"/>
    <tableColumn id="26" xr3:uid="{38300BF7-BB27-404B-8134-9D9CA61B2979}" name="Resident Local Start Time of location" dataDxfId="1986" totalsRowDxfId="1985"/>
    <tableColumn id="32" xr3:uid="{25F8C40B-A54D-4C3B-8AF7-ED62F5050D03}" name="EST/EDT Local Live Session Start Time " dataDxfId="1984" totalsRowDxfId="1983"/>
    <tableColumn id="28" xr3:uid="{D52CFE58-A040-46A0-87D4-3CF2E58CAD91}" name="PST/PDT Local Live Session Start Time " dataDxfId="1982" totalsRowDxfId="1981"/>
    <tableColumn id="29" xr3:uid="{27BBFDE4-5D64-451B-AE0D-58261BD2FB64}" name="AST Local Live Session Start Time " dataDxfId="1980" totalsRowDxfId="1979"/>
    <tableColumn id="30" xr3:uid="{FE06AA5B-6C4A-4CD0-BD20-35D0B5B2FAB3}" name="CET/CEST Local Live Session Start Time " dataDxfId="1978" totalsRowDxfId="1977"/>
    <tableColumn id="27" xr3:uid="{AFDE156D-3260-4D6D-AF9C-E213438F87FC}" name="HST Local Live Session Start Time " dataDxfId="1976" totalsRowDxfId="1975"/>
    <tableColumn id="31" xr3:uid="{4CB8A3F0-7857-414F-8249-9D81779473BC}" name="JST Local Live Session Start Time " dataDxfId="1974" totalsRowDxfId="1973"/>
    <tableColumn id="8" xr3:uid="{74037211-E78B-4B02-8F45-4BAF18730BA6}" name="Primary Instructor" dataDxfId="1972" totalsRowDxfId="1971"/>
    <tableColumn id="9" xr3:uid="{99231029-F15D-47CD-8C8B-207611B0BFBB}" name="Instructor 2" dataDxfId="1970" totalsRowDxfId="1969"/>
    <tableColumn id="22" xr3:uid="{47D38A33-73A7-4413-BB6A-5C3FB5FBAA12}" name="Quotas" totalsRowFunction="custom" dataDxfId="1968" totalsRowDxfId="1967">
      <totalsRowFormula>SUBTOTAL(109,Q4:Q97)</totalsRowFormula>
    </tableColumn>
    <tableColumn id="10" xr3:uid="{C018C331-9720-40EE-B6A0-B97372963E2F}" name="Course Length (Days)" totalsRowFunction="sum" dataDxfId="1966" totalsRowDxfId="1965"/>
    <tableColumn id="16" xr3:uid="{376DFCC7-8235-4054-B060-C1BE514DC236}" name="Graduates" totalsRowFunction="custom" dataDxfId="1964" totalsRowDxfId="1963">
      <totalsRowFormula>SUBTOTAL(109,S4:S97)</totalsRowFormula>
    </tableColumn>
    <tableColumn id="17" xr3:uid="{3281B6D9-AEA6-4B9E-B002-4AB8024BDB53}" name="Fail" totalsRowFunction="custom" dataDxfId="1962" totalsRowDxfId="1961">
      <totalsRowFormula>SUBTOTAL(109,T4:T97)</totalsRowFormula>
    </tableColumn>
    <tableColumn id="18" xr3:uid="{746F0B67-7804-4CE8-A1B3-410E28E6D21C}" name="No Shows" totalsRowFunction="custom" dataDxfId="1960" totalsRowDxfId="1959">
      <totalsRowFormula>SUBTOTAL(109,U4:U97)</totalsRowFormula>
    </tableColumn>
    <tableColumn id="19" xr3:uid="{4DA2642C-2B8C-4ED7-B8D2-0280EBB93A1A}" name="Walk-ins" totalsRowFunction="custom" dataDxfId="1958" totalsRowDxfId="1957">
      <totalsRowFormula>SUBTOTAL(109,V4:V97)</totalsRowFormula>
    </tableColumn>
    <tableColumn id="20" xr3:uid="{E7FB79F0-1B30-401D-BBEA-45BCD5DDB5D6}" name="Foreign Grads" totalsRowFunction="custom" dataDxfId="1956" totalsRowDxfId="1955">
      <totalsRowFormula>SUBTOTAL(109,W4:W97)</totalsRowFormula>
    </tableColumn>
    <tableColumn id="21" xr3:uid="{3004AB1E-319E-4220-816D-F0FF56E63E83}" name="Roster Received By" totalsRowFunction="count" dataDxfId="1954" totalsRowDxfId="1953"/>
    <tableColumn id="23" xr3:uid="{5E958FDC-F631-4C7F-A94B-08800003986B}" name="Roster Due" dataDxfId="1952" totalsRowDxfId="1951">
      <calculatedColumnFormula>Table210[[#This Row],[End Date]]+2-TODAY()</calculatedColumnFormula>
    </tableColumn>
    <tableColumn id="24" xr3:uid="{E703E1BA-4AC8-480D-855F-DF04885D67E2}" name="Roster Status" dataDxfId="1950" totalsRowDxfId="1949">
      <calculatedColumnFormula>IF(ISBLANK(Table210[[#This Row],[Roster Received By]]),1,0)</calculatedColumnFormula>
    </tableColumn>
    <tableColumn id="25" xr3:uid="{F4B656DB-AFB0-4A51-81AA-302D7743E75A}" name="Remaining Courses" dataDxfId="1948" totalsRowDxfId="1947">
      <calculatedColumnFormula>IF(Table210[[#This Row],[Start Date]]&gt;TODAY(),1,)</calculatedColumnFormula>
    </tableColumn>
  </tableColumns>
  <tableStyleInfo name="TableStyleMedium15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86E6F5B-088A-40BF-9C3A-F5C6AB6AA07B}" name="Table25" displayName="Table25" ref="A3:AA459" totalsRowCount="1" headerRowDxfId="1946" dataDxfId="1944" totalsRowDxfId="1943" headerRowBorderDxfId="1945">
  <autoFilter ref="A3:AA458" xr:uid="{00000000-0009-0000-0100-000002000000}">
    <filterColumn colId="1">
      <filters>
        <filter val="Respiratory Protection Program Management"/>
      </filters>
    </filterColumn>
  </autoFilter>
  <sortState xmlns:xlrd2="http://schemas.microsoft.com/office/spreadsheetml/2017/richdata2" ref="A4:AA458">
    <sortCondition ref="E3:E458"/>
  </sortState>
  <tableColumns count="27">
    <tableColumn id="1" xr3:uid="{C2342F55-DFE4-488E-B515-415ECDB9DFEE}" name="Comments" totalsRowLabel="Total" dataDxfId="1942" totalsRowDxfId="1941"/>
    <tableColumn id="2" xr3:uid="{FADA44B4-44D0-4589-ACE3-E057D0EE9ED2}" name="Course Title" totalsRowFunction="count" dataDxfId="1940" totalsRowDxfId="1939"/>
    <tableColumn id="3" xr3:uid="{9036CA69-9069-4D5E-874C-7662361EE35C}" name="CIN" dataDxfId="1938" totalsRowDxfId="1937"/>
    <tableColumn id="4" xr3:uid="{F6D05D52-65CC-46CE-A322-D3833B543092}" name="CDP " dataDxfId="1936" totalsRowDxfId="1935"/>
    <tableColumn id="5" xr3:uid="{84494C77-A354-48DD-A68C-B34126F79399}" name="Location" dataDxfId="1934" totalsRowDxfId="1933"/>
    <tableColumn id="6" xr3:uid="{6B344705-02DB-4A3E-B950-29A59BECB7AE}" name="Start Date" dataDxfId="1932" totalsRowDxfId="1931"/>
    <tableColumn id="7" xr3:uid="{A94CB4AD-FEBF-4542-9853-FE4AFAB695DD}" name="End Date" dataDxfId="1930" totalsRowDxfId="1929"/>
    <tableColumn id="26" xr3:uid="{CEE49FCC-B7FD-48D9-86A7-497778C9B402}" name="Resident Local Start Time of location" dataDxfId="1928" totalsRowDxfId="1927"/>
    <tableColumn id="32" xr3:uid="{28D528AC-46D1-4984-89F5-C8AA57BB3C78}" name="EST/EDT Local Live Session Start Time " dataDxfId="1926" totalsRowDxfId="1925"/>
    <tableColumn id="28" xr3:uid="{CCD46A9A-8C5F-4B65-A2E4-15C78A2EFFDE}" name="PST/PDT Local Live Session Start Time " dataDxfId="1924" totalsRowDxfId="1923"/>
    <tableColumn id="29" xr3:uid="{993A5040-29B2-4086-8997-65ECC5101CE9}" name="AST Local Live Session Start Time " dataDxfId="1922" totalsRowDxfId="1921"/>
    <tableColumn id="30" xr3:uid="{F63275D8-949E-444B-B741-EB3B1B312C30}" name="CET/CEST Local Live Session Start Time " dataDxfId="1920" totalsRowDxfId="1919"/>
    <tableColumn id="27" xr3:uid="{1F2AC858-CEFC-461C-BEB6-3F9F980B98D0}" name="HST Local Live Session Start Time " dataDxfId="1918" totalsRowDxfId="1917"/>
    <tableColumn id="31" xr3:uid="{811944FF-34B9-4111-9789-402790D81347}" name="JST Local Live Session Start Time " dataDxfId="1916" totalsRowDxfId="1915"/>
    <tableColumn id="8" xr3:uid="{26A837A7-512E-4002-A5EA-E17F742A40B3}" name="Primary Instructor" dataDxfId="1914" totalsRowDxfId="1913"/>
    <tableColumn id="9" xr3:uid="{110ADADB-8A5F-413E-9B6D-D3510F201E55}" name="Instructor 2" dataDxfId="1912" totalsRowDxfId="1911"/>
    <tableColumn id="22" xr3:uid="{314E8877-A83D-4F89-9A04-C49FA04A9C00}" name="Quotas" totalsRowFunction="custom" dataDxfId="1910" totalsRowDxfId="1909">
      <totalsRowFormula>SUBTOTAL(109,Q4:Q458)</totalsRowFormula>
    </tableColumn>
    <tableColumn id="10" xr3:uid="{070B6AB2-187B-4D15-8583-80D8D7BAEF51}" name="Course Length (Days)" totalsRowFunction="sum" dataDxfId="1908" totalsRowDxfId="1907"/>
    <tableColumn id="16" xr3:uid="{59EF79D6-4759-4961-B4E4-C84D569CC012}" name="Graduates" totalsRowFunction="custom" dataDxfId="1906" totalsRowDxfId="1905">
      <totalsRowFormula>SUBTOTAL(109,S4:S458)</totalsRowFormula>
    </tableColumn>
    <tableColumn id="17" xr3:uid="{456FDA1F-D6E9-4ADB-8ED7-487AD8006452}" name="Fail" totalsRowFunction="custom" dataDxfId="1904" totalsRowDxfId="1903">
      <totalsRowFormula>SUBTOTAL(109,T4:T458)</totalsRowFormula>
    </tableColumn>
    <tableColumn id="18" xr3:uid="{E99A8EEE-FD20-4520-8338-07DE4C36BB10}" name="No Shows" totalsRowFunction="custom" dataDxfId="1902" totalsRowDxfId="1901">
      <totalsRowFormula>SUBTOTAL(109,U4:U458)</totalsRowFormula>
    </tableColumn>
    <tableColumn id="19" xr3:uid="{F6D0F8D9-B85B-4A04-B855-7C32689CC1D3}" name="Walk-ins" totalsRowFunction="custom" dataDxfId="1900" totalsRowDxfId="1899">
      <totalsRowFormula>SUBTOTAL(109,V4:V458)</totalsRowFormula>
    </tableColumn>
    <tableColumn id="20" xr3:uid="{2972677F-C901-4563-B7AA-465DF536AC9B}" name="Foreign Grads" totalsRowFunction="custom" dataDxfId="1898" totalsRowDxfId="1897">
      <totalsRowFormula>SUBTOTAL(109,W4:W458)</totalsRowFormula>
    </tableColumn>
    <tableColumn id="21" xr3:uid="{998C0827-BA12-4F50-BEA2-964641788D4D}" name="Roster Received By" totalsRowFunction="count" dataDxfId="1896" totalsRowDxfId="1895"/>
    <tableColumn id="23" xr3:uid="{82FA31EB-B1DA-4D72-BC1B-6A746B50E502}" name="Roster Due" dataDxfId="1894" totalsRowDxfId="1893">
      <calculatedColumnFormula>Table25[[#This Row],[End Date]]+2-TODAY()</calculatedColumnFormula>
    </tableColumn>
    <tableColumn id="24" xr3:uid="{06F0B8B2-51E0-478B-A50A-B49B83291699}" name="Roster Status" dataDxfId="1892" totalsRowDxfId="1891">
      <calculatedColumnFormula>IF(ISBLANK(Table25[[#This Row],[Roster Received By]]),1,0)</calculatedColumnFormula>
    </tableColumn>
    <tableColumn id="25" xr3:uid="{2C2F4313-A044-43BA-9248-3798C2B624F2}" name="Remaining Courses" dataDxfId="1890" totalsRowDxfId="1889">
      <calculatedColumnFormula>IF(Table25[[#This Row],[Start Date]]&gt;TODAY(),1,)</calculatedColumnFormula>
    </tableColumn>
  </tableColumns>
  <tableStyleInfo name="TableStyleMedium1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C658B-52C9-44EA-956B-750298760CCD}" name="Table24" displayName="Table24" ref="A3:AA459" totalsRowCount="1" headerRowDxfId="1888" dataDxfId="1886" totalsRowDxfId="1885" headerRowBorderDxfId="1887">
  <autoFilter ref="A3:AA458" xr:uid="{00000000-0009-0000-0100-000002000000}"/>
  <sortState xmlns:xlrd2="http://schemas.microsoft.com/office/spreadsheetml/2017/richdata2" ref="A4:AF458">
    <sortCondition ref="F3:F458"/>
  </sortState>
  <tableColumns count="27">
    <tableColumn id="1" xr3:uid="{79149F88-7EB9-4500-98DE-34ACE96F92DF}" name="Comments" totalsRowLabel="Total" dataDxfId="1884" totalsRowDxfId="1883"/>
    <tableColumn id="2" xr3:uid="{F6626155-689F-42BD-B038-A9B6806D808B}" name="Course Title" totalsRowFunction="count" dataDxfId="1882" totalsRowDxfId="1881"/>
    <tableColumn id="3" xr3:uid="{2BC95441-E66A-4135-8D3C-CDB15DB807EB}" name="CIN" dataDxfId="1880" totalsRowDxfId="1879"/>
    <tableColumn id="4" xr3:uid="{5F4B4B93-BD47-404A-8200-98910040B224}" name="CDP " dataDxfId="1878" totalsRowDxfId="1877"/>
    <tableColumn id="5" xr3:uid="{75B93F82-D13A-48E6-A447-867B8BB4C082}" name="Location" dataDxfId="1876" totalsRowDxfId="1875"/>
    <tableColumn id="6" xr3:uid="{86ACFDED-2593-4FC8-81CA-6390274D7A4F}" name="Start Date" dataDxfId="1874" totalsRowDxfId="1873"/>
    <tableColumn id="7" xr3:uid="{A6DA2D01-C088-4F58-8562-2F71A85EC272}" name="End Date" dataDxfId="1872" totalsRowDxfId="1871"/>
    <tableColumn id="26" xr3:uid="{2D89D048-98FA-4BEA-AF58-DD1A02D5E0E9}" name="Resident Local Start Time of location" dataDxfId="1870" totalsRowDxfId="1869"/>
    <tableColumn id="32" xr3:uid="{63F1EBA8-4CC8-40EB-B334-FDEC4434C6F8}" name="EST/EDT Local Live Session Start Time " dataDxfId="1868" totalsRowDxfId="1867"/>
    <tableColumn id="28" xr3:uid="{1D59791F-65C2-4033-BA1D-526F41A66111}" name="PST/PDT Local Live Session Start Time " dataDxfId="1866" totalsRowDxfId="1865"/>
    <tableColumn id="29" xr3:uid="{FDBC9AC7-3DA8-4EDC-B313-6C1EC42A0724}" name="AST Local Live Session Start Time " dataDxfId="1864" totalsRowDxfId="1863"/>
    <tableColumn id="30" xr3:uid="{B4537B98-89A4-4540-9610-33CC67D27420}" name="CET/CEST Local Live Session Start Time " dataDxfId="1862" totalsRowDxfId="1861"/>
    <tableColumn id="27" xr3:uid="{DC4F443E-C5C8-4650-985A-64A74A57F0ED}" name="HST Local Live Session Start Time " dataDxfId="1860" totalsRowDxfId="1859"/>
    <tableColumn id="31" xr3:uid="{A3EC9C9C-E6B5-400C-8DB0-D74AC3C55418}" name="JST Local Live Session Start Time " dataDxfId="1858" totalsRowDxfId="1857"/>
    <tableColumn id="8" xr3:uid="{BD02D554-0329-4AF6-8DCE-00A7A796FA67}" name="Primary Instructor" dataDxfId="1856" totalsRowDxfId="1855"/>
    <tableColumn id="9" xr3:uid="{6D45BB7D-3A95-43F2-8E16-75C8992FC1E6}" name="Instructor 2" dataDxfId="1854" totalsRowDxfId="1853"/>
    <tableColumn id="22" xr3:uid="{FB315DE8-C79B-4703-A2BA-1F6096A58C1C}" name="Quotas" totalsRowFunction="custom" dataDxfId="1852" totalsRowDxfId="1851">
      <totalsRowFormula>SUBTOTAL(109,Q4:Q458)</totalsRowFormula>
    </tableColumn>
    <tableColumn id="10" xr3:uid="{6FA31DB2-CC19-45F3-AC84-953C36C2A2CC}" name="Course Length (Days)" totalsRowFunction="sum" dataDxfId="1850" totalsRowDxfId="1849"/>
    <tableColumn id="16" xr3:uid="{7D216D85-CEB5-4FB8-8CE9-417C5E68CD91}" name="Graduates" totalsRowFunction="custom" dataDxfId="1848" totalsRowDxfId="1847">
      <totalsRowFormula>SUBTOTAL(109,S4:S458)</totalsRowFormula>
    </tableColumn>
    <tableColumn id="17" xr3:uid="{471F56FE-F439-4B07-921D-CBB3611086BE}" name="Fail" totalsRowFunction="custom" dataDxfId="1846" totalsRowDxfId="1845">
      <totalsRowFormula>SUBTOTAL(109,T4:T458)</totalsRowFormula>
    </tableColumn>
    <tableColumn id="18" xr3:uid="{CD9CAB05-4592-4199-97AF-F24CD2C37859}" name="No Shows" totalsRowFunction="custom" dataDxfId="1844" totalsRowDxfId="1843">
      <totalsRowFormula>SUBTOTAL(109,U4:U458)</totalsRowFormula>
    </tableColumn>
    <tableColumn id="19" xr3:uid="{E508046D-5F43-4F5D-ADC6-09456C05B40C}" name="Walk-ins" totalsRowFunction="custom" dataDxfId="1842" totalsRowDxfId="1841">
      <totalsRowFormula>SUBTOTAL(109,V4:V458)</totalsRowFormula>
    </tableColumn>
    <tableColumn id="20" xr3:uid="{16429556-E9E1-4650-9FA8-7E088FD9ED28}" name="Foreign Grads" totalsRowFunction="custom" dataDxfId="1840" totalsRowDxfId="1839">
      <totalsRowFormula>SUBTOTAL(109,W4:W458)</totalsRowFormula>
    </tableColumn>
    <tableColumn id="21" xr3:uid="{0CB98322-C372-4A0A-932D-68FE742BCA16}" name="Roster Received By" totalsRowFunction="count" dataDxfId="1838" totalsRowDxfId="1837"/>
    <tableColumn id="23" xr3:uid="{47BF087B-B81F-40F2-AD60-EE1F11A5135E}" name="Roster Due" dataDxfId="1836" totalsRowDxfId="1835">
      <calculatedColumnFormula>Table24[[#This Row],[End Date]]+2-TODAY()</calculatedColumnFormula>
    </tableColumn>
    <tableColumn id="24" xr3:uid="{402A7A19-6D60-4923-A13A-58BD63FC3167}" name="Roster Status" dataDxfId="1834" totalsRowDxfId="1833">
      <calculatedColumnFormula>IF(ISBLANK(Table24[[#This Row],[Roster Received By]]),1,0)</calculatedColumnFormula>
    </tableColumn>
    <tableColumn id="25" xr3:uid="{BC58C9C5-5716-41F8-BDD7-54CA141C56B2}" name="Remaining Courses" dataDxfId="1832" totalsRowDxfId="1831">
      <calculatedColumnFormula>IF(Table24[[#This Row],[Start Date]]&gt;TODAY(),1,)</calculatedColumnFormula>
    </tableColumn>
  </tableColumns>
  <tableStyleInfo name="TableStyleMedium15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02DC828-C589-4D99-87A8-A672DC7588DB}" name="Table29" displayName="Table29" ref="A3:AA163" totalsRowCount="1" headerRowDxfId="1830" dataDxfId="1828" totalsRowDxfId="1827" headerRowBorderDxfId="1829">
  <autoFilter ref="A3:AA162" xr:uid="{00000000-000C-0000-FFFF-FFFF05000000}"/>
  <sortState xmlns:xlrd2="http://schemas.microsoft.com/office/spreadsheetml/2017/richdata2" ref="A4:AA162">
    <sortCondition ref="B3:B162"/>
  </sortState>
  <tableColumns count="27">
    <tableColumn id="1" xr3:uid="{1C63BBBF-F354-4DD8-97A5-E14E8DC06BD5}" name="Comments" totalsRowLabel="Total" dataDxfId="1826" totalsRowDxfId="1825"/>
    <tableColumn id="2" xr3:uid="{EC508BA6-6C72-4335-91E0-3C34E2FA5459}" name="Course Title" totalsRowFunction="count" dataDxfId="1824" totalsRowDxfId="1823"/>
    <tableColumn id="3" xr3:uid="{14C72745-D101-4D90-811B-D00E2A84DB86}" name="CIN" dataDxfId="1822" totalsRowDxfId="1821"/>
    <tableColumn id="4" xr3:uid="{BE43C45C-F539-4156-A513-F6F46D511BBF}" name="CDP " dataDxfId="1820" totalsRowDxfId="1819"/>
    <tableColumn id="5" xr3:uid="{EEA99D01-363C-402D-84CA-D2BA8060717B}" name="Location" dataDxfId="1818" totalsRowDxfId="1817"/>
    <tableColumn id="6" xr3:uid="{93912A40-5270-402E-9EB6-B7175BE72777}" name="5/5/2025" dataDxfId="1816" totalsRowDxfId="1815"/>
    <tableColumn id="7" xr3:uid="{D8270151-992F-4341-8241-43E92185F552}" name="5/9/2025" dataDxfId="1814" totalsRowDxfId="1813"/>
    <tableColumn id="26" xr3:uid="{D5E0F6FC-5AB0-4179-8C79-410B617C8137}" name="Resident Local Start Time of location" dataDxfId="1812" totalsRowDxfId="1811"/>
    <tableColumn id="32" xr3:uid="{DA8C4426-E87C-408D-AABA-5BE1F2F0E858}" name="EST/EDT Local Live Session Start Time " dataDxfId="1810" totalsRowDxfId="1809"/>
    <tableColumn id="28" xr3:uid="{52767868-9CC6-449B-9860-D651EE14A705}" name="PST/PDT Local Live Session Start Time " dataDxfId="1808" totalsRowDxfId="1807"/>
    <tableColumn id="29" xr3:uid="{BF01AB4E-5396-4307-BCD9-799BF9B3EDE9}" name="AST Local Live Session Start Time " dataDxfId="1806" totalsRowDxfId="1805"/>
    <tableColumn id="30" xr3:uid="{4F050953-EEEB-4365-8396-3D078FE84B26}" name="CET/CEST Local Live Session Start Time " dataDxfId="1804" totalsRowDxfId="1803"/>
    <tableColumn id="27" xr3:uid="{06592FA7-19AC-4CFE-B34A-B515EE59458F}" name="HST Local Live Session Start Time " dataDxfId="1802" totalsRowDxfId="1801"/>
    <tableColumn id="31" xr3:uid="{9A334D73-E6D4-4AAA-8B87-D2750573D432}" name="JST Local Live Session Start Time " dataDxfId="1800" totalsRowDxfId="1799"/>
    <tableColumn id="8" xr3:uid="{D50F1A1A-BAD0-4C81-B1AE-79BB42BAE0AB}" name="Primary Instructor" dataDxfId="1798" totalsRowDxfId="1797"/>
    <tableColumn id="9" xr3:uid="{44080DAF-27C5-42A6-B324-B71AA7B2D720}" name="Instructor 2" dataDxfId="1796" totalsRowDxfId="1795"/>
    <tableColumn id="22" xr3:uid="{1F2F7EA8-BFBA-4C90-9472-5AC738C1BDC9}" name="Quotas" totalsRowFunction="custom" dataDxfId="1794" totalsRowDxfId="1793">
      <totalsRowFormula>SUBTOTAL(109,Q4:Q162)</totalsRowFormula>
    </tableColumn>
    <tableColumn id="10" xr3:uid="{9682ED1C-EBEE-42D9-873B-DC07BF105003}" name="Course Length (Days)" totalsRowFunction="sum" dataDxfId="1792" totalsRowDxfId="1791"/>
    <tableColumn id="16" xr3:uid="{89EB158D-8004-44B7-BD60-DA7F8BD931E3}" name="Graduates" totalsRowFunction="custom" dataDxfId="1790" totalsRowDxfId="1789">
      <totalsRowFormula>SUBTOTAL(109,S4:S162)</totalsRowFormula>
    </tableColumn>
    <tableColumn id="17" xr3:uid="{5CE7BB19-592D-4A30-A3FC-93CB553BECF1}" name="Fail" totalsRowFunction="custom" dataDxfId="1788" totalsRowDxfId="1787">
      <totalsRowFormula>SUBTOTAL(109,T4:T162)</totalsRowFormula>
    </tableColumn>
    <tableColumn id="18" xr3:uid="{E969121D-9457-4E40-8774-BE009C76FE20}" name="No Shows" totalsRowFunction="custom" dataDxfId="1786" totalsRowDxfId="1785">
      <totalsRowFormula>SUBTOTAL(109,U4:U162)</totalsRowFormula>
    </tableColumn>
    <tableColumn id="19" xr3:uid="{59CBB9DB-0E58-45F1-949F-1DDBB3492686}" name="Walk-ins" totalsRowFunction="custom" dataDxfId="1784" totalsRowDxfId="1783">
      <totalsRowFormula>SUBTOTAL(109,V4:V162)</totalsRowFormula>
    </tableColumn>
    <tableColumn id="20" xr3:uid="{2F720BE5-6E9B-485D-A6F1-A12B193EFF55}" name="Foreign Grads" totalsRowFunction="custom" dataDxfId="1782" totalsRowDxfId="1781">
      <totalsRowFormula>SUBTOTAL(109,W4:W162)</totalsRowFormula>
    </tableColumn>
    <tableColumn id="21" xr3:uid="{2BA7E8B0-27F0-4CD2-A350-2024873826D4}" name="Roster Received By" totalsRowFunction="count" dataDxfId="1780" totalsRowDxfId="1779"/>
    <tableColumn id="23" xr3:uid="{8823BE56-DA54-47E0-89A0-59A877FAB73F}" name="Roster Due" dataDxfId="1778" totalsRowDxfId="1777">
      <calculatedColumnFormula>Table29[[#This Row],[5/9/2025]]+2-TODAY()</calculatedColumnFormula>
    </tableColumn>
    <tableColumn id="24" xr3:uid="{E18F92EF-46B0-4D15-B0E4-51F4BD1CF898}" name="Roster Status" dataDxfId="1776" totalsRowDxfId="1775">
      <calculatedColumnFormula>IF(ISBLANK(Table29[[#This Row],[Roster Received By]]),1,0)</calculatedColumnFormula>
    </tableColumn>
    <tableColumn id="25" xr3:uid="{BBFDC5C5-2741-4D98-92A9-5CAF33C3723D}" name="Remaining Courses" dataDxfId="1774" totalsRowDxfId="1773">
      <calculatedColumnFormula>IF(Table29[[#This Row],[5/5/2025]]&gt;TODAY(),1,)</calculatedColumnFormula>
    </tableColumn>
  </tableColumns>
  <tableStyleInfo name="TableStyleMedium15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6B8DAAA6-B7E9-46ED-93A3-B30D988DBD52}" name="Table11" displayName="Table11" ref="A3:Y16" totalsRowShown="0">
  <autoFilter ref="A3:Y16" xr:uid="{6B8DAAA6-B7E9-46ED-93A3-B30D988DBD52}"/>
  <sortState xmlns:xlrd2="http://schemas.microsoft.com/office/spreadsheetml/2017/richdata2" ref="A4:Y16">
    <sortCondition ref="R3:R16"/>
  </sortState>
  <tableColumns count="25">
    <tableColumn id="1" xr3:uid="{CDF5F771-AD95-4A46-9AE3-73CD6C0312AE}" name="Command"/>
    <tableColumn id="2" xr3:uid="{46F831B0-A1B3-451B-9702-71B4A5AD2810}" name="Location/Course Title"/>
    <tableColumn id="3" xr3:uid="{1D5AA204-6333-47C0-A18E-DF37AE2DC8C9}" name="Asbestos Inspector"/>
    <tableColumn id="4" xr3:uid="{E29B3809-4E14-46C6-B483-E5ABA6825C5B}" name="Asbestos Inspector Refresher"/>
    <tableColumn id="5" xr3:uid="{012FFC54-1F86-461F-9CAF-4874947EF0B8}" name="Asbestos Management Planner"/>
    <tableColumn id="6" xr3:uid="{2FE9E155-4CA0-4ED9-B8BF-34AF5CBFC9FA}" name="Asbestos Management Planner Refresher"/>
    <tableColumn id="7" xr3:uid="{AD414EC2-0976-45BD-93F7-0B4E047D7A22}" name="Asbestos Supervisor Initial"/>
    <tableColumn id="8" xr3:uid="{36507EE7-3AB9-4B70-BCFA-C86C679E2C56}" name="Asbestos Supervisor Refresher"/>
    <tableColumn id="9" xr3:uid="{49F8A813-45DE-40EC-8F5B-85500334DFCF}" name="Competent Person for Fall Protection Course"/>
    <tableColumn id="10" xr3:uid="{AA2C009E-A57E-4907-9851-9DE41E9E6D26}" name="Confined Space Safety "/>
    <tableColumn id="11" xr3:uid="{3F2E6A39-03F0-4934-BB86-5938D558E026}" name="Construction Safety Standards"/>
    <tableColumn id="12" xr3:uid="{CA23CE34-B319-4A38-B43F-BA77C967C4DB}" name="Emergency Asbestos Response Team"/>
    <tableColumn id="13" xr3:uid="{E77D8881-37E0-4F1B-88AB-5431B9785B97}" name="Facility Response Team Five Day"/>
    <tableColumn id="14" xr3:uid="{01B31410-72C9-45A4-AFDD-5E754ED342F3}" name="Facility Response Team Three Day"/>
    <tableColumn id="15" xr3:uid="{20993F47-1F49-46A4-86E3-6050C6EA9745}" name="Fire Protection &amp; Life Safety"/>
    <tableColumn id="16" xr3:uid="{5C00E780-0E8C-429A-85B3-80E5B74B8005}" name="Hazardous Substance Incident Response Management"/>
    <tableColumn id="17" xr3:uid="{20DEC377-DF65-419B-B124-C3615DC4E93F}" name="Hazardous Substance Incident Response Management  Refresher"/>
    <tableColumn id="18" xr3:uid="{97CB522F-60D0-4F5E-BCFE-BA1EDE69908A}" name="Incident Command System 300 "/>
    <tableColumn id="19" xr3:uid="{4711C7D9-A517-4747-B51C-2E09614D7834}" name="Incident Command System 300 Refresher"/>
    <tableColumn id="20" xr3:uid="{56398BD3-BD08-4813-81D2-AAC365976642}" name="Incident Command System 400 "/>
    <tableColumn id="21" xr3:uid="{9F4CFF51-DA05-4690-86C3-371F9E2A61CA}" name="Industrial Noise and Hearing Conservation Program"/>
    <tableColumn id="22" xr3:uid="{EBABE466-8182-4359-B99E-6B6659007381}" name="Oil Hazardous Substance Spill Response Tabletop Exercise "/>
    <tableColumn id="23" xr3:uid="{1649359E-F490-4C42-BF94-7D9080A5DCF6}" name="Respiratory Protection Program Management"/>
    <tableColumn id="24" xr3:uid="{0D475DC8-8292-4E05-A7FD-B2D28DEA2BAE}" name="Tank Managers Course"/>
    <tableColumn id="25" xr3:uid="{380ECDA6-0033-412A-9B47-F3AC5403B3BA}" name="Totals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3000000}" name="Table311" displayName="Table311" ref="B4:AA64" headerRowDxfId="2056" dataDxfId="2055" totalsRowDxfId="2053" tableBorderDxfId="2054" totalsRowBorderDxfId="2052">
  <autoFilter ref="B4:AA64" xr:uid="{00000000-0009-0000-0100-00000A000000}"/>
  <sortState xmlns:xlrd2="http://schemas.microsoft.com/office/spreadsheetml/2017/richdata2" ref="B5:AA64">
    <sortCondition ref="B4:B64"/>
  </sortState>
  <tableColumns count="26">
    <tableColumn id="1" xr3:uid="{00000000-0010-0000-0300-000001000000}" name="Courses - Planned vs Need (Active Courses)" totalsRowLabel="Total" dataDxfId="2051" totalsRowDxfId="2050"/>
    <tableColumn id="2" xr3:uid="{00000000-0010-0000-0300-000002000000}" name="CTR" dataDxfId="2049" totalsRowDxfId="2048"/>
    <tableColumn id="3" xr3:uid="{00000000-0010-0000-0300-000003000000}" name="Dept" dataDxfId="2047" totalsRowDxfId="2046"/>
    <tableColumn id="4" xr3:uid="{00000000-0010-0000-0300-000004000000}" name="Course Offerings" totalsRowFunction="sum" dataDxfId="2045" totalsRowDxfId="2044">
      <calculatedColumnFormula>COUNTIF(Table2[Course Title],Table311[[#This Row],[Courses - Planned vs Need (Active Courses)]])</calculatedColumnFormula>
    </tableColumn>
    <tableColumn id="5" xr3:uid="{00000000-0010-0000-0300-000005000000}" name="Quota per Offering" totalsRowFunction="sum" dataDxfId="2043" totalsRowDxfId="2042"/>
    <tableColumn id="6" xr3:uid="{00000000-0010-0000-0300-000006000000}" name="Planned Quotas" totalsRowFunction="sum" dataDxfId="2041" totalsRowDxfId="2040">
      <calculatedColumnFormula>Table311[[#This Row],[Course Offerings]]*Table311[[#This Row],[Quota per Offering]]</calculatedColumnFormula>
    </tableColumn>
    <tableColumn id="7" xr3:uid="{00000000-0010-0000-0300-000007000000}" name="Fleet Quota Need" totalsRowFunction="sum" dataDxfId="2039"/>
    <tableColumn id="8" xr3:uid="{00000000-0010-0000-0300-000008000000}" name="Difference" totalsRowFunction="sum" dataDxfId="2038" totalsRowDxfId="2037">
      <calculatedColumnFormula>SUM(G5-H5)</calculatedColumnFormula>
    </tableColumn>
    <tableColumn id="9" xr3:uid="{00000000-0010-0000-0300-000009000000}" name="%" totalsRowFunction="average" dataDxfId="2036" dataCellStyle="Percent">
      <calculatedColumnFormula>IFERROR(Table311[[#This Row],[Planned Quotas]]/Table311[[#This Row],[Fleet Quota Need]],100%)</calculatedColumnFormula>
    </tableColumn>
    <tableColumn id="10" xr3:uid="{00000000-0010-0000-0300-00000A000000}" name="Total Grads" totalsRowFunction="sum" dataDxfId="2035" totalsRowDxfId="2034">
      <calculatedColumnFormula>SUMIF(Table2[Course Title],Table311[[#This Row],[Courses - Planned vs Need (Active Courses)]],Table2[Graduates])</calculatedColumnFormula>
    </tableColumn>
    <tableColumn id="22" xr3:uid="{28CA42B6-D4D4-43E5-B7D1-ED8C085ACFF6}" name="Total Registered" dataDxfId="2033" totalsRowDxfId="2032">
      <calculatedColumnFormula>SUMIF(Table2[Course Title],Table311[[#This Row],[Courses - Planned vs Need (Active Courses)]],Table2[Registered])</calculatedColumnFormula>
    </tableColumn>
    <tableColumn id="25" xr3:uid="{0C2E10DF-0E69-47FB-9063-74F8200FB154}" name="Total Waitlisted" dataDxfId="2031" totalsRowDxfId="2030">
      <calculatedColumnFormula>SUMIF(Table2[Course Title],Table311[[#This Row],[Courses - Planned vs Need (Active Courses)]],Table2[Waitlisted])</calculatedColumnFormula>
    </tableColumn>
    <tableColumn id="26" xr3:uid="{D9C2BAD8-88E1-4594-B8B1-60C41F062128}" name="Total Walk-in" dataDxfId="2029" totalsRowDxfId="2028">
      <calculatedColumnFormula>SUMIF(Table2[Course Title],Table311[[#This Row],[Courses - Planned vs Need (Active Courses)]],Table2[Walk-ins])</calculatedColumnFormula>
    </tableColumn>
    <tableColumn id="11" xr3:uid="{00000000-0010-0000-0300-00000B000000}" name="No Shows" totalsRowFunction="sum" dataDxfId="2027">
      <calculatedColumnFormula>SUMIF(Table2[Course Title],Table311[[#This Row],[Courses - Planned vs Need (Active Courses)]],Table2[No Shows])</calculatedColumnFormula>
    </tableColumn>
    <tableColumn id="12" xr3:uid="{00000000-0010-0000-0300-00000C000000}" name="To date quotas unused (Open quotas+ no shows)" totalsRowFunction="sum" dataDxfId="2026">
      <calculatedColumnFormula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calculatedColumnFormula>
    </tableColumn>
    <tableColumn id="20" xr3:uid="{00000000-0010-0000-0300-000014000000}" name="Sunk Courses due to unused quotas todate" dataDxfId="2025">
      <calculatedColumnFormula>ROUNDDOWN(Table311[[#This Row],[To date quotas unused (Open quotas+ no shows)]]/Table311[[#This Row],[Quota per Offering]],0)</calculatedColumnFormula>
    </tableColumn>
    <tableColumn id="13" xr3:uid="{00000000-0010-0000-0300-00000D000000}" name="Grads needed this FY towards planned quotas" totalsRowFunction="sum" dataDxfId="2024" totalsRowDxfId="2023">
      <calculatedColumnFormula>SUM(G5-K5)</calculatedColumnFormula>
    </tableColumn>
    <tableColumn id="14" xr3:uid="{00000000-0010-0000-0300-00000E000000}" name="# of course completion reports to be processed" totalsRowFunction="sum" dataDxfId="2022">
      <calculatedColumnFormula>COUNTIFS(Table2[Course Title],Table311[[#This Row],[Courses - Planned vs Need (Active Courses)]],Table2[Roster Status],"1",Table2[Remaining Courses],"0")</calculatedColumnFormula>
    </tableColumn>
    <tableColumn id="15" xr3:uid="{00000000-0010-0000-0300-00000F000000}" name="# of courses remaining" totalsRowFunction="sum" dataDxfId="2021" totalsRowDxfId="2020">
      <calculatedColumnFormula>COUNTIFS(Table2[Course Title],Table311[[#This Row],[Courses - Planned vs Need (Active Courses)]],Table2[Remaining Courses],"1")</calculatedColumnFormula>
    </tableColumn>
    <tableColumn id="16" xr3:uid="{00000000-0010-0000-0300-000010000000}" name="To date % of graduates towards Fleet Need" totalsRowFunction="average" dataDxfId="2019" totalsRowDxfId="2018" dataCellStyle="Percent">
      <calculatedColumnFormula>IFERROR((K5/H5),100%)</calculatedColumnFormula>
    </tableColumn>
    <tableColumn id="23" xr3:uid="{00000000-0010-0000-0300-000017000000}" name="% of available quotas used" totalsRowFunction="custom" dataDxfId="2017" totalsRowDxfId="2016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calculatedColumnFormula>
      <totalsRowFormula>IFERROR((Table311[[#This Row],[Total Grads]]/((Table311[[#This Row],[Course Offerings]]-Table311[[#This Row],['# of course completion reports to be processed]]-Table311[[#This Row],['# of courses remaining]])*Table311[[#This Row],[Quota per Offering]])),0)</totalsRowFormula>
    </tableColumn>
    <tableColumn id="21" xr3:uid="{00000000-0010-0000-0300-000015000000}" name="% of available quotas used counting in no shows" dataDxfId="2015" totalsRowDxfId="2014" dataCellStyle="Percent">
      <calculatedColumnFormula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calculatedColumnFormula>
    </tableColumn>
    <tableColumn id="24" xr3:uid="{00000000-0010-0000-0300-000018000000}" name="Remaining FY26  4 Open Quotas" dataDxfId="2013" totalsRowDxfId="2012" dataCellStyle="Percent">
      <calculatedColumnFormula>SUMIFS(Table2[Open Quotas],Table2[Course Title],Table311[[#This Row],[Courses - Planned vs Need (Active Courses)]],Table2[Remaining Courses],"1",Table2[QTR],"4")</calculatedColumnFormula>
    </tableColumn>
    <tableColumn id="17" xr3:uid="{00000000-0010-0000-0300-000011000000}" name="# of additional grads if all quotas are filled of course results remaining to be processed" totalsRowFunction="sum" dataDxfId="2011" totalsRowDxfId="2010">
      <calculatedColumnFormula>SUM(S5,T5)*F5</calculatedColumnFormula>
    </tableColumn>
    <tableColumn id="18" xr3:uid="{00000000-0010-0000-0300-000012000000}" name="Difference between completed and fleet need of completed, potentially remaining quotas, and processed courses" totalsRowFunction="sum" dataDxfId="2009" totalsRowDxfId="2008">
      <calculatedColumnFormula>Table311[[#This Row],[Fleet Quota Need]]-Table311[[#This Row],[Total Grads]]</calculatedColumnFormula>
    </tableColumn>
    <tableColumn id="19" xr3:uid="{00000000-0010-0000-0300-000013000000}" name="Comments" dataDxfId="2007" totalsRowDxfId="2006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6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7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8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0000"/>
  </sheetPr>
  <dimension ref="A3:F8"/>
  <sheetViews>
    <sheetView workbookViewId="0">
      <selection activeCell="B4" sqref="B4"/>
    </sheetView>
  </sheetViews>
  <sheetFormatPr defaultRowHeight="15" x14ac:dyDescent="0.25"/>
  <cols>
    <col min="1" max="1" width="13.5703125" bestFit="1" customWidth="1"/>
    <col min="2" max="2" width="16.140625" bestFit="1" customWidth="1"/>
    <col min="3" max="3" width="10.28515625" bestFit="1" customWidth="1"/>
    <col min="4" max="4" width="15.85546875" bestFit="1" customWidth="1"/>
    <col min="5" max="7" width="18.28515625" bestFit="1" customWidth="1"/>
    <col min="8" max="8" width="11.28515625" bestFit="1" customWidth="1"/>
  </cols>
  <sheetData>
    <row r="3" spans="1:6" x14ac:dyDescent="0.25">
      <c r="A3" t="s">
        <v>0</v>
      </c>
      <c r="B3" t="s">
        <v>1</v>
      </c>
      <c r="C3" t="s">
        <v>2</v>
      </c>
      <c r="D3" t="s">
        <v>3</v>
      </c>
    </row>
    <row r="4" spans="1:6" x14ac:dyDescent="0.25">
      <c r="A4">
        <v>177145</v>
      </c>
      <c r="B4" s="516">
        <v>9690</v>
      </c>
      <c r="C4">
        <v>128</v>
      </c>
      <c r="D4">
        <v>1113</v>
      </c>
    </row>
    <row r="5" spans="1:6" x14ac:dyDescent="0.25">
      <c r="B5" s="5" t="s">
        <v>4</v>
      </c>
    </row>
    <row r="7" spans="1:6" x14ac:dyDescent="0.25">
      <c r="D7" s="44" t="s">
        <v>5</v>
      </c>
      <c r="E7" s="44">
        <f>GETPIVOTDATA("Sum of Graduates",$A$3)+GETPIVOTDATA("Sum of Fail",$A$3)</f>
        <v>9818</v>
      </c>
      <c r="F7" s="45">
        <f>E7/GETPIVOTDATA("Sum of Quotas",$A$3)</f>
        <v>5.5423523102543115E-2</v>
      </c>
    </row>
    <row r="8" spans="1:6" x14ac:dyDescent="0.25">
      <c r="D8" s="44" t="s">
        <v>6</v>
      </c>
      <c r="E8" s="44">
        <f>GETPIVOTDATA("Sum of Graduates",$A$3)+GETPIVOTDATA("Sum of Fail",$A$3)+GETPIVOTDATA("Sum of No Shows",$A$3)</f>
        <v>10931</v>
      </c>
      <c r="F8" s="45">
        <f>E8/GETPIVOTDATA("Sum of Quotas",$A$3)</f>
        <v>6.1706511614778851E-2</v>
      </c>
    </row>
  </sheetData>
  <pageMargins left="0.7" right="0.7" top="0.75" bottom="0.75" header="0.3" footer="0.3"/>
  <pageSetup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C1335-9BC5-4571-85CE-C5CFC6D0D6A3}">
  <dimension ref="A1:Y16"/>
  <sheetViews>
    <sheetView workbookViewId="0">
      <pane xSplit="1" topLeftCell="B1" activePane="topRight" state="frozen"/>
      <selection pane="topRight" activeCell="S8" sqref="S8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351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352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192</v>
      </c>
      <c r="B5" t="s">
        <v>352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  <c r="J5">
        <v>1</v>
      </c>
      <c r="K5">
        <v>1</v>
      </c>
      <c r="L5">
        <v>0</v>
      </c>
      <c r="M5">
        <v>0</v>
      </c>
      <c r="N5">
        <v>1</v>
      </c>
      <c r="O5">
        <v>1</v>
      </c>
      <c r="P5">
        <v>0</v>
      </c>
      <c r="Q5">
        <v>0</v>
      </c>
      <c r="R5">
        <v>0</v>
      </c>
      <c r="S5">
        <v>0</v>
      </c>
      <c r="T5">
        <v>0</v>
      </c>
      <c r="U5">
        <v>6</v>
      </c>
      <c r="V5">
        <v>0</v>
      </c>
      <c r="W5">
        <v>3</v>
      </c>
      <c r="X5">
        <v>2</v>
      </c>
      <c r="Y5">
        <v>16</v>
      </c>
    </row>
    <row r="6" spans="1:25" x14ac:dyDescent="0.25">
      <c r="A6" t="s">
        <v>176</v>
      </c>
      <c r="B6" t="s">
        <v>352</v>
      </c>
      <c r="I6">
        <v>2</v>
      </c>
      <c r="P6">
        <v>1</v>
      </c>
      <c r="Q6">
        <v>3</v>
      </c>
      <c r="R6">
        <v>1</v>
      </c>
      <c r="V6">
        <v>3</v>
      </c>
      <c r="Y6">
        <v>10</v>
      </c>
    </row>
    <row r="7" spans="1:25" x14ac:dyDescent="0.25">
      <c r="A7" t="s">
        <v>181</v>
      </c>
      <c r="B7" t="s">
        <v>352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  <c r="N7">
        <v>1</v>
      </c>
      <c r="O7">
        <v>1</v>
      </c>
      <c r="P7">
        <v>0</v>
      </c>
      <c r="Q7">
        <v>2</v>
      </c>
      <c r="R7">
        <v>1</v>
      </c>
      <c r="S7">
        <v>1</v>
      </c>
      <c r="T7">
        <v>1</v>
      </c>
      <c r="U7">
        <v>1</v>
      </c>
      <c r="V7">
        <v>1</v>
      </c>
      <c r="W7">
        <v>1</v>
      </c>
      <c r="X7">
        <v>1</v>
      </c>
      <c r="Y7">
        <v>22</v>
      </c>
    </row>
    <row r="8" spans="1:25" x14ac:dyDescent="0.25">
      <c r="A8" t="s">
        <v>171</v>
      </c>
      <c r="B8" t="s">
        <v>352</v>
      </c>
      <c r="I8">
        <v>4</v>
      </c>
      <c r="J8">
        <v>2</v>
      </c>
      <c r="O8">
        <v>1</v>
      </c>
      <c r="P8">
        <v>4</v>
      </c>
      <c r="Q8">
        <v>28</v>
      </c>
      <c r="R8">
        <v>15</v>
      </c>
      <c r="S8">
        <v>17</v>
      </c>
      <c r="T8">
        <v>17</v>
      </c>
      <c r="V8">
        <v>1</v>
      </c>
      <c r="W8">
        <v>1</v>
      </c>
      <c r="Y8">
        <v>90</v>
      </c>
    </row>
    <row r="9" spans="1:25" x14ac:dyDescent="0.25">
      <c r="A9" t="s">
        <v>172</v>
      </c>
      <c r="B9" t="s">
        <v>352</v>
      </c>
      <c r="Y9">
        <v>0</v>
      </c>
    </row>
    <row r="10" spans="1:25" x14ac:dyDescent="0.25">
      <c r="A10" t="s">
        <v>173</v>
      </c>
      <c r="B10" t="s">
        <v>352</v>
      </c>
      <c r="Y10">
        <v>0</v>
      </c>
    </row>
    <row r="11" spans="1:25" x14ac:dyDescent="0.25">
      <c r="A11" t="s">
        <v>174</v>
      </c>
      <c r="B11" t="s">
        <v>352</v>
      </c>
      <c r="Y11">
        <v>0</v>
      </c>
    </row>
    <row r="12" spans="1:25" x14ac:dyDescent="0.25">
      <c r="A12" t="s">
        <v>175</v>
      </c>
      <c r="B12" t="s">
        <v>352</v>
      </c>
      <c r="Y12">
        <v>0</v>
      </c>
    </row>
    <row r="13" spans="1:25" x14ac:dyDescent="0.25">
      <c r="A13" t="s">
        <v>177</v>
      </c>
      <c r="B13" t="s">
        <v>352</v>
      </c>
      <c r="Y13">
        <v>0</v>
      </c>
    </row>
    <row r="14" spans="1:25" x14ac:dyDescent="0.25">
      <c r="A14" t="s">
        <v>178</v>
      </c>
      <c r="B14" t="s">
        <v>352</v>
      </c>
      <c r="Y14">
        <v>0</v>
      </c>
    </row>
    <row r="15" spans="1:25" x14ac:dyDescent="0.25">
      <c r="A15" t="s">
        <v>179</v>
      </c>
      <c r="B15" t="s">
        <v>352</v>
      </c>
      <c r="Y15">
        <v>0</v>
      </c>
    </row>
    <row r="16" spans="1:25" x14ac:dyDescent="0.25">
      <c r="A16" t="s">
        <v>180</v>
      </c>
      <c r="B16" t="s">
        <v>352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4D047-F1F1-4A06-8D0E-D2CE7897CA1A}">
  <sheetPr>
    <tabColor rgb="FFFF0000"/>
  </sheetPr>
  <dimension ref="A1:C25"/>
  <sheetViews>
    <sheetView workbookViewId="0">
      <selection activeCell="B31" sqref="B31"/>
    </sheetView>
  </sheetViews>
  <sheetFormatPr defaultRowHeight="15" x14ac:dyDescent="0.25"/>
  <cols>
    <col min="1" max="1" width="21" bestFit="1" customWidth="1"/>
    <col min="2" max="2" width="49.140625" bestFit="1" customWidth="1"/>
    <col min="3" max="3" width="15.5703125" bestFit="1" customWidth="1"/>
    <col min="4" max="4" width="14" bestFit="1" customWidth="1"/>
    <col min="5" max="5" width="17.28515625" bestFit="1" customWidth="1"/>
    <col min="6" max="6" width="19" bestFit="1" customWidth="1"/>
    <col min="7" max="7" width="22.28515625" bestFit="1" customWidth="1"/>
    <col min="8" max="8" width="16.42578125" bestFit="1" customWidth="1"/>
    <col min="9" max="9" width="19.7109375" bestFit="1" customWidth="1"/>
    <col min="10" max="10" width="14" bestFit="1" customWidth="1"/>
    <col min="11" max="11" width="17.28515625" bestFit="1" customWidth="1"/>
    <col min="12" max="12" width="16.42578125" bestFit="1" customWidth="1"/>
    <col min="13" max="13" width="19.7109375" bestFit="1" customWidth="1"/>
    <col min="14" max="14" width="14" bestFit="1" customWidth="1"/>
    <col min="15" max="15" width="17.28515625" bestFit="1" customWidth="1"/>
    <col min="16" max="16" width="16.42578125" bestFit="1" customWidth="1"/>
    <col min="17" max="17" width="19.7109375" bestFit="1" customWidth="1"/>
    <col min="18" max="18" width="14" bestFit="1" customWidth="1"/>
    <col min="19" max="19" width="17.28515625" bestFit="1" customWidth="1"/>
    <col min="20" max="20" width="16.42578125" bestFit="1" customWidth="1"/>
    <col min="21" max="21" width="19.7109375" bestFit="1" customWidth="1"/>
    <col min="22" max="22" width="14" bestFit="1" customWidth="1"/>
    <col min="23" max="23" width="17.28515625" bestFit="1" customWidth="1"/>
    <col min="24" max="24" width="16.42578125" bestFit="1" customWidth="1"/>
    <col min="25" max="25" width="19.7109375" bestFit="1" customWidth="1"/>
    <col min="26" max="26" width="14" bestFit="1" customWidth="1"/>
    <col min="27" max="27" width="17.28515625" bestFit="1" customWidth="1"/>
    <col min="28" max="28" width="17.5703125" bestFit="1" customWidth="1"/>
    <col min="29" max="29" width="20.7109375" bestFit="1" customWidth="1"/>
    <col min="30" max="30" width="19" bestFit="1" customWidth="1"/>
    <col min="31" max="31" width="22.28515625" bestFit="1" customWidth="1"/>
  </cols>
  <sheetData>
    <row r="1" spans="1:3" x14ac:dyDescent="0.25">
      <c r="A1" s="6" t="s">
        <v>8</v>
      </c>
      <c r="B1" t="s">
        <v>276</v>
      </c>
    </row>
    <row r="2" spans="1:3" x14ac:dyDescent="0.25">
      <c r="B2" s="44" t="s">
        <v>353</v>
      </c>
      <c r="C2" s="44" t="s">
        <v>354</v>
      </c>
    </row>
    <row r="3" spans="1:3" x14ac:dyDescent="0.25">
      <c r="A3" s="6" t="s">
        <v>355</v>
      </c>
      <c r="B3" t="s">
        <v>356</v>
      </c>
      <c r="C3" t="s">
        <v>357</v>
      </c>
    </row>
    <row r="4" spans="1:3" x14ac:dyDescent="0.25">
      <c r="A4" s="4" t="s">
        <v>75</v>
      </c>
      <c r="B4">
        <v>25</v>
      </c>
      <c r="C4">
        <v>28</v>
      </c>
    </row>
    <row r="5" spans="1:3" x14ac:dyDescent="0.25">
      <c r="A5" s="4" t="s">
        <v>112</v>
      </c>
      <c r="B5">
        <v>75</v>
      </c>
      <c r="C5">
        <v>90</v>
      </c>
    </row>
    <row r="6" spans="1:3" x14ac:dyDescent="0.25">
      <c r="A6" s="4" t="s">
        <v>118</v>
      </c>
      <c r="B6">
        <v>50</v>
      </c>
      <c r="C6">
        <v>52</v>
      </c>
    </row>
    <row r="7" spans="1:3" x14ac:dyDescent="0.25">
      <c r="A7" s="4" t="s">
        <v>52</v>
      </c>
      <c r="B7">
        <v>25</v>
      </c>
      <c r="C7">
        <v>25</v>
      </c>
    </row>
    <row r="8" spans="1:3" x14ac:dyDescent="0.25">
      <c r="A8" s="4" t="s">
        <v>257</v>
      </c>
      <c r="B8">
        <v>75</v>
      </c>
      <c r="C8">
        <v>75</v>
      </c>
    </row>
    <row r="9" spans="1:3" x14ac:dyDescent="0.25">
      <c r="A9" s="4" t="s">
        <v>96</v>
      </c>
      <c r="B9">
        <v>50</v>
      </c>
      <c r="C9">
        <v>67</v>
      </c>
    </row>
    <row r="10" spans="1:3" x14ac:dyDescent="0.25">
      <c r="A10" s="4" t="s">
        <v>41</v>
      </c>
      <c r="B10">
        <v>100</v>
      </c>
      <c r="C10">
        <v>116</v>
      </c>
    </row>
    <row r="11" spans="1:3" x14ac:dyDescent="0.25">
      <c r="A11" s="4" t="s">
        <v>130</v>
      </c>
      <c r="B11">
        <v>50</v>
      </c>
      <c r="C11">
        <v>512</v>
      </c>
    </row>
    <row r="12" spans="1:3" x14ac:dyDescent="0.25">
      <c r="A12" s="4" t="s">
        <v>61</v>
      </c>
      <c r="B12">
        <v>50</v>
      </c>
      <c r="C12">
        <v>512</v>
      </c>
    </row>
    <row r="13" spans="1:3" x14ac:dyDescent="0.25">
      <c r="A13" s="4" t="s">
        <v>358</v>
      </c>
      <c r="B13">
        <v>25</v>
      </c>
      <c r="C13">
        <v>512</v>
      </c>
    </row>
    <row r="14" spans="1:3" x14ac:dyDescent="0.25">
      <c r="A14" s="4" t="s">
        <v>125</v>
      </c>
      <c r="B14">
        <v>25</v>
      </c>
      <c r="C14">
        <v>39</v>
      </c>
    </row>
    <row r="15" spans="1:3" x14ac:dyDescent="0.25">
      <c r="A15" s="4" t="s">
        <v>81</v>
      </c>
      <c r="B15">
        <v>75</v>
      </c>
      <c r="C15">
        <v>84</v>
      </c>
    </row>
    <row r="16" spans="1:3" x14ac:dyDescent="0.25">
      <c r="A16" s="4" t="s">
        <v>102</v>
      </c>
      <c r="B16">
        <v>25</v>
      </c>
      <c r="C16">
        <v>35</v>
      </c>
    </row>
    <row r="17" spans="1:3" x14ac:dyDescent="0.25">
      <c r="A17" s="4" t="s">
        <v>121</v>
      </c>
      <c r="B17">
        <v>225</v>
      </c>
      <c r="C17">
        <v>225</v>
      </c>
    </row>
    <row r="18" spans="1:3" x14ac:dyDescent="0.25">
      <c r="A18" s="4" t="s">
        <v>129</v>
      </c>
      <c r="B18">
        <v>25</v>
      </c>
      <c r="C18">
        <v>25</v>
      </c>
    </row>
    <row r="19" spans="1:3" x14ac:dyDescent="0.25">
      <c r="A19" s="4" t="s">
        <v>97</v>
      </c>
      <c r="B19">
        <v>25</v>
      </c>
      <c r="C19">
        <v>10</v>
      </c>
    </row>
    <row r="20" spans="1:3" x14ac:dyDescent="0.25">
      <c r="A20" s="4" t="s">
        <v>101</v>
      </c>
      <c r="B20">
        <v>125</v>
      </c>
      <c r="C20">
        <v>516</v>
      </c>
    </row>
    <row r="21" spans="1:3" x14ac:dyDescent="0.25">
      <c r="A21" s="4" t="s">
        <v>300</v>
      </c>
      <c r="B21">
        <v>25</v>
      </c>
      <c r="C21">
        <v>27</v>
      </c>
    </row>
    <row r="22" spans="1:3" x14ac:dyDescent="0.25">
      <c r="A22" s="4" t="s">
        <v>117</v>
      </c>
      <c r="B22">
        <v>50</v>
      </c>
      <c r="C22">
        <v>55</v>
      </c>
    </row>
    <row r="23" spans="1:3" x14ac:dyDescent="0.25">
      <c r="A23" s="4" t="s">
        <v>51</v>
      </c>
      <c r="B23">
        <v>75</v>
      </c>
      <c r="C23">
        <v>107</v>
      </c>
    </row>
    <row r="24" spans="1:3" x14ac:dyDescent="0.25">
      <c r="A24" s="4" t="s">
        <v>359</v>
      </c>
      <c r="B24">
        <v>25</v>
      </c>
    </row>
    <row r="25" spans="1:3" x14ac:dyDescent="0.25">
      <c r="A25" s="4" t="s">
        <v>360</v>
      </c>
      <c r="B25">
        <v>1225</v>
      </c>
      <c r="C25">
        <v>10</v>
      </c>
    </row>
  </sheetData>
  <pageMargins left="0.7" right="0.7" top="0.75" bottom="0.75" header="0.3" footer="0.3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/>
    <pageSetUpPr fitToPage="1"/>
  </sheetPr>
  <dimension ref="B1:AA65"/>
  <sheetViews>
    <sheetView showGridLines="0" tabSelected="1" zoomScale="80" zoomScaleNormal="80" workbookViewId="0">
      <pane xSplit="9" ySplit="4" topLeftCell="J5" activePane="bottomRight" state="frozen"/>
      <selection pane="topRight"/>
      <selection pane="bottomLeft"/>
      <selection pane="bottomRight" activeCell="Q55" sqref="Q55"/>
    </sheetView>
  </sheetViews>
  <sheetFormatPr defaultColWidth="9.28515625" defaultRowHeight="15" customHeight="1" x14ac:dyDescent="0.25"/>
  <cols>
    <col min="1" max="1" width="10.28515625" bestFit="1" customWidth="1"/>
    <col min="2" max="2" width="39.5703125" customWidth="1"/>
    <col min="3" max="3" width="7.5703125" customWidth="1"/>
    <col min="4" max="4" width="13.5703125" customWidth="1"/>
    <col min="5" max="5" width="11.28515625" customWidth="1"/>
    <col min="6" max="6" width="9.28515625" customWidth="1"/>
    <col min="7" max="7" width="9.7109375" customWidth="1"/>
    <col min="8" max="8" width="10.28515625" customWidth="1"/>
    <col min="9" max="9" width="9.7109375" customWidth="1"/>
    <col min="10" max="10" width="11.28515625" customWidth="1"/>
    <col min="11" max="11" width="8.28515625" customWidth="1"/>
    <col min="12" max="12" width="10.5703125" customWidth="1"/>
    <col min="13" max="13" width="11.28515625" customWidth="1"/>
    <col min="14" max="14" width="9.7109375" customWidth="1"/>
    <col min="15" max="15" width="7.42578125" customWidth="1"/>
    <col min="16" max="17" width="9.28515625" customWidth="1"/>
    <col min="18" max="18" width="17.28515625" customWidth="1"/>
    <col min="19" max="19" width="16.28515625" customWidth="1"/>
    <col min="20" max="20" width="10.7109375" customWidth="1"/>
    <col min="21" max="21" width="17.5703125" customWidth="1"/>
    <col min="22" max="22" width="12.5703125" customWidth="1"/>
    <col min="23" max="23" width="13.28515625" customWidth="1"/>
    <col min="24" max="24" width="10.5703125" customWidth="1"/>
    <col min="25" max="25" width="22.7109375" customWidth="1"/>
    <col min="26" max="26" width="21.7109375" customWidth="1"/>
    <col min="27" max="27" width="27.28515625" customWidth="1"/>
  </cols>
  <sheetData>
    <row r="1" spans="2:27" x14ac:dyDescent="0.25">
      <c r="B1" s="16"/>
      <c r="C1" s="15"/>
      <c r="D1" s="15"/>
      <c r="E1" s="15"/>
      <c r="F1" s="15"/>
      <c r="G1" s="3"/>
      <c r="H1" s="15"/>
      <c r="I1" s="15"/>
      <c r="J1" s="17"/>
      <c r="K1" s="15"/>
      <c r="L1" s="15"/>
      <c r="M1" s="15"/>
      <c r="N1" s="15"/>
      <c r="O1" s="15"/>
      <c r="P1" s="15"/>
      <c r="Q1" s="15"/>
      <c r="R1" s="15"/>
      <c r="S1" s="15"/>
      <c r="T1" s="2"/>
      <c r="U1" s="18"/>
      <c r="V1" s="18"/>
      <c r="W1" s="18"/>
      <c r="X1" s="18"/>
      <c r="Y1" s="15"/>
      <c r="Z1" s="15"/>
      <c r="AA1" s="15"/>
    </row>
    <row r="2" spans="2:27" x14ac:dyDescent="0.25">
      <c r="B2" s="154"/>
      <c r="C2" s="15"/>
      <c r="D2" s="15"/>
      <c r="E2" s="15"/>
      <c r="F2" s="15"/>
      <c r="G2" s="15"/>
      <c r="H2" s="15"/>
      <c r="I2" s="15"/>
      <c r="J2" s="17"/>
      <c r="K2" s="15"/>
      <c r="L2" s="15"/>
      <c r="M2" s="15"/>
      <c r="N2" s="15"/>
      <c r="O2" s="15"/>
      <c r="P2" s="15"/>
      <c r="Q2" s="15"/>
      <c r="R2" s="15"/>
      <c r="S2" s="15"/>
      <c r="T2" s="15"/>
      <c r="U2" s="18"/>
      <c r="V2" s="18"/>
      <c r="W2" s="18"/>
      <c r="X2" s="18"/>
      <c r="Y2" s="15"/>
      <c r="Z2" s="15"/>
      <c r="AA2" s="15"/>
    </row>
    <row r="3" spans="2:27" ht="16.5" thickBot="1" x14ac:dyDescent="0.3">
      <c r="B3" s="592" t="s">
        <v>361</v>
      </c>
      <c r="C3" s="593"/>
      <c r="D3" s="593"/>
      <c r="E3" s="593"/>
      <c r="F3" s="593"/>
      <c r="G3" s="593"/>
      <c r="H3" s="593"/>
      <c r="I3" s="593"/>
      <c r="J3" s="593"/>
      <c r="K3" s="594" t="s">
        <v>362</v>
      </c>
      <c r="L3" s="595"/>
      <c r="M3" s="595"/>
      <c r="N3" s="595"/>
      <c r="O3" s="596"/>
      <c r="P3" s="596"/>
      <c r="Q3" s="596"/>
      <c r="R3" s="596"/>
      <c r="S3" s="596"/>
      <c r="T3" s="596"/>
      <c r="U3" s="596"/>
      <c r="V3" s="529"/>
      <c r="W3" s="40"/>
      <c r="X3" s="597" t="s">
        <v>363</v>
      </c>
      <c r="Y3" s="597"/>
      <c r="Z3" s="597"/>
      <c r="AA3" s="598"/>
    </row>
    <row r="4" spans="2:27" ht="105" x14ac:dyDescent="0.25">
      <c r="B4" s="579" t="s">
        <v>364</v>
      </c>
      <c r="C4" s="580" t="s">
        <v>365</v>
      </c>
      <c r="D4" s="580" t="s">
        <v>366</v>
      </c>
      <c r="E4" s="580" t="s">
        <v>367</v>
      </c>
      <c r="F4" s="580" t="s">
        <v>368</v>
      </c>
      <c r="G4" s="580" t="s">
        <v>369</v>
      </c>
      <c r="H4" s="580" t="s">
        <v>370</v>
      </c>
      <c r="I4" s="580" t="s">
        <v>371</v>
      </c>
      <c r="J4" s="581" t="s">
        <v>372</v>
      </c>
      <c r="K4" s="153" t="s">
        <v>373</v>
      </c>
      <c r="L4" s="153" t="s">
        <v>374</v>
      </c>
      <c r="M4" s="153" t="s">
        <v>375</v>
      </c>
      <c r="N4" s="153" t="s">
        <v>376</v>
      </c>
      <c r="O4" s="37" t="s">
        <v>31</v>
      </c>
      <c r="P4" s="37" t="s">
        <v>377</v>
      </c>
      <c r="Q4" s="37" t="s">
        <v>378</v>
      </c>
      <c r="R4" s="38" t="s">
        <v>379</v>
      </c>
      <c r="S4" s="38" t="s">
        <v>380</v>
      </c>
      <c r="T4" s="38" t="s">
        <v>381</v>
      </c>
      <c r="U4" s="39" t="s">
        <v>382</v>
      </c>
      <c r="V4" s="39" t="s">
        <v>383</v>
      </c>
      <c r="W4" s="41" t="s">
        <v>384</v>
      </c>
      <c r="X4" s="28" t="s">
        <v>385</v>
      </c>
      <c r="Y4" s="19" t="s">
        <v>386</v>
      </c>
      <c r="Z4" s="19" t="s">
        <v>387</v>
      </c>
      <c r="AA4" s="20" t="s">
        <v>195</v>
      </c>
    </row>
    <row r="5" spans="2:27" ht="31.5" x14ac:dyDescent="0.25">
      <c r="B5" s="582" t="s">
        <v>196</v>
      </c>
      <c r="C5" s="31"/>
      <c r="D5" s="31" t="s">
        <v>388</v>
      </c>
      <c r="E5" s="31">
        <f>COUNTIF(Table2[Course Title],Table311[[#This Row],[Courses - Planned vs Need (Active Courses)]])</f>
        <v>10</v>
      </c>
      <c r="F5" s="43">
        <v>45</v>
      </c>
      <c r="G5" s="31">
        <f>Table311[[#This Row],[Course Offerings]]*Table311[[#This Row],[Quota per Offering]]</f>
        <v>450</v>
      </c>
      <c r="H5" s="112">
        <v>248</v>
      </c>
      <c r="I5" s="31">
        <f t="shared" ref="I5:I36" si="0">SUM(G5-H5)</f>
        <v>202</v>
      </c>
      <c r="J5" s="583">
        <f>IFERROR(Table311[[#This Row],[Planned Quotas]]/Table311[[#This Row],[Fleet Quota Need]],100%)</f>
        <v>1.814516129032258</v>
      </c>
      <c r="K5" s="52">
        <f>SUMIF(Table2[Course Title],Table311[[#This Row],[Courses - Planned vs Need (Active Courses)]],Table2[Graduates])</f>
        <v>123</v>
      </c>
      <c r="L5" s="32">
        <f>SUMIF(Table2[Course Title],Table311[[#This Row],[Courses - Planned vs Need (Active Courses)]],Table2[Registered])</f>
        <v>239</v>
      </c>
      <c r="M5" s="32">
        <f>SUMIF(Table2[Course Title],Table311[[#This Row],[Courses - Planned vs Need (Active Courses)]],Table2[Waitlisted])</f>
        <v>0</v>
      </c>
      <c r="N5" s="32">
        <f>SUMIF(Table2[Course Title],Table311[[#This Row],[Courses - Planned vs Need (Active Courses)]],Table2[Walk-ins])</f>
        <v>4</v>
      </c>
      <c r="O5" s="33">
        <f>SUMIF(Table2[Course Title],Table311[[#This Row],[Courses - Planned vs Need (Active Courses)]],Table2[No Shows])</f>
        <v>41</v>
      </c>
      <c r="P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274</v>
      </c>
      <c r="Q5" s="34">
        <f>ROUNDDOWN(Table311[[#This Row],[To date quotas unused (Open quotas+ no shows)]]/Table311[[#This Row],[Quota per Offering]],0)</f>
        <v>6</v>
      </c>
      <c r="R5" s="33">
        <f t="shared" ref="R5:R36" si="1">SUM(G5-K5)</f>
        <v>327</v>
      </c>
      <c r="S5" s="34">
        <f ca="1">COUNTIFS(Table2[Course Title],Table311[[#This Row],[Courses - Planned vs Need (Active Courses)]],Table2[Roster Status],"1",Table2[Remaining Courses],"0")</f>
        <v>0</v>
      </c>
      <c r="T5" s="34">
        <f ca="1">COUNTIFS(Table2[Course Title],Table311[[#This Row],[Courses - Planned vs Need (Active Courses)]],Table2[Remaining Courses],"1")</f>
        <v>2</v>
      </c>
      <c r="U5" s="36">
        <f t="shared" ref="U5:U36" si="2">IFERROR((K5/H5),100%)</f>
        <v>0.49596774193548387</v>
      </c>
      <c r="V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0.2388888888888889</v>
      </c>
      <c r="W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0.88611111111111107</v>
      </c>
      <c r="X5" s="52">
        <f ca="1">SUMIFS(Table2[Open Quotas],Table2[Course Title],Table311[[#This Row],[Courses - Planned vs Need (Active Courses)]],Table2[Remaining Courses],"1",Table2[QTR],"4")</f>
        <v>40</v>
      </c>
      <c r="Y5" s="34">
        <f t="shared" ref="Y5:Y36" ca="1" si="3">SUM(S5,T5)*F5</f>
        <v>90</v>
      </c>
      <c r="Z5" s="34">
        <f>Table311[[#This Row],[Fleet Quota Need]]-Table311[[#This Row],[Total Grads]]</f>
        <v>125</v>
      </c>
      <c r="AA5" s="22"/>
    </row>
    <row r="6" spans="2:27" ht="15.75" x14ac:dyDescent="0.25">
      <c r="B6" s="582" t="s">
        <v>389</v>
      </c>
      <c r="C6" s="31"/>
      <c r="D6" s="31" t="s">
        <v>390</v>
      </c>
      <c r="E6" s="31">
        <f>COUNTIF(Table2[Course Title],Table311[[#This Row],[Courses - Planned vs Need (Active Courses)]])</f>
        <v>2</v>
      </c>
      <c r="F6" s="31">
        <v>25</v>
      </c>
      <c r="G6" s="31">
        <f>Table311[[#This Row],[Course Offerings]]*Table311[[#This Row],[Quota per Offering]]</f>
        <v>50</v>
      </c>
      <c r="H6" s="112">
        <v>472</v>
      </c>
      <c r="I6" s="31">
        <f t="shared" si="0"/>
        <v>-422</v>
      </c>
      <c r="J6" s="583">
        <f>IFERROR(Table311[[#This Row],[Planned Quotas]]/Table311[[#This Row],[Fleet Quota Need]],100%)</f>
        <v>0.1059322033898305</v>
      </c>
      <c r="K6" s="52">
        <f>SUMIF(Table2[Course Title],Table311[[#This Row],[Courses - Planned vs Need (Active Courses)]],Table2[Graduates])</f>
        <v>14</v>
      </c>
      <c r="L6" s="52">
        <f>SUMIF(Table2[Course Title],Table311[[#This Row],[Courses - Planned vs Need (Active Courses)]],Table2[Registered])</f>
        <v>20</v>
      </c>
      <c r="M6" s="52">
        <f>SUMIF(Table2[Course Title],Table311[[#This Row],[Courses - Planned vs Need (Active Courses)]],Table2[Waitlisted])</f>
        <v>0</v>
      </c>
      <c r="N6" s="52">
        <f>SUMIF(Table2[Course Title],Table311[[#This Row],[Courses - Planned vs Need (Active Courses)]],Table2[Walk-ins])</f>
        <v>1</v>
      </c>
      <c r="O6" s="33">
        <f>SUMIF(Table2[Course Title],Table311[[#This Row],[Courses - Planned vs Need (Active Courses)]],Table2[No Shows])</f>
        <v>1</v>
      </c>
      <c r="P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37</v>
      </c>
      <c r="Q6" s="34">
        <f>ROUNDDOWN(Table311[[#This Row],[To date quotas unused (Open quotas+ no shows)]]/Table311[[#This Row],[Quota per Offering]],0)</f>
        <v>1</v>
      </c>
      <c r="R6" s="33">
        <f t="shared" si="1"/>
        <v>36</v>
      </c>
      <c r="S6" s="34">
        <f>COUNTIFS(Table2[Course Title],Table311[[#This Row],[Courses - Planned vs Need (Active Courses)]],Table2[Roster Status],"1",Table2[Remaining Courses],"0")</f>
        <v>0</v>
      </c>
      <c r="T6" s="34">
        <f ca="1">COUNTIFS(Table2[Course Title],Table311[[#This Row],[Courses - Planned vs Need (Active Courses)]],Table2[Remaining Courses],"1")</f>
        <v>0</v>
      </c>
      <c r="U6" s="36">
        <f t="shared" si="2"/>
        <v>2.9661016949152543E-2</v>
      </c>
      <c r="V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0.26</v>
      </c>
      <c r="W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0.98</v>
      </c>
      <c r="X6" s="52">
        <f>SUMIFS(Table2[Open Quotas],Table2[Course Title],Table311[[#This Row],[Courses - Planned vs Need (Active Courses)]],Table2[Remaining Courses],"1",Table2[QTR],"4")</f>
        <v>0</v>
      </c>
      <c r="Y6" s="34">
        <f t="shared" ca="1" si="3"/>
        <v>0</v>
      </c>
      <c r="Z6" s="34">
        <f>Table311[[#This Row],[Fleet Quota Need]]-Table311[[#This Row],[Total Grads]]</f>
        <v>458</v>
      </c>
      <c r="AA6" s="22"/>
    </row>
    <row r="7" spans="2:27" ht="15.75" x14ac:dyDescent="0.25">
      <c r="B7" s="582" t="s">
        <v>63</v>
      </c>
      <c r="C7" s="31"/>
      <c r="D7" s="31" t="s">
        <v>390</v>
      </c>
      <c r="E7" s="31">
        <f>COUNTIF(Table2[Course Title],Table311[[#This Row],[Courses - Planned vs Need (Active Courses)]])</f>
        <v>4</v>
      </c>
      <c r="F7" s="31">
        <v>30</v>
      </c>
      <c r="G7" s="31">
        <f>Table311[[#This Row],[Course Offerings]]*Table311[[#This Row],[Quota per Offering]]</f>
        <v>120</v>
      </c>
      <c r="H7" s="112">
        <v>216</v>
      </c>
      <c r="I7" s="31">
        <f t="shared" si="0"/>
        <v>-96</v>
      </c>
      <c r="J7" s="583">
        <f>IFERROR(Table311[[#This Row],[Planned Quotas]]/Table311[[#This Row],[Fleet Quota Need]],100%)</f>
        <v>0.55555555555555558</v>
      </c>
      <c r="K7" s="52">
        <f>SUMIF(Table2[Course Title],Table311[[#This Row],[Courses - Planned vs Need (Active Courses)]],Table2[Graduates])</f>
        <v>64</v>
      </c>
      <c r="L7" s="52">
        <f>SUMIF(Table2[Course Title],Table311[[#This Row],[Courses - Planned vs Need (Active Courses)]],Table2[Registered])</f>
        <v>78</v>
      </c>
      <c r="M7" s="52">
        <f>SUMIF(Table2[Course Title],Table311[[#This Row],[Courses - Planned vs Need (Active Courses)]],Table2[Waitlisted])</f>
        <v>0</v>
      </c>
      <c r="N7" s="52">
        <f>SUMIF(Table2[Course Title],Table311[[#This Row],[Courses - Planned vs Need (Active Courses)]],Table2[Walk-ins])</f>
        <v>3</v>
      </c>
      <c r="O7" s="33">
        <f>SUMIF(Table2[Course Title],Table311[[#This Row],[Courses - Planned vs Need (Active Courses)]],Table2[No Shows])</f>
        <v>1</v>
      </c>
      <c r="P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27</v>
      </c>
      <c r="Q7" s="34">
        <f>ROUNDDOWN(Table311[[#This Row],[To date quotas unused (Open quotas+ no shows)]]/Table311[[#This Row],[Quota per Offering]],0)</f>
        <v>0</v>
      </c>
      <c r="R7" s="33">
        <f t="shared" si="1"/>
        <v>56</v>
      </c>
      <c r="S7" s="34">
        <f ca="1">COUNTIFS(Table2[Course Title],Table311[[#This Row],[Courses - Planned vs Need (Active Courses)]],Table2[Roster Status],"1",Table2[Remaining Courses],"0")</f>
        <v>0</v>
      </c>
      <c r="T7" s="34">
        <f ca="1">COUNTIFS(Table2[Course Title],Table311[[#This Row],[Courses - Planned vs Need (Active Courses)]],Table2[Remaining Courses],"1")</f>
        <v>1</v>
      </c>
      <c r="U7" s="36">
        <f t="shared" si="2"/>
        <v>0.29629629629629628</v>
      </c>
      <c r="V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0.7</v>
      </c>
      <c r="W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0.98888888888888893</v>
      </c>
      <c r="X7" s="52">
        <f ca="1">SUMIFS(Table2[Open Quotas],Table2[Course Title],Table311[[#This Row],[Courses - Planned vs Need (Active Courses)]],Table2[Remaining Courses],"1",Table2[QTR],"4")</f>
        <v>24</v>
      </c>
      <c r="Y7" s="34">
        <f t="shared" ca="1" si="3"/>
        <v>30</v>
      </c>
      <c r="Z7" s="34">
        <f>Table311[[#This Row],[Fleet Quota Need]]-Table311[[#This Row],[Total Grads]]</f>
        <v>152</v>
      </c>
      <c r="AA7" s="22"/>
    </row>
    <row r="8" spans="2:27" ht="15.75" x14ac:dyDescent="0.25">
      <c r="B8" s="582" t="s">
        <v>391</v>
      </c>
      <c r="C8" s="31"/>
      <c r="D8" s="31" t="s">
        <v>390</v>
      </c>
      <c r="E8" s="31">
        <f>COUNTIF(Table2[Course Title],Table311[[#This Row],[Courses - Planned vs Need (Active Courses)]])</f>
        <v>2</v>
      </c>
      <c r="F8" s="31">
        <v>25</v>
      </c>
      <c r="G8" s="31">
        <f>Table311[[#This Row],[Course Offerings]]*Table311[[#This Row],[Quota per Offering]]</f>
        <v>50</v>
      </c>
      <c r="H8" s="112">
        <v>181</v>
      </c>
      <c r="I8" s="31">
        <f t="shared" si="0"/>
        <v>-131</v>
      </c>
      <c r="J8" s="583">
        <f>IFERROR(Table311[[#This Row],[Planned Quotas]]/Table311[[#This Row],[Fleet Quota Need]],100%)</f>
        <v>0.27624309392265195</v>
      </c>
      <c r="K8" s="52">
        <f>SUMIF(Table2[Course Title],Table311[[#This Row],[Courses - Planned vs Need (Active Courses)]],Table2[Graduates])</f>
        <v>8</v>
      </c>
      <c r="L8" s="52">
        <f>SUMIF(Table2[Course Title],Table311[[#This Row],[Courses - Planned vs Need (Active Courses)]],Table2[Registered])</f>
        <v>12</v>
      </c>
      <c r="M8" s="52">
        <f>SUMIF(Table2[Course Title],Table311[[#This Row],[Courses - Planned vs Need (Active Courses)]],Table2[Waitlisted])</f>
        <v>0</v>
      </c>
      <c r="N8" s="52">
        <f>SUMIF(Table2[Course Title],Table311[[#This Row],[Courses - Planned vs Need (Active Courses)]],Table2[Walk-ins])</f>
        <v>0</v>
      </c>
      <c r="O8" s="33">
        <f>SUMIF(Table2[Course Title],Table311[[#This Row],[Courses - Planned vs Need (Active Courses)]],Table2[No Shows])</f>
        <v>0</v>
      </c>
      <c r="P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42</v>
      </c>
      <c r="Q8" s="34">
        <f>ROUNDDOWN(Table311[[#This Row],[To date quotas unused (Open quotas+ no shows)]]/Table311[[#This Row],[Quota per Offering]],0)</f>
        <v>1</v>
      </c>
      <c r="R8" s="33">
        <f t="shared" si="1"/>
        <v>42</v>
      </c>
      <c r="S8" s="34">
        <f>COUNTIFS(Table2[Course Title],Table311[[#This Row],[Courses - Planned vs Need (Active Courses)]],Table2[Roster Status],"1",Table2[Remaining Courses],"0")</f>
        <v>0</v>
      </c>
      <c r="T8" s="34">
        <f ca="1">COUNTIFS(Table2[Course Title],Table311[[#This Row],[Courses - Planned vs Need (Active Courses)]],Table2[Remaining Courses],"1")</f>
        <v>0</v>
      </c>
      <c r="U8" s="36">
        <f t="shared" si="2"/>
        <v>4.4198895027624308E-2</v>
      </c>
      <c r="V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0.16</v>
      </c>
      <c r="W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8" s="52">
        <f>SUMIFS(Table2[Open Quotas],Table2[Course Title],Table311[[#This Row],[Courses - Planned vs Need (Active Courses)]],Table2[Remaining Courses],"1",Table2[QTR],"4")</f>
        <v>0</v>
      </c>
      <c r="Y8" s="34">
        <f t="shared" ca="1" si="3"/>
        <v>0</v>
      </c>
      <c r="Z8" s="34">
        <f>Table311[[#This Row],[Fleet Quota Need]]-Table311[[#This Row],[Total Grads]]</f>
        <v>173</v>
      </c>
      <c r="AA8" s="22"/>
    </row>
    <row r="9" spans="2:27" ht="31.5" x14ac:dyDescent="0.25">
      <c r="B9" s="582" t="s">
        <v>64</v>
      </c>
      <c r="C9" s="31"/>
      <c r="D9" s="31" t="s">
        <v>390</v>
      </c>
      <c r="E9" s="31">
        <f>COUNTIF(Table2[Course Title],Table311[[#This Row],[Courses - Planned vs Need (Active Courses)]])</f>
        <v>4</v>
      </c>
      <c r="F9" s="31">
        <v>30</v>
      </c>
      <c r="G9" s="31">
        <f>Table311[[#This Row],[Course Offerings]]*Table311[[#This Row],[Quota per Offering]]</f>
        <v>120</v>
      </c>
      <c r="H9" s="112">
        <v>163</v>
      </c>
      <c r="I9" s="31">
        <f t="shared" si="0"/>
        <v>-43</v>
      </c>
      <c r="J9" s="583">
        <f>IFERROR(Table311[[#This Row],[Planned Quotas]]/Table311[[#This Row],[Fleet Quota Need]],100%)</f>
        <v>0.73619631901840488</v>
      </c>
      <c r="K9" s="52">
        <f>SUMIF(Table2[Course Title],Table311[[#This Row],[Courses - Planned vs Need (Active Courses)]],Table2[Graduates])</f>
        <v>35</v>
      </c>
      <c r="L9" s="52">
        <f>SUMIF(Table2[Course Title],Table311[[#This Row],[Courses - Planned vs Need (Active Courses)]],Table2[Registered])</f>
        <v>41</v>
      </c>
      <c r="M9" s="52">
        <f>SUMIF(Table2[Course Title],Table311[[#This Row],[Courses - Planned vs Need (Active Courses)]],Table2[Waitlisted])</f>
        <v>0</v>
      </c>
      <c r="N9" s="52">
        <f>SUMIF(Table2[Course Title],Table311[[#This Row],[Courses - Planned vs Need (Active Courses)]],Table2[Walk-ins])</f>
        <v>1</v>
      </c>
      <c r="O9" s="33">
        <f>SUMIF(Table2[Course Title],Table311[[#This Row],[Courses - Planned vs Need (Active Courses)]],Table2[No Shows])</f>
        <v>0</v>
      </c>
      <c r="P9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55</v>
      </c>
      <c r="Q9" s="34">
        <f>ROUNDDOWN(Table311[[#This Row],[To date quotas unused (Open quotas+ no shows)]]/Table311[[#This Row],[Quota per Offering]],0)</f>
        <v>1</v>
      </c>
      <c r="R9" s="33">
        <f t="shared" si="1"/>
        <v>85</v>
      </c>
      <c r="S9" s="34">
        <f ca="1">COUNTIFS(Table2[Course Title],Table311[[#This Row],[Courses - Planned vs Need (Active Courses)]],Table2[Roster Status],"1",Table2[Remaining Courses],"0")</f>
        <v>0</v>
      </c>
      <c r="T9" s="34">
        <f ca="1">COUNTIFS(Table2[Course Title],Table311[[#This Row],[Courses - Planned vs Need (Active Courses)]],Table2[Remaining Courses],"1")</f>
        <v>1</v>
      </c>
      <c r="U9" s="36">
        <f t="shared" si="2"/>
        <v>0.21472392638036811</v>
      </c>
      <c r="V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0.3888888888888889</v>
      </c>
      <c r="W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9" s="52">
        <f ca="1">SUMIFS(Table2[Open Quotas],Table2[Course Title],Table311[[#This Row],[Courses - Planned vs Need (Active Courses)]],Table2[Remaining Courses],"1",Table2[QTR],"4")</f>
        <v>25</v>
      </c>
      <c r="Y9" s="34">
        <f t="shared" ca="1" si="3"/>
        <v>30</v>
      </c>
      <c r="Z9" s="34">
        <f>Table311[[#This Row],[Fleet Quota Need]]-Table311[[#This Row],[Total Grads]]</f>
        <v>128</v>
      </c>
      <c r="AA9" s="22"/>
    </row>
    <row r="10" spans="2:27" ht="15.75" x14ac:dyDescent="0.25">
      <c r="B10" s="582" t="s">
        <v>154</v>
      </c>
      <c r="C10" s="31"/>
      <c r="D10" s="31" t="s">
        <v>390</v>
      </c>
      <c r="E10" s="31">
        <f>COUNTIF(Table2[Course Title],Table311[[#This Row],[Courses - Planned vs Need (Active Courses)]])</f>
        <v>2</v>
      </c>
      <c r="F10" s="31">
        <v>25</v>
      </c>
      <c r="G10" s="31">
        <f>Table311[[#This Row],[Course Offerings]]*Table311[[#This Row],[Quota per Offering]]</f>
        <v>50</v>
      </c>
      <c r="H10" s="112">
        <v>216</v>
      </c>
      <c r="I10" s="31">
        <f t="shared" si="0"/>
        <v>-166</v>
      </c>
      <c r="J10" s="583">
        <f>IFERROR(Table311[[#This Row],[Planned Quotas]]/Table311[[#This Row],[Fleet Quota Need]],100%)</f>
        <v>0.23148148148148148</v>
      </c>
      <c r="K10" s="52">
        <f>SUMIF(Table2[Course Title],Table311[[#This Row],[Courses - Planned vs Need (Active Courses)]],Table2[Graduates])</f>
        <v>8</v>
      </c>
      <c r="L10" s="52">
        <f>SUMIF(Table2[Course Title],Table311[[#This Row],[Courses - Planned vs Need (Active Courses)]],Table2[Registered])</f>
        <v>12</v>
      </c>
      <c r="M10" s="52">
        <f>SUMIF(Table2[Course Title],Table311[[#This Row],[Courses - Planned vs Need (Active Courses)]],Table2[Waitlisted])</f>
        <v>0</v>
      </c>
      <c r="N10" s="52">
        <f>SUMIF(Table2[Course Title],Table311[[#This Row],[Courses - Planned vs Need (Active Courses)]],Table2[Walk-ins])</f>
        <v>0</v>
      </c>
      <c r="O10" s="33">
        <f>SUMIF(Table2[Course Title],Table311[[#This Row],[Courses - Planned vs Need (Active Courses)]],Table2[No Shows])</f>
        <v>1</v>
      </c>
      <c r="P10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43</v>
      </c>
      <c r="Q10" s="34">
        <f>ROUNDDOWN(Table311[[#This Row],[To date quotas unused (Open quotas+ no shows)]]/Table311[[#This Row],[Quota per Offering]],0)</f>
        <v>1</v>
      </c>
      <c r="R10" s="33">
        <f t="shared" si="1"/>
        <v>42</v>
      </c>
      <c r="S10" s="34">
        <f>COUNTIFS(Table2[Course Title],Table311[[#This Row],[Courses - Planned vs Need (Active Courses)]],Table2[Roster Status],"1",Table2[Remaining Courses],"0")</f>
        <v>0</v>
      </c>
      <c r="T10" s="34">
        <f ca="1">COUNTIFS(Table2[Course Title],Table311[[#This Row],[Courses - Planned vs Need (Active Courses)]],Table2[Remaining Courses],"1")</f>
        <v>0</v>
      </c>
      <c r="U10" s="36">
        <f t="shared" si="2"/>
        <v>3.7037037037037035E-2</v>
      </c>
      <c r="V1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0.14000000000000001</v>
      </c>
      <c r="W1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0.98</v>
      </c>
      <c r="X10" s="52">
        <f>SUMIFS(Table2[Open Quotas],Table2[Course Title],Table311[[#This Row],[Courses - Planned vs Need (Active Courses)]],Table2[Remaining Courses],"1",Table2[QTR],"4")</f>
        <v>0</v>
      </c>
      <c r="Y10" s="34">
        <f t="shared" ca="1" si="3"/>
        <v>0</v>
      </c>
      <c r="Z10" s="34">
        <f>Table311[[#This Row],[Fleet Quota Need]]-Table311[[#This Row],[Total Grads]]</f>
        <v>208</v>
      </c>
      <c r="AA10" s="22"/>
    </row>
    <row r="11" spans="2:27" ht="15.75" x14ac:dyDescent="0.25">
      <c r="B11" s="582" t="s">
        <v>59</v>
      </c>
      <c r="C11" s="31"/>
      <c r="D11" s="31" t="s">
        <v>390</v>
      </c>
      <c r="E11" s="31">
        <f>COUNTIF(Table2[Course Title],Table311[[#This Row],[Courses - Planned vs Need (Active Courses)]])</f>
        <v>4</v>
      </c>
      <c r="F11" s="31">
        <v>30</v>
      </c>
      <c r="G11" s="31">
        <f>Table311[[#This Row],[Course Offerings]]*Table311[[#This Row],[Quota per Offering]]</f>
        <v>120</v>
      </c>
      <c r="H11" s="112">
        <v>127</v>
      </c>
      <c r="I11" s="31">
        <f t="shared" si="0"/>
        <v>-7</v>
      </c>
      <c r="J11" s="583">
        <f>IFERROR(Table311[[#This Row],[Planned Quotas]]/Table311[[#This Row],[Fleet Quota Need]],100%)</f>
        <v>0.94488188976377951</v>
      </c>
      <c r="K11" s="52">
        <f>SUMIF(Table2[Course Title],Table311[[#This Row],[Courses - Planned vs Need (Active Courses)]],Table2[Graduates])</f>
        <v>42</v>
      </c>
      <c r="L11" s="52">
        <f>SUMIF(Table2[Course Title],Table311[[#This Row],[Courses - Planned vs Need (Active Courses)]],Table2[Registered])</f>
        <v>47</v>
      </c>
      <c r="M11" s="52">
        <f>SUMIF(Table2[Course Title],Table311[[#This Row],[Courses - Planned vs Need (Active Courses)]],Table2[Waitlisted])</f>
        <v>0</v>
      </c>
      <c r="N11" s="52">
        <f>SUMIF(Table2[Course Title],Table311[[#This Row],[Courses - Planned vs Need (Active Courses)]],Table2[Walk-ins])</f>
        <v>2</v>
      </c>
      <c r="O11" s="33">
        <f>SUMIF(Table2[Course Title],Table311[[#This Row],[Courses - Planned vs Need (Active Courses)]],Table2[No Shows])</f>
        <v>1</v>
      </c>
      <c r="P11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49</v>
      </c>
      <c r="Q11" s="34">
        <f>ROUNDDOWN(Table311[[#This Row],[To date quotas unused (Open quotas+ no shows)]]/Table311[[#This Row],[Quota per Offering]],0)</f>
        <v>1</v>
      </c>
      <c r="R11" s="33">
        <f t="shared" si="1"/>
        <v>78</v>
      </c>
      <c r="S11" s="34">
        <f ca="1">COUNTIFS(Table2[Course Title],Table311[[#This Row],[Courses - Planned vs Need (Active Courses)]],Table2[Roster Status],"1",Table2[Remaining Courses],"0")</f>
        <v>0</v>
      </c>
      <c r="T11" s="34">
        <f ca="1">COUNTIFS(Table2[Course Title],Table311[[#This Row],[Courses - Planned vs Need (Active Courses)]],Table2[Remaining Courses],"1")</f>
        <v>1</v>
      </c>
      <c r="U11" s="36">
        <f t="shared" si="2"/>
        <v>0.33070866141732286</v>
      </c>
      <c r="V1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0.45555555555555555</v>
      </c>
      <c r="W1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0.98888888888888893</v>
      </c>
      <c r="X11" s="52">
        <f ca="1">SUMIFS(Table2[Open Quotas],Table2[Course Title],Table311[[#This Row],[Courses - Planned vs Need (Active Courses)]],Table2[Remaining Courses],"1",Table2[QTR],"4")</f>
        <v>25</v>
      </c>
      <c r="Y11" s="34">
        <f t="shared" ca="1" si="3"/>
        <v>30</v>
      </c>
      <c r="Z11" s="34">
        <f>Table311[[#This Row],[Fleet Quota Need]]-Table311[[#This Row],[Total Grads]]</f>
        <v>85</v>
      </c>
      <c r="AA11" s="22"/>
    </row>
    <row r="12" spans="2:27" ht="31.5" x14ac:dyDescent="0.25">
      <c r="B12" s="582" t="s">
        <v>200</v>
      </c>
      <c r="C12" s="31"/>
      <c r="D12" s="31" t="s">
        <v>392</v>
      </c>
      <c r="E12" s="31">
        <f>COUNTIF(Table2[Course Title],Table311[[#This Row],[Courses - Planned vs Need (Active Courses)]])</f>
        <v>11</v>
      </c>
      <c r="F12" s="31">
        <v>45</v>
      </c>
      <c r="G12" s="31">
        <f>Table311[[#This Row],[Course Offerings]]*Table311[[#This Row],[Quota per Offering]]</f>
        <v>495</v>
      </c>
      <c r="H12" s="112">
        <v>409</v>
      </c>
      <c r="I12" s="31">
        <f t="shared" si="0"/>
        <v>86</v>
      </c>
      <c r="J12" s="583">
        <f>IFERROR(Table311[[#This Row],[Planned Quotas]]/Table311[[#This Row],[Fleet Quota Need]],100%)</f>
        <v>1.2102689486552567</v>
      </c>
      <c r="K12" s="52">
        <f>SUMIF(Table2[Course Title],Table311[[#This Row],[Courses - Planned vs Need (Active Courses)]],Table2[Graduates])</f>
        <v>235</v>
      </c>
      <c r="L12" s="52">
        <f>SUMIF(Table2[Course Title],Table311[[#This Row],[Courses - Planned vs Need (Active Courses)]],Table2[Registered])</f>
        <v>327</v>
      </c>
      <c r="M12" s="52">
        <f>SUMIF(Table2[Course Title],Table311[[#This Row],[Courses - Planned vs Need (Active Courses)]],Table2[Waitlisted])</f>
        <v>0</v>
      </c>
      <c r="N12" s="52">
        <f>SUMIF(Table2[Course Title],Table311[[#This Row],[Courses - Planned vs Need (Active Courses)]],Table2[Walk-ins])</f>
        <v>0</v>
      </c>
      <c r="O12" s="33">
        <f>SUMIF(Table2[Course Title],Table311[[#This Row],[Courses - Planned vs Need (Active Courses)]],Table2[No Shows])</f>
        <v>30</v>
      </c>
      <c r="P12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188</v>
      </c>
      <c r="Q12" s="34">
        <f>ROUNDDOWN(Table311[[#This Row],[To date quotas unused (Open quotas+ no shows)]]/Table311[[#This Row],[Quota per Offering]],0)</f>
        <v>4</v>
      </c>
      <c r="R12" s="33">
        <f t="shared" si="1"/>
        <v>260</v>
      </c>
      <c r="S12" s="34">
        <f ca="1">COUNTIFS(Table2[Course Title],Table311[[#This Row],[Courses - Planned vs Need (Active Courses)]],Table2[Roster Status],"1",Table2[Remaining Courses],"0")</f>
        <v>0</v>
      </c>
      <c r="T12" s="34">
        <f ca="1">COUNTIFS(Table2[Course Title],Table311[[#This Row],[Courses - Planned vs Need (Active Courses)]],Table2[Remaining Courses],"1")</f>
        <v>2</v>
      </c>
      <c r="U12" s="36">
        <f t="shared" si="2"/>
        <v>0.57457212713936434</v>
      </c>
      <c r="V1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0.53580246913580243</v>
      </c>
      <c r="W1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0.92592592592592593</v>
      </c>
      <c r="X12" s="52">
        <f ca="1">SUMIFS(Table2[Open Quotas],Table2[Course Title],Table311[[#This Row],[Courses - Planned vs Need (Active Courses)]],Table2[Remaining Courses],"1",Table2[QTR],"4")</f>
        <v>20</v>
      </c>
      <c r="Y12" s="34">
        <f t="shared" ca="1" si="3"/>
        <v>90</v>
      </c>
      <c r="Z12" s="34">
        <f>Table311[[#This Row],[Fleet Quota Need]]-Table311[[#This Row],[Total Grads]]</f>
        <v>174</v>
      </c>
      <c r="AA12" s="22"/>
    </row>
    <row r="13" spans="2:27" ht="31.5" x14ac:dyDescent="0.25">
      <c r="B13" s="584" t="s">
        <v>276</v>
      </c>
      <c r="C13" s="31" t="s">
        <v>393</v>
      </c>
      <c r="D13" s="31" t="s">
        <v>394</v>
      </c>
      <c r="E13" s="31">
        <f>COUNTIF(Table2[Course Title],Table311[[#This Row],[Courses - Planned vs Need (Active Courses)]])</f>
        <v>50</v>
      </c>
      <c r="F13" s="31">
        <v>25</v>
      </c>
      <c r="G13" s="31">
        <f>Table311[[#This Row],[Course Offerings]]*Table311[[#This Row],[Quota per Offering]]</f>
        <v>1250</v>
      </c>
      <c r="H13" s="112">
        <v>2190</v>
      </c>
      <c r="I13" s="31">
        <f t="shared" si="0"/>
        <v>-940</v>
      </c>
      <c r="J13" s="583">
        <f>IFERROR(Table311[[#This Row],[Planned Quotas]]/Table311[[#This Row],[Fleet Quota Need]],100%)</f>
        <v>0.57077625570776258</v>
      </c>
      <c r="K13" s="52">
        <f>SUMIF(Table2[Course Title],Table311[[#This Row],[Courses - Planned vs Need (Active Courses)]],Table2[Graduates])</f>
        <v>702</v>
      </c>
      <c r="L13" s="52">
        <f>SUMIF(Table2[Course Title],Table311[[#This Row],[Courses - Planned vs Need (Active Courses)]],Table2[Registered])</f>
        <v>895</v>
      </c>
      <c r="M13" s="52">
        <f>SUMIF(Table2[Course Title],Table311[[#This Row],[Courses - Planned vs Need (Active Courses)]],Table2[Waitlisted])</f>
        <v>35</v>
      </c>
      <c r="N13" s="52">
        <f>SUMIF(Table2[Course Title],Table311[[#This Row],[Courses - Planned vs Need (Active Courses)]],Table2[Walk-ins])</f>
        <v>75</v>
      </c>
      <c r="O13" s="33">
        <f>SUMIF(Table2[Course Title],Table311[[#This Row],[Courses - Planned vs Need (Active Courses)]],Table2[No Shows])</f>
        <v>110</v>
      </c>
      <c r="P1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383</v>
      </c>
      <c r="Q13" s="34">
        <f>ROUNDDOWN(Table311[[#This Row],[To date quotas unused (Open quotas+ no shows)]]/Table311[[#This Row],[Quota per Offering]],0)</f>
        <v>15</v>
      </c>
      <c r="R13" s="33">
        <f t="shared" si="1"/>
        <v>548</v>
      </c>
      <c r="S13" s="34">
        <f ca="1">COUNTIFS(Table2[Course Title],Table311[[#This Row],[Courses - Planned vs Need (Active Courses)]],Table2[Roster Status],"1",Table2[Remaining Courses],"0")</f>
        <v>3</v>
      </c>
      <c r="T13" s="34">
        <f ca="1">COUNTIFS(Table2[Course Title],Table311[[#This Row],[Courses - Planned vs Need (Active Courses)]],Table2[Remaining Courses],"1")</f>
        <v>8</v>
      </c>
      <c r="U13" s="36">
        <f t="shared" si="2"/>
        <v>0.32054794520547947</v>
      </c>
      <c r="V1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0.60717948717948722</v>
      </c>
      <c r="W1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0.88717948717948714</v>
      </c>
      <c r="X13" s="52">
        <f ca="1">SUMIFS(Table2[Open Quotas],Table2[Course Title],Table311[[#This Row],[Courses - Planned vs Need (Active Courses)]],Table2[Remaining Courses],"1",Table2[QTR],"4")</f>
        <v>70</v>
      </c>
      <c r="Y13" s="34">
        <f t="shared" ca="1" si="3"/>
        <v>275</v>
      </c>
      <c r="Z13" s="34">
        <f>Table311[[#This Row],[Fleet Quota Need]]-Table311[[#This Row],[Total Grads]]</f>
        <v>1488</v>
      </c>
      <c r="AA13" s="22"/>
    </row>
    <row r="14" spans="2:27" ht="15.75" x14ac:dyDescent="0.25">
      <c r="B14" s="584" t="s">
        <v>395</v>
      </c>
      <c r="C14" s="31" t="s">
        <v>393</v>
      </c>
      <c r="D14" s="31" t="s">
        <v>390</v>
      </c>
      <c r="E14" s="31">
        <f>COUNTIF(Table2[Course Title],Table311[[#This Row],[Courses - Planned vs Need (Active Courses)]])</f>
        <v>5</v>
      </c>
      <c r="F14" s="31">
        <v>25</v>
      </c>
      <c r="G14" s="31">
        <f>Table311[[#This Row],[Course Offerings]]*Table311[[#This Row],[Quota per Offering]]</f>
        <v>125</v>
      </c>
      <c r="H14" s="112">
        <v>932</v>
      </c>
      <c r="I14" s="31">
        <f t="shared" si="0"/>
        <v>-807</v>
      </c>
      <c r="J14" s="583">
        <f>IFERROR(Table311[[#This Row],[Planned Quotas]]/Table311[[#This Row],[Fleet Quota Need]],100%)</f>
        <v>0.13412017167381973</v>
      </c>
      <c r="K14" s="52">
        <f>SUMIF(Table2[Course Title],Table311[[#This Row],[Courses - Planned vs Need (Active Courses)]],Table2[Graduates])</f>
        <v>31</v>
      </c>
      <c r="L14" s="52">
        <f>SUMIF(Table2[Course Title],Table311[[#This Row],[Courses - Planned vs Need (Active Courses)]],Table2[Registered])</f>
        <v>86</v>
      </c>
      <c r="M14" s="52">
        <f>SUMIF(Table2[Course Title],Table311[[#This Row],[Courses - Planned vs Need (Active Courses)]],Table2[Waitlisted])</f>
        <v>0</v>
      </c>
      <c r="N14" s="52">
        <f>SUMIF(Table2[Course Title],Table311[[#This Row],[Courses - Planned vs Need (Active Courses)]],Table2[Walk-ins])</f>
        <v>0</v>
      </c>
      <c r="O14" s="33">
        <f>SUMIF(Table2[Course Title],Table311[[#This Row],[Courses - Planned vs Need (Active Courses)]],Table2[No Shows])</f>
        <v>14</v>
      </c>
      <c r="P14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56</v>
      </c>
      <c r="Q14" s="34">
        <f>ROUNDDOWN(Table311[[#This Row],[To date quotas unused (Open quotas+ no shows)]]/Table311[[#This Row],[Quota per Offering]],0)</f>
        <v>2</v>
      </c>
      <c r="R14" s="33">
        <f t="shared" si="1"/>
        <v>94</v>
      </c>
      <c r="S14" s="34">
        <f ca="1">COUNTIFS(Table2[Course Title],Table311[[#This Row],[Courses - Planned vs Need (Active Courses)]],Table2[Roster Status],"1",Table2[Remaining Courses],"0")</f>
        <v>2</v>
      </c>
      <c r="T14" s="34">
        <f ca="1">COUNTIFS(Table2[Course Title],Table311[[#This Row],[Courses - Planned vs Need (Active Courses)]],Table2[Remaining Courses],"1")</f>
        <v>0</v>
      </c>
      <c r="U14" s="36">
        <f t="shared" si="2"/>
        <v>3.3261802575107295E-2</v>
      </c>
      <c r="V1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0.25333333333333335</v>
      </c>
      <c r="W14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0.81333333333333335</v>
      </c>
      <c r="X14" s="52">
        <f ca="1">SUMIFS(Table2[Open Quotas],Table2[Course Title],Table311[[#This Row],[Courses - Planned vs Need (Active Courses)]],Table2[Remaining Courses],"1",Table2[QTR],"4")</f>
        <v>0</v>
      </c>
      <c r="Y14" s="34">
        <f t="shared" ca="1" si="3"/>
        <v>50</v>
      </c>
      <c r="Z14" s="34">
        <f>Table311[[#This Row],[Fleet Quota Need]]-Table311[[#This Row],[Total Grads]]</f>
        <v>901</v>
      </c>
      <c r="AA14" s="22"/>
    </row>
    <row r="15" spans="2:27" ht="15.75" x14ac:dyDescent="0.25">
      <c r="B15" s="584" t="s">
        <v>157</v>
      </c>
      <c r="C15" s="31" t="s">
        <v>393</v>
      </c>
      <c r="D15" s="31" t="s">
        <v>394</v>
      </c>
      <c r="E15" s="31">
        <f>COUNTIF(Table2[Course Title],Table311[[#This Row],[Courses - Planned vs Need (Active Courses)]])</f>
        <v>5</v>
      </c>
      <c r="F15" s="31">
        <v>35</v>
      </c>
      <c r="G15" s="31">
        <f>Table311[[#This Row],[Course Offerings]]*Table311[[#This Row],[Quota per Offering]]</f>
        <v>175</v>
      </c>
      <c r="H15" s="112">
        <v>475</v>
      </c>
      <c r="I15" s="31">
        <f t="shared" si="0"/>
        <v>-300</v>
      </c>
      <c r="J15" s="583">
        <f>IFERROR(Table311[[#This Row],[Planned Quotas]]/Table311[[#This Row],[Fleet Quota Need]],100%)</f>
        <v>0.36842105263157893</v>
      </c>
      <c r="K15" s="52">
        <f>SUMIF(Table2[Course Title],Table311[[#This Row],[Courses - Planned vs Need (Active Courses)]],Table2[Graduates])</f>
        <v>53</v>
      </c>
      <c r="L15" s="52">
        <f>SUMIF(Table2[Course Title],Table311[[#This Row],[Courses - Planned vs Need (Active Courses)]],Table2[Registered])</f>
        <v>102</v>
      </c>
      <c r="M15" s="52">
        <f>SUMIF(Table2[Course Title],Table311[[#This Row],[Courses - Planned vs Need (Active Courses)]],Table2[Waitlisted])</f>
        <v>0</v>
      </c>
      <c r="N15" s="52">
        <f>SUMIF(Table2[Course Title],Table311[[#This Row],[Courses - Planned vs Need (Active Courses)]],Table2[Walk-ins])</f>
        <v>2</v>
      </c>
      <c r="O15" s="33">
        <f>SUMIF(Table2[Course Title],Table311[[#This Row],[Courses - Planned vs Need (Active Courses)]],Table2[No Shows])</f>
        <v>7</v>
      </c>
      <c r="P1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93</v>
      </c>
      <c r="Q15" s="34">
        <f>ROUNDDOWN(Table311[[#This Row],[To date quotas unused (Open quotas+ no shows)]]/Table311[[#This Row],[Quota per Offering]],0)</f>
        <v>2</v>
      </c>
      <c r="R15" s="33">
        <f t="shared" si="1"/>
        <v>122</v>
      </c>
      <c r="S15" s="34">
        <f ca="1">COUNTIFS(Table2[Course Title],Table311[[#This Row],[Courses - Planned vs Need (Active Courses)]],Table2[Roster Status],"1",Table2[Remaining Courses],"0")</f>
        <v>0</v>
      </c>
      <c r="T15" s="34">
        <f ca="1">COUNTIFS(Table2[Course Title],Table311[[#This Row],[Courses - Planned vs Need (Active Courses)]],Table2[Remaining Courses],"1")</f>
        <v>1</v>
      </c>
      <c r="U15" s="36">
        <f t="shared" si="2"/>
        <v>0.11157894736842106</v>
      </c>
      <c r="V1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0.33571428571428569</v>
      </c>
      <c r="W1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0.95</v>
      </c>
      <c r="X15" s="52">
        <f ca="1">SUMIFS(Table2[Open Quotas],Table2[Course Title],Table311[[#This Row],[Courses - Planned vs Need (Active Courses)]],Table2[Remaining Courses],"1",Table2[QTR],"4")</f>
        <v>12</v>
      </c>
      <c r="Y15" s="34">
        <f t="shared" ca="1" si="3"/>
        <v>35</v>
      </c>
      <c r="Z15" s="34">
        <f>Table311[[#This Row],[Fleet Quota Need]]-Table311[[#This Row],[Total Grads]]</f>
        <v>422</v>
      </c>
      <c r="AA15" s="22"/>
    </row>
    <row r="16" spans="2:27" ht="15.75" x14ac:dyDescent="0.25">
      <c r="B16" s="582" t="s">
        <v>65</v>
      </c>
      <c r="C16" s="31"/>
      <c r="D16" s="31" t="s">
        <v>390</v>
      </c>
      <c r="E16" s="31">
        <f>COUNTIF(Table2[Course Title],Table311[[#This Row],[Courses - Planned vs Need (Active Courses)]])</f>
        <v>1</v>
      </c>
      <c r="F16" s="31">
        <v>25</v>
      </c>
      <c r="G16" s="31">
        <f>Table311[[#This Row],[Course Offerings]]*Table311[[#This Row],[Quota per Offering]]</f>
        <v>25</v>
      </c>
      <c r="H16" s="112">
        <v>185</v>
      </c>
      <c r="I16" s="31">
        <f t="shared" si="0"/>
        <v>-160</v>
      </c>
      <c r="J16" s="583">
        <f>IFERROR(Table311[[#This Row],[Planned Quotas]]/Table311[[#This Row],[Fleet Quota Need]],100%)</f>
        <v>0.13513513513513514</v>
      </c>
      <c r="K16" s="52">
        <f>SUMIF(Table2[Course Title],Table311[[#This Row],[Courses - Planned vs Need (Active Courses)]],Table2[Graduates])</f>
        <v>9</v>
      </c>
      <c r="L16" s="52">
        <f>SUMIF(Table2[Course Title],Table311[[#This Row],[Courses - Planned vs Need (Active Courses)]],Table2[Registered])</f>
        <v>11</v>
      </c>
      <c r="M16" s="52">
        <f>SUMIF(Table2[Course Title],Table311[[#This Row],[Courses - Planned vs Need (Active Courses)]],Table2[Waitlisted])</f>
        <v>0</v>
      </c>
      <c r="N16" s="52">
        <f>SUMIF(Table2[Course Title],Table311[[#This Row],[Courses - Planned vs Need (Active Courses)]],Table2[Walk-ins])</f>
        <v>0</v>
      </c>
      <c r="O16" s="33">
        <f>SUMIF(Table2[Course Title],Table311[[#This Row],[Courses - Planned vs Need (Active Courses)]],Table2[No Shows])</f>
        <v>2</v>
      </c>
      <c r="P1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18</v>
      </c>
      <c r="Q16" s="34">
        <f>ROUNDDOWN(Table311[[#This Row],[To date quotas unused (Open quotas+ no shows)]]/Table311[[#This Row],[Quota per Offering]],0)</f>
        <v>0</v>
      </c>
      <c r="R16" s="33">
        <f t="shared" si="1"/>
        <v>16</v>
      </c>
      <c r="S16" s="34">
        <f>COUNTIFS(Table2[Course Title],Table311[[#This Row],[Courses - Planned vs Need (Active Courses)]],Table2[Roster Status],"1",Table2[Remaining Courses],"0")</f>
        <v>0</v>
      </c>
      <c r="T16" s="34">
        <f ca="1">COUNTIFS(Table2[Course Title],Table311[[#This Row],[Courses - Planned vs Need (Active Courses)]],Table2[Remaining Courses],"1")</f>
        <v>0</v>
      </c>
      <c r="U16" s="36">
        <f t="shared" si="2"/>
        <v>4.8648648648648651E-2</v>
      </c>
      <c r="V1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0.28000000000000003</v>
      </c>
      <c r="W1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0.92</v>
      </c>
      <c r="X16" s="52">
        <f ca="1">SUMIFS(Table2[Open Quotas],Table2[Course Title],Table311[[#This Row],[Courses - Planned vs Need (Active Courses)]],Table2[Remaining Courses],"1",Table2[QTR],"4")</f>
        <v>0</v>
      </c>
      <c r="Y16" s="34">
        <f t="shared" ca="1" si="3"/>
        <v>0</v>
      </c>
      <c r="Z16" s="34">
        <f>Table311[[#This Row],[Fleet Quota Need]]-Table311[[#This Row],[Total Grads]]</f>
        <v>176</v>
      </c>
      <c r="AA16" s="22"/>
    </row>
    <row r="17" spans="2:27" ht="15.75" x14ac:dyDescent="0.25">
      <c r="B17" s="584" t="s">
        <v>49</v>
      </c>
      <c r="C17" s="31" t="s">
        <v>393</v>
      </c>
      <c r="D17" s="31" t="s">
        <v>388</v>
      </c>
      <c r="E17" s="31">
        <f>COUNTIF(Table2[Course Title],Table311[[#This Row],[Courses - Planned vs Need (Active Courses)]])</f>
        <v>19</v>
      </c>
      <c r="F17" s="31">
        <v>40</v>
      </c>
      <c r="G17" s="31">
        <f>Table311[[#This Row],[Course Offerings]]*Table311[[#This Row],[Quota per Offering]]</f>
        <v>760</v>
      </c>
      <c r="H17" s="112">
        <v>1008</v>
      </c>
      <c r="I17" s="31">
        <f t="shared" si="0"/>
        <v>-248</v>
      </c>
      <c r="J17" s="583">
        <f>IFERROR(Table311[[#This Row],[Planned Quotas]]/Table311[[#This Row],[Fleet Quota Need]],100%)</f>
        <v>0.75396825396825395</v>
      </c>
      <c r="K17" s="52">
        <f>SUMIF(Table2[Course Title],Table311[[#This Row],[Courses - Planned vs Need (Active Courses)]],Table2[Graduates])</f>
        <v>414</v>
      </c>
      <c r="L17" s="52">
        <f>SUMIF(Table2[Course Title],Table311[[#This Row],[Courses - Planned vs Need (Active Courses)]],Table2[Registered])</f>
        <v>459</v>
      </c>
      <c r="M17" s="52">
        <f>SUMIF(Table2[Course Title],Table311[[#This Row],[Courses - Planned vs Need (Active Courses)]],Table2[Waitlisted])</f>
        <v>0</v>
      </c>
      <c r="N17" s="52">
        <f>SUMIF(Table2[Course Title],Table311[[#This Row],[Courses - Planned vs Need (Active Courses)]],Table2[Walk-ins])</f>
        <v>146</v>
      </c>
      <c r="O17" s="33">
        <f>SUMIF(Table2[Course Title],Table311[[#This Row],[Courses - Planned vs Need (Active Courses)]],Table2[No Shows])</f>
        <v>53</v>
      </c>
      <c r="P1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233</v>
      </c>
      <c r="Q17" s="34">
        <f>ROUNDDOWN(Table311[[#This Row],[To date quotas unused (Open quotas+ no shows)]]/Table311[[#This Row],[Quota per Offering]],0)</f>
        <v>5</v>
      </c>
      <c r="R17" s="33">
        <f t="shared" si="1"/>
        <v>346</v>
      </c>
      <c r="S17" s="34">
        <f ca="1">COUNTIFS(Table2[Course Title],Table311[[#This Row],[Courses - Planned vs Need (Active Courses)]],Table2[Roster Status],"1",Table2[Remaining Courses],"0")</f>
        <v>2</v>
      </c>
      <c r="T17" s="34">
        <f ca="1">COUNTIFS(Table2[Course Title],Table311[[#This Row],[Courses - Planned vs Need (Active Courses)]],Table2[Remaining Courses],"1")</f>
        <v>2</v>
      </c>
      <c r="U17" s="36">
        <f t="shared" si="2"/>
        <v>0.4107142857142857</v>
      </c>
      <c r="V1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0.61166666666666669</v>
      </c>
      <c r="W1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0.91166666666666663</v>
      </c>
      <c r="X17" s="52">
        <f>SUMIFS(Table2[Open Quotas],Table2[Course Title],Table311[[#This Row],[Courses - Planned vs Need (Active Courses)]],Table2[Remaining Courses],"1",Table2[QTR],"4")</f>
        <v>0</v>
      </c>
      <c r="Y17" s="34">
        <f t="shared" ca="1" si="3"/>
        <v>160</v>
      </c>
      <c r="Z17" s="34">
        <f>Table311[[#This Row],[Fleet Quota Need]]-Table311[[#This Row],[Total Grads]]</f>
        <v>594</v>
      </c>
      <c r="AA17" s="22"/>
    </row>
    <row r="18" spans="2:27" ht="31.5" x14ac:dyDescent="0.25">
      <c r="B18" s="584" t="s">
        <v>45</v>
      </c>
      <c r="C18" s="31" t="s">
        <v>393</v>
      </c>
      <c r="D18" s="31" t="s">
        <v>388</v>
      </c>
      <c r="E18" s="31">
        <f>COUNTIF(Table2[Course Title],Table311[[#This Row],[Courses - Planned vs Need (Active Courses)]])</f>
        <v>9</v>
      </c>
      <c r="F18" s="31">
        <v>40</v>
      </c>
      <c r="G18" s="31">
        <f>Table311[[#This Row],[Course Offerings]]*Table311[[#This Row],[Quota per Offering]]</f>
        <v>360</v>
      </c>
      <c r="H18" s="112">
        <v>1204</v>
      </c>
      <c r="I18" s="31">
        <f t="shared" si="0"/>
        <v>-844</v>
      </c>
      <c r="J18" s="583">
        <f>IFERROR(Table311[[#This Row],[Planned Quotas]]/Table311[[#This Row],[Fleet Quota Need]],100%)</f>
        <v>0.29900332225913623</v>
      </c>
      <c r="K18" s="52">
        <f>SUMIF(Table2[Course Title],Table311[[#This Row],[Courses - Planned vs Need (Active Courses)]],Table2[Graduates])</f>
        <v>138</v>
      </c>
      <c r="L18" s="52">
        <f>SUMIF(Table2[Course Title],Table311[[#This Row],[Courses - Planned vs Need (Active Courses)]],Table2[Registered])</f>
        <v>115</v>
      </c>
      <c r="M18" s="52">
        <f>SUMIF(Table2[Course Title],Table311[[#This Row],[Courses - Planned vs Need (Active Courses)]],Table2[Waitlisted])</f>
        <v>0</v>
      </c>
      <c r="N18" s="52">
        <f>SUMIF(Table2[Course Title],Table311[[#This Row],[Courses - Planned vs Need (Active Courses)]],Table2[Walk-ins])</f>
        <v>69</v>
      </c>
      <c r="O18" s="33">
        <f>SUMIF(Table2[Course Title],Table311[[#This Row],[Courses - Planned vs Need (Active Courses)]],Table2[No Shows])</f>
        <v>15</v>
      </c>
      <c r="P1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117</v>
      </c>
      <c r="Q18" s="34">
        <f>ROUNDDOWN(Table311[[#This Row],[To date quotas unused (Open quotas+ no shows)]]/Table311[[#This Row],[Quota per Offering]],0)</f>
        <v>2</v>
      </c>
      <c r="R18" s="33">
        <f t="shared" si="1"/>
        <v>222</v>
      </c>
      <c r="S18" s="34">
        <f ca="1">COUNTIFS(Table2[Course Title],Table311[[#This Row],[Courses - Planned vs Need (Active Courses)]],Table2[Roster Status],"1",Table2[Remaining Courses],"0")</f>
        <v>1</v>
      </c>
      <c r="T18" s="34">
        <f ca="1">COUNTIFS(Table2[Course Title],Table311[[#This Row],[Courses - Planned vs Need (Active Courses)]],Table2[Remaining Courses],"1")</f>
        <v>2</v>
      </c>
      <c r="U18" s="36">
        <f t="shared" si="2"/>
        <v>0.11461794019933555</v>
      </c>
      <c r="V1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0.51249999999999996</v>
      </c>
      <c r="W1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0.9375</v>
      </c>
      <c r="X18" s="52">
        <f>SUMIFS(Table2[Open Quotas],Table2[Course Title],Table311[[#This Row],[Courses - Planned vs Need (Active Courses)]],Table2[Remaining Courses],"1",Table2[QTR],"4")</f>
        <v>0</v>
      </c>
      <c r="Y18" s="34">
        <f t="shared" ca="1" si="3"/>
        <v>120</v>
      </c>
      <c r="Z18" s="34">
        <f>Table311[[#This Row],[Fleet Quota Need]]-Table311[[#This Row],[Total Grads]]</f>
        <v>1066</v>
      </c>
      <c r="AA18" s="22"/>
    </row>
    <row r="19" spans="2:27" ht="31.5" x14ac:dyDescent="0.25">
      <c r="B19" s="582" t="s">
        <v>275</v>
      </c>
      <c r="C19" s="31"/>
      <c r="D19" s="31" t="s">
        <v>394</v>
      </c>
      <c r="E19" s="31">
        <f>COUNTIF(Table2[Course Title],Table311[[#This Row],[Courses - Planned vs Need (Active Courses)]])</f>
        <v>20</v>
      </c>
      <c r="F19" s="31">
        <v>45</v>
      </c>
      <c r="G19" s="31">
        <f>Table311[[#This Row],[Course Offerings]]*Table311[[#This Row],[Quota per Offering]]</f>
        <v>900</v>
      </c>
      <c r="H19" s="112">
        <v>1231</v>
      </c>
      <c r="I19" s="31">
        <f t="shared" si="0"/>
        <v>-331</v>
      </c>
      <c r="J19" s="583">
        <f>IFERROR(Table311[[#This Row],[Planned Quotas]]/Table311[[#This Row],[Fleet Quota Need]],100%)</f>
        <v>0.73111291632818842</v>
      </c>
      <c r="K19" s="52">
        <f>SUMIF(Table2[Course Title],Table311[[#This Row],[Courses - Planned vs Need (Active Courses)]],Table2[Graduates])</f>
        <v>393</v>
      </c>
      <c r="L19" s="52">
        <f>SUMIF(Table2[Course Title],Table311[[#This Row],[Courses - Planned vs Need (Active Courses)]],Table2[Registered])</f>
        <v>521</v>
      </c>
      <c r="M19" s="52">
        <f>SUMIF(Table2[Course Title],Table311[[#This Row],[Courses - Planned vs Need (Active Courses)]],Table2[Waitlisted])</f>
        <v>1</v>
      </c>
      <c r="N19" s="52">
        <f>SUMIF(Table2[Course Title],Table311[[#This Row],[Courses - Planned vs Need (Active Courses)]],Table2[Walk-ins])</f>
        <v>3</v>
      </c>
      <c r="O19" s="33">
        <f>SUMIF(Table2[Course Title],Table311[[#This Row],[Courses - Planned vs Need (Active Courses)]],Table2[No Shows])</f>
        <v>72</v>
      </c>
      <c r="P19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348</v>
      </c>
      <c r="Q19" s="34">
        <f>ROUNDDOWN(Table311[[#This Row],[To date quotas unused (Open quotas+ no shows)]]/Table311[[#This Row],[Quota per Offering]],0)</f>
        <v>7</v>
      </c>
      <c r="R19" s="33">
        <f t="shared" si="1"/>
        <v>507</v>
      </c>
      <c r="S19" s="34">
        <f ca="1">COUNTIFS(Table2[Course Title],Table311[[#This Row],[Courses - Planned vs Need (Active Courses)]],Table2[Roster Status],"1",Table2[Remaining Courses],"0")</f>
        <v>1</v>
      </c>
      <c r="T19" s="34">
        <f ca="1">COUNTIFS(Table2[Course Title],Table311[[#This Row],[Courses - Planned vs Need (Active Courses)]],Table2[Remaining Courses],"1")</f>
        <v>4</v>
      </c>
      <c r="U19" s="36">
        <f t="shared" si="2"/>
        <v>0.31925264012997562</v>
      </c>
      <c r="V1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0.48444444444444446</v>
      </c>
      <c r="W1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0.89333333333333331</v>
      </c>
      <c r="X19" s="52">
        <f ca="1">SUMIFS(Table2[Open Quotas],Table2[Course Title],Table311[[#This Row],[Courses - Planned vs Need (Active Courses)]],Table2[Remaining Courses],"1",Table2[QTR],"4")</f>
        <v>97</v>
      </c>
      <c r="Y19" s="34">
        <f t="shared" ca="1" si="3"/>
        <v>225</v>
      </c>
      <c r="Z19" s="34">
        <f>Table311[[#This Row],[Fleet Quota Need]]-Table311[[#This Row],[Total Grads]]</f>
        <v>838</v>
      </c>
      <c r="AA19" s="22"/>
    </row>
    <row r="20" spans="2:27" ht="15.75" x14ac:dyDescent="0.25">
      <c r="B20" s="584" t="s">
        <v>282</v>
      </c>
      <c r="C20" s="31" t="s">
        <v>393</v>
      </c>
      <c r="D20" s="31" t="s">
        <v>394</v>
      </c>
      <c r="E20" s="31">
        <f>COUNTIF(Table2[Course Title],Table311[[#This Row],[Courses - Planned vs Need (Active Courses)]])</f>
        <v>1</v>
      </c>
      <c r="F20" s="31">
        <v>30</v>
      </c>
      <c r="G20" s="31">
        <f>Table311[[#This Row],[Course Offerings]]*Table311[[#This Row],[Quota per Offering]]</f>
        <v>30</v>
      </c>
      <c r="H20" s="112">
        <v>822</v>
      </c>
      <c r="I20" s="31">
        <f t="shared" si="0"/>
        <v>-792</v>
      </c>
      <c r="J20" s="583">
        <f>IFERROR(Table311[[#This Row],[Planned Quotas]]/Table311[[#This Row],[Fleet Quota Need]],100%)</f>
        <v>3.6496350364963501E-2</v>
      </c>
      <c r="K20" s="52">
        <f>SUMIF(Table2[Course Title],Table311[[#This Row],[Courses - Planned vs Need (Active Courses)]],Table2[Graduates])</f>
        <v>3</v>
      </c>
      <c r="L20" s="52">
        <f>SUMIF(Table2[Course Title],Table311[[#This Row],[Courses - Planned vs Need (Active Courses)]],Table2[Registered])</f>
        <v>10</v>
      </c>
      <c r="M20" s="52">
        <f>SUMIF(Table2[Course Title],Table311[[#This Row],[Courses - Planned vs Need (Active Courses)]],Table2[Waitlisted])</f>
        <v>0</v>
      </c>
      <c r="N20" s="52">
        <f>SUMIF(Table2[Course Title],Table311[[#This Row],[Courses - Planned vs Need (Active Courses)]],Table2[Walk-ins])</f>
        <v>1</v>
      </c>
      <c r="O20" s="33">
        <f>SUMIF(Table2[Course Title],Table311[[#This Row],[Courses - Planned vs Need (Active Courses)]],Table2[No Shows])</f>
        <v>0</v>
      </c>
      <c r="P20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27</v>
      </c>
      <c r="Q20" s="34">
        <f>ROUNDDOWN(Table311[[#This Row],[To date quotas unused (Open quotas+ no shows)]]/Table311[[#This Row],[Quota per Offering]],0)</f>
        <v>0</v>
      </c>
      <c r="R20" s="33">
        <f t="shared" si="1"/>
        <v>27</v>
      </c>
      <c r="S20" s="34">
        <f>COUNTIFS(Table2[Course Title],Table311[[#This Row],[Courses - Planned vs Need (Active Courses)]],Table2[Roster Status],"1",Table2[Remaining Courses],"0")</f>
        <v>0</v>
      </c>
      <c r="T20" s="34">
        <f ca="1">COUNTIFS(Table2[Course Title],Table311[[#This Row],[Courses - Planned vs Need (Active Courses)]],Table2[Remaining Courses],"1")</f>
        <v>0</v>
      </c>
      <c r="U20" s="36">
        <f t="shared" si="2"/>
        <v>3.6496350364963502E-3</v>
      </c>
      <c r="V2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0.1</v>
      </c>
      <c r="W2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20" s="52">
        <f ca="1">SUMIFS(Table2[Open Quotas],Table2[Course Title],Table311[[#This Row],[Courses - Planned vs Need (Active Courses)]],Table2[Remaining Courses],"1",Table2[QTR],"4")</f>
        <v>0</v>
      </c>
      <c r="Y20" s="34">
        <f t="shared" ca="1" si="3"/>
        <v>0</v>
      </c>
      <c r="Z20" s="34">
        <f>Table311[[#This Row],[Fleet Quota Need]]-Table311[[#This Row],[Total Grads]]</f>
        <v>819</v>
      </c>
      <c r="AA20" s="22"/>
    </row>
    <row r="21" spans="2:27" ht="31.5" x14ac:dyDescent="0.25">
      <c r="B21" s="582" t="s">
        <v>271</v>
      </c>
      <c r="C21" s="31"/>
      <c r="D21" s="31" t="s">
        <v>394</v>
      </c>
      <c r="E21" s="31">
        <f>COUNTIF(Table2[Course Title],Table311[[#This Row],[Courses - Planned vs Need (Active Courses)]])</f>
        <v>17</v>
      </c>
      <c r="F21" s="31">
        <v>45</v>
      </c>
      <c r="G21" s="31">
        <f>Table311[[#This Row],[Course Offerings]]*Table311[[#This Row],[Quota per Offering]]</f>
        <v>765</v>
      </c>
      <c r="H21" s="112">
        <v>900</v>
      </c>
      <c r="I21" s="31">
        <f t="shared" si="0"/>
        <v>-135</v>
      </c>
      <c r="J21" s="583">
        <f>IFERROR(Table311[[#This Row],[Planned Quotas]]/Table311[[#This Row],[Fleet Quota Need]],100%)</f>
        <v>0.85</v>
      </c>
      <c r="K21" s="52">
        <f>SUMIF(Table2[Course Title],Table311[[#This Row],[Courses - Planned vs Need (Active Courses)]],Table2[Graduates])</f>
        <v>361</v>
      </c>
      <c r="L21" s="52">
        <f>SUMIF(Table2[Course Title],Table311[[#This Row],[Courses - Planned vs Need (Active Courses)]],Table2[Registered])</f>
        <v>487</v>
      </c>
      <c r="M21" s="52">
        <f>SUMIF(Table2[Course Title],Table311[[#This Row],[Courses - Planned vs Need (Active Courses)]],Table2[Waitlisted])</f>
        <v>0</v>
      </c>
      <c r="N21" s="52">
        <f>SUMIF(Table2[Course Title],Table311[[#This Row],[Courses - Planned vs Need (Active Courses)]],Table2[Walk-ins])</f>
        <v>3</v>
      </c>
      <c r="O21" s="33">
        <f>SUMIF(Table2[Course Title],Table311[[#This Row],[Courses - Planned vs Need (Active Courses)]],Table2[No Shows])</f>
        <v>72</v>
      </c>
      <c r="P21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337</v>
      </c>
      <c r="Q21" s="34">
        <f>ROUNDDOWN(Table311[[#This Row],[To date quotas unused (Open quotas+ no shows)]]/Table311[[#This Row],[Quota per Offering]],0)</f>
        <v>7</v>
      </c>
      <c r="R21" s="33">
        <f t="shared" si="1"/>
        <v>404</v>
      </c>
      <c r="S21" s="34">
        <f ca="1">COUNTIFS(Table2[Course Title],Table311[[#This Row],[Courses - Planned vs Need (Active Courses)]],Table2[Roster Status],"1",Table2[Remaining Courses],"0")</f>
        <v>1</v>
      </c>
      <c r="T21" s="34">
        <f ca="1">COUNTIFS(Table2[Course Title],Table311[[#This Row],[Courses - Planned vs Need (Active Courses)]],Table2[Remaining Courses],"1")</f>
        <v>2</v>
      </c>
      <c r="U21" s="36">
        <f t="shared" si="2"/>
        <v>0.40111111111111108</v>
      </c>
      <c r="V2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0.46507936507936509</v>
      </c>
      <c r="W2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0.88571428571428568</v>
      </c>
      <c r="X21" s="52">
        <f ca="1">SUMIFS(Table2[Open Quotas],Table2[Course Title],Table311[[#This Row],[Courses - Planned vs Need (Active Courses)]],Table2[Remaining Courses],"1",Table2[QTR],"4")</f>
        <v>59</v>
      </c>
      <c r="Y21" s="34">
        <f t="shared" ca="1" si="3"/>
        <v>135</v>
      </c>
      <c r="Z21" s="34">
        <f>Table311[[#This Row],[Fleet Quota Need]]-Table311[[#This Row],[Total Grads]]</f>
        <v>539</v>
      </c>
      <c r="AA21" s="22"/>
    </row>
    <row r="22" spans="2:27" ht="47.25" x14ac:dyDescent="0.25">
      <c r="B22" s="582" t="s">
        <v>213</v>
      </c>
      <c r="C22" s="31"/>
      <c r="D22" s="31" t="s">
        <v>392</v>
      </c>
      <c r="E22" s="31">
        <f>COUNTIF(Table2[Course Title],Table311[[#This Row],[Courses - Planned vs Need (Active Courses)]])</f>
        <v>20</v>
      </c>
      <c r="F22" s="31">
        <v>45</v>
      </c>
      <c r="G22" s="31">
        <f>Table311[[#This Row],[Course Offerings]]*Table311[[#This Row],[Quota per Offering]]</f>
        <v>900</v>
      </c>
      <c r="H22" s="112">
        <v>893</v>
      </c>
      <c r="I22" s="31">
        <f t="shared" si="0"/>
        <v>7</v>
      </c>
      <c r="J22" s="583">
        <f>IFERROR(Table311[[#This Row],[Planned Quotas]]/Table311[[#This Row],[Fleet Quota Need]],100%)</f>
        <v>1.0078387458006719</v>
      </c>
      <c r="K22" s="52">
        <f>SUMIF(Table2[Course Title],Table311[[#This Row],[Courses - Planned vs Need (Active Courses)]],Table2[Graduates])</f>
        <v>607</v>
      </c>
      <c r="L22" s="52">
        <f>SUMIF(Table2[Course Title],Table311[[#This Row],[Courses - Planned vs Need (Active Courses)]],Table2[Registered])</f>
        <v>838</v>
      </c>
      <c r="M22" s="52">
        <f>SUMIF(Table2[Course Title],Table311[[#This Row],[Courses - Planned vs Need (Active Courses)]],Table2[Waitlisted])</f>
        <v>25</v>
      </c>
      <c r="N22" s="52">
        <f>SUMIF(Table2[Course Title],Table311[[#This Row],[Courses - Planned vs Need (Active Courses)]],Table2[Walk-ins])</f>
        <v>13</v>
      </c>
      <c r="O22" s="33">
        <f>SUMIF(Table2[Course Title],Table311[[#This Row],[Courses - Planned vs Need (Active Courses)]],Table2[No Shows])</f>
        <v>106</v>
      </c>
      <c r="P22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246</v>
      </c>
      <c r="Q22" s="34">
        <f>ROUNDDOWN(Table311[[#This Row],[To date quotas unused (Open quotas+ no shows)]]/Table311[[#This Row],[Quota per Offering]],0)</f>
        <v>5</v>
      </c>
      <c r="R22" s="33">
        <f t="shared" si="1"/>
        <v>293</v>
      </c>
      <c r="S22" s="34">
        <f ca="1">COUNTIFS(Table2[Course Title],Table311[[#This Row],[Courses - Planned vs Need (Active Courses)]],Table2[Roster Status],"1",Table2[Remaining Courses],"0")</f>
        <v>1</v>
      </c>
      <c r="T22" s="34">
        <f ca="1">COUNTIFS(Table2[Course Title],Table311[[#This Row],[Courses - Planned vs Need (Active Courses)]],Table2[Remaining Courses],"1")</f>
        <v>2</v>
      </c>
      <c r="U22" s="36">
        <f t="shared" si="2"/>
        <v>0.67973124300111987</v>
      </c>
      <c r="V2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0.67843137254901964</v>
      </c>
      <c r="W2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0.86143790849673207</v>
      </c>
      <c r="X22" s="52">
        <f ca="1">SUMIFS(Table2[Open Quotas],Table2[Course Title],Table311[[#This Row],[Courses - Planned vs Need (Active Courses)]],Table2[Remaining Courses],"1",Table2[QTR],"4")</f>
        <v>25</v>
      </c>
      <c r="Y22" s="34">
        <f t="shared" ca="1" si="3"/>
        <v>135</v>
      </c>
      <c r="Z22" s="34">
        <f>Table311[[#This Row],[Fleet Quota Need]]-Table311[[#This Row],[Total Grads]]</f>
        <v>286</v>
      </c>
      <c r="AA22" s="22"/>
    </row>
    <row r="23" spans="2:27" ht="31.5" x14ac:dyDescent="0.25">
      <c r="B23" s="584" t="s">
        <v>70</v>
      </c>
      <c r="C23" s="31" t="s">
        <v>393</v>
      </c>
      <c r="D23" s="31" t="s">
        <v>388</v>
      </c>
      <c r="E23" s="31">
        <f>COUNTIF(Table2[Course Title],Table311[[#This Row],[Courses - Planned vs Need (Active Courses)]])</f>
        <v>14</v>
      </c>
      <c r="F23" s="31">
        <v>25</v>
      </c>
      <c r="G23" s="31">
        <f>Table311[[#This Row],[Course Offerings]]*Table311[[#This Row],[Quota per Offering]]</f>
        <v>350</v>
      </c>
      <c r="H23" s="112">
        <v>1279</v>
      </c>
      <c r="I23" s="31">
        <f t="shared" si="0"/>
        <v>-929</v>
      </c>
      <c r="J23" s="583">
        <f>IFERROR(Table311[[#This Row],[Planned Quotas]]/Table311[[#This Row],[Fleet Quota Need]],100%)</f>
        <v>0.27365129007036748</v>
      </c>
      <c r="K23" s="52">
        <f>SUMIF(Table2[Course Title],Table311[[#This Row],[Courses - Planned vs Need (Active Courses)]],Table2[Graduates])</f>
        <v>166</v>
      </c>
      <c r="L23" s="52">
        <f>SUMIF(Table2[Course Title],Table311[[#This Row],[Courses - Planned vs Need (Active Courses)]],Table2[Registered])</f>
        <v>150</v>
      </c>
      <c r="M23" s="52">
        <f>SUMIF(Table2[Course Title],Table311[[#This Row],[Courses - Planned vs Need (Active Courses)]],Table2[Waitlisted])</f>
        <v>0</v>
      </c>
      <c r="N23" s="52">
        <f>SUMIF(Table2[Course Title],Table311[[#This Row],[Courses - Planned vs Need (Active Courses)]],Table2[Walk-ins])</f>
        <v>42</v>
      </c>
      <c r="O23" s="33">
        <f>SUMIF(Table2[Course Title],Table311[[#This Row],[Courses - Planned vs Need (Active Courses)]],Table2[No Shows])</f>
        <v>27</v>
      </c>
      <c r="P2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210</v>
      </c>
      <c r="Q23" s="34">
        <f>ROUNDDOWN(Table311[[#This Row],[To date quotas unused (Open quotas+ no shows)]]/Table311[[#This Row],[Quota per Offering]],0)</f>
        <v>8</v>
      </c>
      <c r="R23" s="33">
        <f t="shared" si="1"/>
        <v>184</v>
      </c>
      <c r="S23" s="34">
        <f>COUNTIFS(Table2[Course Title],Table311[[#This Row],[Courses - Planned vs Need (Active Courses)]],Table2[Roster Status],"1",Table2[Remaining Courses],"0")</f>
        <v>0</v>
      </c>
      <c r="T23" s="34">
        <f ca="1">COUNTIFS(Table2[Course Title],Table311[[#This Row],[Courses - Planned vs Need (Active Courses)]],Table2[Remaining Courses],"1")</f>
        <v>0</v>
      </c>
      <c r="U23" s="36">
        <f t="shared" si="2"/>
        <v>0.12978889757623144</v>
      </c>
      <c r="V2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</v>
      </c>
      <c r="W2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0.92285714285714282</v>
      </c>
      <c r="X23" s="52">
        <f>SUMIFS(Table2[Open Quotas],Table2[Course Title],Table311[[#This Row],[Courses - Planned vs Need (Active Courses)]],Table2[Remaining Courses],"1",Table2[QTR],"4")</f>
        <v>0</v>
      </c>
      <c r="Y23" s="34">
        <f t="shared" ca="1" si="3"/>
        <v>0</v>
      </c>
      <c r="Z23" s="34">
        <f>Table311[[#This Row],[Fleet Quota Need]]-Table311[[#This Row],[Total Grads]]</f>
        <v>1113</v>
      </c>
      <c r="AA23" s="22"/>
    </row>
    <row r="24" spans="2:27" ht="47.25" x14ac:dyDescent="0.25">
      <c r="B24" s="584" t="s">
        <v>84</v>
      </c>
      <c r="C24" s="31" t="s">
        <v>393</v>
      </c>
      <c r="D24" s="31" t="s">
        <v>388</v>
      </c>
      <c r="E24" s="31">
        <f>COUNTIF(Table2[Course Title],Table311[[#This Row],[Courses - Planned vs Need (Active Courses)]])</f>
        <v>16</v>
      </c>
      <c r="F24" s="31">
        <v>30</v>
      </c>
      <c r="G24" s="31">
        <f>Table311[[#This Row],[Course Offerings]]*Table311[[#This Row],[Quota per Offering]]</f>
        <v>480</v>
      </c>
      <c r="H24" s="112">
        <v>1501</v>
      </c>
      <c r="I24" s="31">
        <f t="shared" si="0"/>
        <v>-1021</v>
      </c>
      <c r="J24" s="583">
        <f>IFERROR(Table311[[#This Row],[Planned Quotas]]/Table311[[#This Row],[Fleet Quota Need]],100%)</f>
        <v>0.31978680879413723</v>
      </c>
      <c r="K24" s="52">
        <f>SUMIF(Table2[Course Title],Table311[[#This Row],[Courses - Planned vs Need (Active Courses)]],Table2[Graduates])</f>
        <v>222</v>
      </c>
      <c r="L24" s="52">
        <f>SUMIF(Table2[Course Title],Table311[[#This Row],[Courses - Planned vs Need (Active Courses)]],Table2[Registered])</f>
        <v>218</v>
      </c>
      <c r="M24" s="52">
        <f>SUMIF(Table2[Course Title],Table311[[#This Row],[Courses - Planned vs Need (Active Courses)]],Table2[Waitlisted])</f>
        <v>0</v>
      </c>
      <c r="N24" s="52">
        <f>SUMIF(Table2[Course Title],Table311[[#This Row],[Courses - Planned vs Need (Active Courses)]],Table2[Walk-ins])</f>
        <v>51</v>
      </c>
      <c r="O24" s="33">
        <f>SUMIF(Table2[Course Title],Table311[[#This Row],[Courses - Planned vs Need (Active Courses)]],Table2[No Shows])</f>
        <v>30</v>
      </c>
      <c r="P24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258</v>
      </c>
      <c r="Q24" s="34">
        <f>ROUNDDOWN(Table311[[#This Row],[To date quotas unused (Open quotas+ no shows)]]/Table311[[#This Row],[Quota per Offering]],0)</f>
        <v>8</v>
      </c>
      <c r="R24" s="33">
        <f t="shared" si="1"/>
        <v>258</v>
      </c>
      <c r="S24" s="34">
        <f ca="1">COUNTIFS(Table2[Course Title],Table311[[#This Row],[Courses - Planned vs Need (Active Courses)]],Table2[Roster Status],"1",Table2[Remaining Courses],"0")</f>
        <v>0</v>
      </c>
      <c r="T24" s="34">
        <f ca="1">COUNTIFS(Table2[Course Title],Table311[[#This Row],[Courses - Planned vs Need (Active Courses)]],Table2[Remaining Courses],"1")</f>
        <v>1</v>
      </c>
      <c r="U24" s="36">
        <f t="shared" si="2"/>
        <v>0.14790139906728847</v>
      </c>
      <c r="V2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0.42666666666666669</v>
      </c>
      <c r="W24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0.93333333333333335</v>
      </c>
      <c r="X24" s="52">
        <f ca="1">SUMIFS(Table2[Open Quotas],Table2[Course Title],Table311[[#This Row],[Courses - Planned vs Need (Active Courses)]],Table2[Remaining Courses],"1",Table2[QTR],"4")</f>
        <v>0</v>
      </c>
      <c r="Y24" s="34">
        <f t="shared" ca="1" si="3"/>
        <v>30</v>
      </c>
      <c r="Z24" s="34">
        <f>Table311[[#This Row],[Fleet Quota Need]]-Table311[[#This Row],[Total Grads]]</f>
        <v>1279</v>
      </c>
      <c r="AA24" s="22"/>
    </row>
    <row r="25" spans="2:27" ht="31.5" x14ac:dyDescent="0.25">
      <c r="B25" s="584" t="s">
        <v>337</v>
      </c>
      <c r="C25" s="31" t="s">
        <v>393</v>
      </c>
      <c r="D25" s="31" t="s">
        <v>388</v>
      </c>
      <c r="E25" s="31">
        <f>COUNTIF(Table2[Course Title],Table311[[#This Row],[Courses - Planned vs Need (Active Courses)]])</f>
        <v>0</v>
      </c>
      <c r="F25" s="31">
        <v>30</v>
      </c>
      <c r="G25" s="31">
        <f>Table311[[#This Row],[Course Offerings]]*Table311[[#This Row],[Quota per Offering]]</f>
        <v>0</v>
      </c>
      <c r="H25" s="112">
        <v>658</v>
      </c>
      <c r="I25" s="31">
        <f t="shared" si="0"/>
        <v>-658</v>
      </c>
      <c r="J25" s="583">
        <f>IFERROR(Table311[[#This Row],[Planned Quotas]]/Table311[[#This Row],[Fleet Quota Need]],100%)</f>
        <v>0</v>
      </c>
      <c r="K25" s="52">
        <f>SUMIF(Table2[Course Title],Table311[[#This Row],[Courses - Planned vs Need (Active Courses)]],Table2[Graduates])</f>
        <v>0</v>
      </c>
      <c r="L25" s="52">
        <f>SUMIF(Table2[Course Title],Table311[[#This Row],[Courses - Planned vs Need (Active Courses)]],Table2[Registered])</f>
        <v>0</v>
      </c>
      <c r="M25" s="52">
        <f>SUMIF(Table2[Course Title],Table311[[#This Row],[Courses - Planned vs Need (Active Courses)]],Table2[Waitlisted])</f>
        <v>0</v>
      </c>
      <c r="N25" s="52">
        <f>SUMIF(Table2[Course Title],Table311[[#This Row],[Courses - Planned vs Need (Active Courses)]],Table2[Walk-ins])</f>
        <v>0</v>
      </c>
      <c r="O25" s="33">
        <f>SUMIF(Table2[Course Title],Table311[[#This Row],[Courses - Planned vs Need (Active Courses)]],Table2[No Shows])</f>
        <v>0</v>
      </c>
      <c r="P2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25" s="34">
        <f>ROUNDDOWN(Table311[[#This Row],[To date quotas unused (Open quotas+ no shows)]]/Table311[[#This Row],[Quota per Offering]],0)</f>
        <v>0</v>
      </c>
      <c r="R25" s="33">
        <f t="shared" si="1"/>
        <v>0</v>
      </c>
      <c r="S25" s="34">
        <f>COUNTIFS(Table2[Course Title],Table311[[#This Row],[Courses - Planned vs Need (Active Courses)]],Table2[Roster Status],"1",Table2[Remaining Courses],"0")</f>
        <v>0</v>
      </c>
      <c r="T25" s="34">
        <f>COUNTIFS(Table2[Course Title],Table311[[#This Row],[Courses - Planned vs Need (Active Courses)]],Table2[Remaining Courses],"1")</f>
        <v>0</v>
      </c>
      <c r="U25" s="36">
        <f t="shared" si="2"/>
        <v>0</v>
      </c>
      <c r="V25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5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5" s="52">
        <f>SUMIFS(Table2[Open Quotas],Table2[Course Title],Table311[[#This Row],[Courses - Planned vs Need (Active Courses)]],Table2[Remaining Courses],"1",Table2[QTR],"4")</f>
        <v>0</v>
      </c>
      <c r="Y25" s="34">
        <f t="shared" si="3"/>
        <v>0</v>
      </c>
      <c r="Z25" s="34">
        <f>Table311[[#This Row],[Fleet Quota Need]]-Table311[[#This Row],[Total Grads]]</f>
        <v>658</v>
      </c>
      <c r="AA25" s="22"/>
    </row>
    <row r="26" spans="2:27" ht="31.5" x14ac:dyDescent="0.25">
      <c r="B26" s="584" t="s">
        <v>341</v>
      </c>
      <c r="C26" s="31" t="s">
        <v>393</v>
      </c>
      <c r="D26" s="31" t="s">
        <v>388</v>
      </c>
      <c r="E26" s="31">
        <f>COUNTIF(Table2[Course Title],Table311[[#This Row],[Courses - Planned vs Need (Active Courses)]])</f>
        <v>0</v>
      </c>
      <c r="F26" s="31">
        <v>30</v>
      </c>
      <c r="G26" s="31">
        <f>Table311[[#This Row],[Course Offerings]]*Table311[[#This Row],[Quota per Offering]]</f>
        <v>0</v>
      </c>
      <c r="H26" s="112">
        <v>744</v>
      </c>
      <c r="I26" s="31">
        <f t="shared" si="0"/>
        <v>-744</v>
      </c>
      <c r="J26" s="583">
        <f>IFERROR(Table311[[#This Row],[Planned Quotas]]/Table311[[#This Row],[Fleet Quota Need]],100%)</f>
        <v>0</v>
      </c>
      <c r="K26" s="52">
        <f>SUMIF(Table2[Course Title],Table311[[#This Row],[Courses - Planned vs Need (Active Courses)]],Table2[Graduates])</f>
        <v>0</v>
      </c>
      <c r="L26" s="52">
        <f>SUMIF(Table2[Course Title],Table311[[#This Row],[Courses - Planned vs Need (Active Courses)]],Table2[Registered])</f>
        <v>0</v>
      </c>
      <c r="M26" s="52">
        <f>SUMIF(Table2[Course Title],Table311[[#This Row],[Courses - Planned vs Need (Active Courses)]],Table2[Waitlisted])</f>
        <v>0</v>
      </c>
      <c r="N26" s="52">
        <f>SUMIF(Table2[Course Title],Table311[[#This Row],[Courses - Planned vs Need (Active Courses)]],Table2[Walk-ins])</f>
        <v>0</v>
      </c>
      <c r="O26" s="33">
        <f>SUMIF(Table2[Course Title],Table311[[#This Row],[Courses - Planned vs Need (Active Courses)]],Table2[No Shows])</f>
        <v>0</v>
      </c>
      <c r="P2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26" s="34">
        <f>ROUNDDOWN(Table311[[#This Row],[To date quotas unused (Open quotas+ no shows)]]/Table311[[#This Row],[Quota per Offering]],0)</f>
        <v>0</v>
      </c>
      <c r="R26" s="33">
        <f t="shared" si="1"/>
        <v>0</v>
      </c>
      <c r="S26" s="34">
        <f>COUNTIFS(Table2[Course Title],Table311[[#This Row],[Courses - Planned vs Need (Active Courses)]],Table2[Roster Status],"1",Table2[Remaining Courses],"0")</f>
        <v>0</v>
      </c>
      <c r="T26" s="34">
        <f>COUNTIFS(Table2[Course Title],Table311[[#This Row],[Courses - Planned vs Need (Active Courses)]],Table2[Remaining Courses],"1")</f>
        <v>0</v>
      </c>
      <c r="U26" s="36">
        <f t="shared" si="2"/>
        <v>0</v>
      </c>
      <c r="V26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6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6" s="52">
        <f>SUMIFS(Table2[Open Quotas],Table2[Course Title],Table311[[#This Row],[Courses - Planned vs Need (Active Courses)]],Table2[Remaining Courses],"1",Table2[QTR],"4")</f>
        <v>0</v>
      </c>
      <c r="Y26" s="34">
        <f t="shared" si="3"/>
        <v>0</v>
      </c>
      <c r="Z26" s="34">
        <f>Table311[[#This Row],[Fleet Quota Need]]-Table311[[#This Row],[Total Grads]]</f>
        <v>744</v>
      </c>
      <c r="AA26" s="22"/>
    </row>
    <row r="27" spans="2:27" ht="31.5" x14ac:dyDescent="0.25">
      <c r="B27" s="584" t="s">
        <v>344</v>
      </c>
      <c r="C27" s="31" t="s">
        <v>393</v>
      </c>
      <c r="D27" s="31" t="s">
        <v>388</v>
      </c>
      <c r="E27" s="31">
        <f>COUNTIF(Table2[Course Title],Table311[[#This Row],[Courses - Planned vs Need (Active Courses)]])</f>
        <v>0</v>
      </c>
      <c r="F27" s="31">
        <v>30</v>
      </c>
      <c r="G27" s="31">
        <f>Table311[[#This Row],[Course Offerings]]*Table311[[#This Row],[Quota per Offering]]</f>
        <v>0</v>
      </c>
      <c r="H27" s="112">
        <v>612</v>
      </c>
      <c r="I27" s="31">
        <f t="shared" si="0"/>
        <v>-612</v>
      </c>
      <c r="J27" s="583">
        <f>IFERROR(Table311[[#This Row],[Planned Quotas]]/Table311[[#This Row],[Fleet Quota Need]],100%)</f>
        <v>0</v>
      </c>
      <c r="K27" s="52">
        <f>SUMIF(Table2[Course Title],Table311[[#This Row],[Courses - Planned vs Need (Active Courses)]],Table2[Graduates])</f>
        <v>0</v>
      </c>
      <c r="L27" s="52">
        <f>SUMIF(Table2[Course Title],Table311[[#This Row],[Courses - Planned vs Need (Active Courses)]],Table2[Registered])</f>
        <v>0</v>
      </c>
      <c r="M27" s="52">
        <f>SUMIF(Table2[Course Title],Table311[[#This Row],[Courses - Planned vs Need (Active Courses)]],Table2[Waitlisted])</f>
        <v>0</v>
      </c>
      <c r="N27" s="52">
        <f>SUMIF(Table2[Course Title],Table311[[#This Row],[Courses - Planned vs Need (Active Courses)]],Table2[Walk-ins])</f>
        <v>0</v>
      </c>
      <c r="O27" s="33">
        <f>SUMIF(Table2[Course Title],Table311[[#This Row],[Courses - Planned vs Need (Active Courses)]],Table2[No Shows])</f>
        <v>0</v>
      </c>
      <c r="P2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27" s="34">
        <f>ROUNDDOWN(Table311[[#This Row],[To date quotas unused (Open quotas+ no shows)]]/Table311[[#This Row],[Quota per Offering]],0)</f>
        <v>0</v>
      </c>
      <c r="R27" s="33">
        <f t="shared" si="1"/>
        <v>0</v>
      </c>
      <c r="S27" s="34">
        <f>COUNTIFS(Table2[Course Title],Table311[[#This Row],[Courses - Planned vs Need (Active Courses)]],Table2[Roster Status],"1",Table2[Remaining Courses],"0")</f>
        <v>0</v>
      </c>
      <c r="T27" s="34">
        <f>COUNTIFS(Table2[Course Title],Table311[[#This Row],[Courses - Planned vs Need (Active Courses)]],Table2[Remaining Courses],"1")</f>
        <v>0</v>
      </c>
      <c r="U27" s="36">
        <f t="shared" si="2"/>
        <v>0</v>
      </c>
      <c r="V27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27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27" s="52">
        <f>SUMIFS(Table2[Open Quotas],Table2[Course Title],Table311[[#This Row],[Courses - Planned vs Need (Active Courses)]],Table2[Remaining Courses],"1",Table2[QTR],"4")</f>
        <v>0</v>
      </c>
      <c r="Y27" s="34">
        <f t="shared" si="3"/>
        <v>0</v>
      </c>
      <c r="Z27" s="34">
        <f>Table311[[#This Row],[Fleet Quota Need]]-Table311[[#This Row],[Total Grads]]</f>
        <v>612</v>
      </c>
      <c r="AA27" s="22"/>
    </row>
    <row r="28" spans="2:27" ht="15.75" x14ac:dyDescent="0.25">
      <c r="B28" s="582" t="s">
        <v>72</v>
      </c>
      <c r="C28" s="31"/>
      <c r="D28" s="31" t="s">
        <v>390</v>
      </c>
      <c r="E28" s="31">
        <f>COUNTIF(Table2[Course Title],Table311[[#This Row],[Courses - Planned vs Need (Active Courses)]])</f>
        <v>5</v>
      </c>
      <c r="F28" s="31">
        <v>25</v>
      </c>
      <c r="G28" s="31">
        <f>Table311[[#This Row],[Course Offerings]]*Table311[[#This Row],[Quota per Offering]]</f>
        <v>125</v>
      </c>
      <c r="H28" s="112">
        <v>1044</v>
      </c>
      <c r="I28" s="31">
        <f t="shared" si="0"/>
        <v>-919</v>
      </c>
      <c r="J28" s="583">
        <f>IFERROR(Table311[[#This Row],[Planned Quotas]]/Table311[[#This Row],[Fleet Quota Need]],100%)</f>
        <v>0.11973180076628352</v>
      </c>
      <c r="K28" s="52">
        <f>SUMIF(Table2[Course Title],Table311[[#This Row],[Courses - Planned vs Need (Active Courses)]],Table2[Graduates])</f>
        <v>22</v>
      </c>
      <c r="L28" s="52">
        <f>SUMIF(Table2[Course Title],Table311[[#This Row],[Courses - Planned vs Need (Active Courses)]],Table2[Registered])</f>
        <v>75</v>
      </c>
      <c r="M28" s="52">
        <f>SUMIF(Table2[Course Title],Table311[[#This Row],[Courses - Planned vs Need (Active Courses)]],Table2[Waitlisted])</f>
        <v>0</v>
      </c>
      <c r="N28" s="52">
        <f>SUMIF(Table2[Course Title],Table311[[#This Row],[Courses - Planned vs Need (Active Courses)]],Table2[Walk-ins])</f>
        <v>1</v>
      </c>
      <c r="O28" s="33">
        <f>SUMIF(Table2[Course Title],Table311[[#This Row],[Courses - Planned vs Need (Active Courses)]],Table2[No Shows])</f>
        <v>7</v>
      </c>
      <c r="P2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35</v>
      </c>
      <c r="Q28" s="34">
        <f>ROUNDDOWN(Table311[[#This Row],[To date quotas unused (Open quotas+ no shows)]]/Table311[[#This Row],[Quota per Offering]],0)</f>
        <v>1</v>
      </c>
      <c r="R28" s="33">
        <f t="shared" si="1"/>
        <v>103</v>
      </c>
      <c r="S28" s="34">
        <f ca="1">COUNTIFS(Table2[Course Title],Table311[[#This Row],[Courses - Planned vs Need (Active Courses)]],Table2[Roster Status],"1",Table2[Remaining Courses],"0")</f>
        <v>0</v>
      </c>
      <c r="T28" s="34">
        <f ca="1">COUNTIFS(Table2[Course Title],Table311[[#This Row],[Courses - Planned vs Need (Active Courses)]],Table2[Remaining Courses],"1")</f>
        <v>3</v>
      </c>
      <c r="U28" s="36">
        <f t="shared" si="2"/>
        <v>2.1072796934865901E-2</v>
      </c>
      <c r="V2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</v>
      </c>
      <c r="W2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0.86</v>
      </c>
      <c r="X28" s="52">
        <f ca="1">SUMIFS(Table2[Open Quotas],Table2[Course Title],Table311[[#This Row],[Courses - Planned vs Need (Active Courses)]],Table2[Remaining Courses],"1",Table2[QTR],"4")</f>
        <v>26</v>
      </c>
      <c r="Y28" s="34">
        <f t="shared" ca="1" si="3"/>
        <v>75</v>
      </c>
      <c r="Z28" s="34">
        <f>Table311[[#This Row],[Fleet Quota Need]]-Table311[[#This Row],[Total Grads]]</f>
        <v>1022</v>
      </c>
      <c r="AA28" s="22"/>
    </row>
    <row r="29" spans="2:27" ht="31.5" x14ac:dyDescent="0.25">
      <c r="B29" s="582" t="s">
        <v>249</v>
      </c>
      <c r="C29" s="31"/>
      <c r="D29" s="31" t="s">
        <v>390</v>
      </c>
      <c r="E29" s="31">
        <f>COUNTIF(Table2[Course Title],Table311[[#This Row],[Courses - Planned vs Need (Active Courses)]])</f>
        <v>21</v>
      </c>
      <c r="F29" s="31">
        <v>45</v>
      </c>
      <c r="G29" s="31">
        <f>Table311[[#This Row],[Course Offerings]]*Table311[[#This Row],[Quota per Offering]]</f>
        <v>945</v>
      </c>
      <c r="H29" s="112">
        <v>1113</v>
      </c>
      <c r="I29" s="31">
        <f t="shared" si="0"/>
        <v>-168</v>
      </c>
      <c r="J29" s="583">
        <f>IFERROR(Table311[[#This Row],[Planned Quotas]]/Table311[[#This Row],[Fleet Quota Need]],100%)</f>
        <v>0.84905660377358494</v>
      </c>
      <c r="K29" s="52">
        <f>SUMIF(Table2[Course Title],Table311[[#This Row],[Courses - Planned vs Need (Active Courses)]],Table2[Graduates])</f>
        <v>598</v>
      </c>
      <c r="L29" s="52">
        <f>SUMIF(Table2[Course Title],Table311[[#This Row],[Courses - Planned vs Need (Active Courses)]],Table2[Registered])</f>
        <v>811</v>
      </c>
      <c r="M29" s="52">
        <f>SUMIF(Table2[Course Title],Table311[[#This Row],[Courses - Planned vs Need (Active Courses)]],Table2[Waitlisted])</f>
        <v>40</v>
      </c>
      <c r="N29" s="52">
        <f>SUMIF(Table2[Course Title],Table311[[#This Row],[Courses - Planned vs Need (Active Courses)]],Table2[Walk-ins])</f>
        <v>12</v>
      </c>
      <c r="O29" s="33">
        <f>SUMIF(Table2[Course Title],Table311[[#This Row],[Courses - Planned vs Need (Active Courses)]],Table2[No Shows])</f>
        <v>123</v>
      </c>
      <c r="P29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271</v>
      </c>
      <c r="Q29" s="34">
        <f>ROUNDDOWN(Table311[[#This Row],[To date quotas unused (Open quotas+ no shows)]]/Table311[[#This Row],[Quota per Offering]],0)</f>
        <v>6</v>
      </c>
      <c r="R29" s="33">
        <f t="shared" si="1"/>
        <v>347</v>
      </c>
      <c r="S29" s="34">
        <f ca="1">COUNTIFS(Table2[Course Title],Table311[[#This Row],[Courses - Planned vs Need (Active Courses)]],Table2[Roster Status],"1",Table2[Remaining Courses],"0")</f>
        <v>0</v>
      </c>
      <c r="T29" s="34">
        <f ca="1">COUNTIFS(Table2[Course Title],Table311[[#This Row],[Courses - Planned vs Need (Active Courses)]],Table2[Remaining Courses],"1")</f>
        <v>4</v>
      </c>
      <c r="U29" s="36">
        <f t="shared" si="2"/>
        <v>0.53728661275831091</v>
      </c>
      <c r="V2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0.64575163398692814</v>
      </c>
      <c r="W2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0.83921568627450982</v>
      </c>
      <c r="X29" s="52">
        <f ca="1">SUMIFS(Table2[Open Quotas],Table2[Course Title],Table311[[#This Row],[Courses - Planned vs Need (Active Courses)]],Table2[Remaining Courses],"1",Table2[QTR],"4")</f>
        <v>92</v>
      </c>
      <c r="Y29" s="34">
        <f t="shared" ca="1" si="3"/>
        <v>180</v>
      </c>
      <c r="Z29" s="34">
        <f>Table311[[#This Row],[Fleet Quota Need]]-Table311[[#This Row],[Total Grads]]</f>
        <v>515</v>
      </c>
      <c r="AA29" s="22"/>
    </row>
    <row r="30" spans="2:27" ht="31.5" x14ac:dyDescent="0.25">
      <c r="B30" s="582" t="s">
        <v>252</v>
      </c>
      <c r="C30" s="31"/>
      <c r="D30" s="31" t="s">
        <v>390</v>
      </c>
      <c r="E30" s="31">
        <f>COUNTIF(Table2[Course Title],Table311[[#This Row],[Courses - Planned vs Need (Active Courses)]])</f>
        <v>9</v>
      </c>
      <c r="F30" s="31">
        <v>45</v>
      </c>
      <c r="G30" s="31">
        <f>Table311[[#This Row],[Course Offerings]]*Table311[[#This Row],[Quota per Offering]]</f>
        <v>405</v>
      </c>
      <c r="H30" s="112">
        <v>674</v>
      </c>
      <c r="I30" s="31">
        <f t="shared" si="0"/>
        <v>-269</v>
      </c>
      <c r="J30" s="583">
        <f>IFERROR(Table311[[#This Row],[Planned Quotas]]/Table311[[#This Row],[Fleet Quota Need]],100%)</f>
        <v>0.60089020771513357</v>
      </c>
      <c r="K30" s="52">
        <f>SUMIF(Table2[Course Title],Table311[[#This Row],[Courses - Planned vs Need (Active Courses)]],Table2[Graduates])</f>
        <v>113</v>
      </c>
      <c r="L30" s="52">
        <f>SUMIF(Table2[Course Title],Table311[[#This Row],[Courses - Planned vs Need (Active Courses)]],Table2[Registered])</f>
        <v>178</v>
      </c>
      <c r="M30" s="52">
        <f>SUMIF(Table2[Course Title],Table311[[#This Row],[Courses - Planned vs Need (Active Courses)]],Table2[Waitlisted])</f>
        <v>0</v>
      </c>
      <c r="N30" s="52">
        <f>SUMIF(Table2[Course Title],Table311[[#This Row],[Courses - Planned vs Need (Active Courses)]],Table2[Walk-ins])</f>
        <v>1</v>
      </c>
      <c r="O30" s="33">
        <f>SUMIF(Table2[Course Title],Table311[[#This Row],[Courses - Planned vs Need (Active Courses)]],Table2[No Shows])</f>
        <v>21</v>
      </c>
      <c r="P30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218</v>
      </c>
      <c r="Q30" s="34">
        <f>ROUNDDOWN(Table311[[#This Row],[To date quotas unused (Open quotas+ no shows)]]/Table311[[#This Row],[Quota per Offering]],0)</f>
        <v>4</v>
      </c>
      <c r="R30" s="33">
        <f t="shared" si="1"/>
        <v>292</v>
      </c>
      <c r="S30" s="34">
        <f ca="1">COUNTIFS(Table2[Course Title],Table311[[#This Row],[Courses - Planned vs Need (Active Courses)]],Table2[Roster Status],"1",Table2[Remaining Courses],"0")</f>
        <v>0</v>
      </c>
      <c r="T30" s="34">
        <f ca="1">COUNTIFS(Table2[Course Title],Table311[[#This Row],[Courses - Planned vs Need (Active Courses)]],Table2[Remaining Courses],"1")</f>
        <v>2</v>
      </c>
      <c r="U30" s="36">
        <f t="shared" si="2"/>
        <v>0.16765578635014836</v>
      </c>
      <c r="V3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0.30793650793650795</v>
      </c>
      <c r="W3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0.93333333333333335</v>
      </c>
      <c r="X30" s="52">
        <f ca="1">SUMIFS(Table2[Open Quotas],Table2[Course Title],Table311[[#This Row],[Courses - Planned vs Need (Active Courses)]],Table2[Remaining Courses],"1",Table2[QTR],"4")</f>
        <v>50</v>
      </c>
      <c r="Y30" s="34">
        <f t="shared" ca="1" si="3"/>
        <v>90</v>
      </c>
      <c r="Z30" s="34">
        <f>Table311[[#This Row],[Fleet Quota Need]]-Table311[[#This Row],[Total Grads]]</f>
        <v>561</v>
      </c>
      <c r="AA30" s="22"/>
    </row>
    <row r="31" spans="2:27" ht="31.5" x14ac:dyDescent="0.25">
      <c r="B31" s="582" t="s">
        <v>56</v>
      </c>
      <c r="C31" s="31"/>
      <c r="D31" s="31" t="s">
        <v>394</v>
      </c>
      <c r="E31" s="31">
        <f>COUNTIF(Table2[Course Title],Table311[[#This Row],[Courses - Planned vs Need (Active Courses)]])</f>
        <v>24</v>
      </c>
      <c r="F31" s="31">
        <v>45</v>
      </c>
      <c r="G31" s="31">
        <f>Table311[[#This Row],[Course Offerings]]*Table311[[#This Row],[Quota per Offering]]</f>
        <v>1080</v>
      </c>
      <c r="H31" s="112">
        <v>1112</v>
      </c>
      <c r="I31" s="31">
        <f t="shared" si="0"/>
        <v>-32</v>
      </c>
      <c r="J31" s="583">
        <f>IFERROR(Table311[[#This Row],[Planned Quotas]]/Table311[[#This Row],[Fleet Quota Need]],100%)</f>
        <v>0.97122302158273377</v>
      </c>
      <c r="K31" s="52">
        <f>SUMIF(Table2[Course Title],Table311[[#This Row],[Courses - Planned vs Need (Active Courses)]],Table2[Graduates])</f>
        <v>692</v>
      </c>
      <c r="L31" s="52">
        <f>SUMIF(Table2[Course Title],Table311[[#This Row],[Courses - Planned vs Need (Active Courses)]],Table2[Registered])</f>
        <v>919</v>
      </c>
      <c r="M31" s="52">
        <f>SUMIF(Table2[Course Title],Table311[[#This Row],[Courses - Planned vs Need (Active Courses)]],Table2[Waitlisted])</f>
        <v>15</v>
      </c>
      <c r="N31" s="52">
        <f>SUMIF(Table2[Course Title],Table311[[#This Row],[Courses - Planned vs Need (Active Courses)]],Table2[Walk-ins])</f>
        <v>8</v>
      </c>
      <c r="O31" s="33">
        <f>SUMIF(Table2[Course Title],Table311[[#This Row],[Courses - Planned vs Need (Active Courses)]],Table2[No Shows])</f>
        <v>124</v>
      </c>
      <c r="P31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371</v>
      </c>
      <c r="Q31" s="34">
        <f>ROUNDDOWN(Table311[[#This Row],[To date quotas unused (Open quotas+ no shows)]]/Table311[[#This Row],[Quota per Offering]],0)</f>
        <v>8</v>
      </c>
      <c r="R31" s="33">
        <f t="shared" si="1"/>
        <v>388</v>
      </c>
      <c r="S31" s="34">
        <f ca="1">COUNTIFS(Table2[Course Title],Table311[[#This Row],[Courses - Planned vs Need (Active Courses)]],Table2[Roster Status],"1",Table2[Remaining Courses],"0")</f>
        <v>0</v>
      </c>
      <c r="T31" s="34">
        <f ca="1">COUNTIFS(Table2[Course Title],Table311[[#This Row],[Courses - Planned vs Need (Active Courses)]],Table2[Remaining Courses],"1")</f>
        <v>3</v>
      </c>
      <c r="U31" s="36">
        <f t="shared" si="2"/>
        <v>0.62230215827338131</v>
      </c>
      <c r="V3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0.6074074074074074</v>
      </c>
      <c r="W3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0.86878306878306877</v>
      </c>
      <c r="X31" s="52">
        <f ca="1">SUMIFS(Table2[Open Quotas],Table2[Course Title],Table311[[#This Row],[Courses - Planned vs Need (Active Courses)]],Table2[Remaining Courses],"1",Table2[QTR],"4")</f>
        <v>50</v>
      </c>
      <c r="Y31" s="34">
        <f t="shared" ca="1" si="3"/>
        <v>135</v>
      </c>
      <c r="Z31" s="34">
        <f>Table311[[#This Row],[Fleet Quota Need]]-Table311[[#This Row],[Total Grads]]</f>
        <v>420</v>
      </c>
      <c r="AA31" s="22"/>
    </row>
    <row r="32" spans="2:27" ht="31.5" x14ac:dyDescent="0.25">
      <c r="B32" s="584" t="s">
        <v>288</v>
      </c>
      <c r="C32" s="31" t="s">
        <v>393</v>
      </c>
      <c r="D32" s="31" t="s">
        <v>394</v>
      </c>
      <c r="E32" s="31">
        <f>COUNTIF(Table2[Course Title],Table311[[#This Row],[Courses - Planned vs Need (Active Courses)]])</f>
        <v>0</v>
      </c>
      <c r="F32" s="31">
        <v>30</v>
      </c>
      <c r="G32" s="31">
        <f>Table311[[#This Row],[Course Offerings]]*Table311[[#This Row],[Quota per Offering]]</f>
        <v>0</v>
      </c>
      <c r="H32" s="112">
        <v>698</v>
      </c>
      <c r="I32" s="31">
        <f t="shared" si="0"/>
        <v>-698</v>
      </c>
      <c r="J32" s="583">
        <f>IFERROR(Table311[[#This Row],[Planned Quotas]]/Table311[[#This Row],[Fleet Quota Need]],100%)</f>
        <v>0</v>
      </c>
      <c r="K32" s="52">
        <f>SUMIF(Table2[Course Title],Table311[[#This Row],[Courses - Planned vs Need (Active Courses)]],Table2[Graduates])</f>
        <v>0</v>
      </c>
      <c r="L32" s="52">
        <f>SUMIF(Table2[Course Title],Table311[[#This Row],[Courses - Planned vs Need (Active Courses)]],Table2[Registered])</f>
        <v>0</v>
      </c>
      <c r="M32" s="52">
        <f>SUMIF(Table2[Course Title],Table311[[#This Row],[Courses - Planned vs Need (Active Courses)]],Table2[Waitlisted])</f>
        <v>0</v>
      </c>
      <c r="N32" s="52">
        <f>SUMIF(Table2[Course Title],Table311[[#This Row],[Courses - Planned vs Need (Active Courses)]],Table2[Walk-ins])</f>
        <v>0</v>
      </c>
      <c r="O32" s="33">
        <f>SUMIF(Table2[Course Title],Table311[[#This Row],[Courses - Planned vs Need (Active Courses)]],Table2[No Shows])</f>
        <v>0</v>
      </c>
      <c r="P32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32" s="34">
        <f>ROUNDDOWN(Table311[[#This Row],[To date quotas unused (Open quotas+ no shows)]]/Table311[[#This Row],[Quota per Offering]],0)</f>
        <v>0</v>
      </c>
      <c r="R32" s="33">
        <f t="shared" si="1"/>
        <v>0</v>
      </c>
      <c r="S32" s="34">
        <f>COUNTIFS(Table2[Course Title],Table311[[#This Row],[Courses - Planned vs Need (Active Courses)]],Table2[Roster Status],"1",Table2[Remaining Courses],"0")</f>
        <v>0</v>
      </c>
      <c r="T32" s="34">
        <f>COUNTIFS(Table2[Course Title],Table311[[#This Row],[Courses - Planned vs Need (Active Courses)]],Table2[Remaining Courses],"1")</f>
        <v>0</v>
      </c>
      <c r="U32" s="36">
        <f t="shared" si="2"/>
        <v>0</v>
      </c>
      <c r="V32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2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2" s="52">
        <f>SUMIFS(Table2[Open Quotas],Table2[Course Title],Table311[[#This Row],[Courses - Planned vs Need (Active Courses)]],Table2[Remaining Courses],"1",Table2[QTR],"4")</f>
        <v>0</v>
      </c>
      <c r="Y32" s="34">
        <f t="shared" si="3"/>
        <v>0</v>
      </c>
      <c r="Z32" s="34">
        <f>Table311[[#This Row],[Fleet Quota Need]]-Table311[[#This Row],[Total Grads]]</f>
        <v>698</v>
      </c>
      <c r="AA32" s="22"/>
    </row>
    <row r="33" spans="2:27" ht="15.75" x14ac:dyDescent="0.25">
      <c r="B33" s="582" t="s">
        <v>53</v>
      </c>
      <c r="C33" s="31"/>
      <c r="D33" s="31" t="s">
        <v>394</v>
      </c>
      <c r="E33" s="31">
        <f>COUNTIF(Table2[Course Title],Table311[[#This Row],[Courses - Planned vs Need (Active Courses)]])</f>
        <v>17</v>
      </c>
      <c r="F33" s="31">
        <v>45</v>
      </c>
      <c r="G33" s="31">
        <f>Table311[[#This Row],[Course Offerings]]*Table311[[#This Row],[Quota per Offering]]</f>
        <v>765</v>
      </c>
      <c r="H33" s="112">
        <v>1260</v>
      </c>
      <c r="I33" s="31">
        <f t="shared" si="0"/>
        <v>-495</v>
      </c>
      <c r="J33" s="583">
        <f>IFERROR(Table311[[#This Row],[Planned Quotas]]/Table311[[#This Row],[Fleet Quota Need]],100%)</f>
        <v>0.6071428571428571</v>
      </c>
      <c r="K33" s="52">
        <f>SUMIF(Table2[Course Title],Table311[[#This Row],[Courses - Planned vs Need (Active Courses)]],Table2[Graduates])</f>
        <v>485</v>
      </c>
      <c r="L33" s="52">
        <f>SUMIF(Table2[Course Title],Table311[[#This Row],[Courses - Planned vs Need (Active Courses)]],Table2[Registered])</f>
        <v>669</v>
      </c>
      <c r="M33" s="52">
        <f>SUMIF(Table2[Course Title],Table311[[#This Row],[Courses - Planned vs Need (Active Courses)]],Table2[Waitlisted])</f>
        <v>2</v>
      </c>
      <c r="N33" s="52">
        <f>SUMIF(Table2[Course Title],Table311[[#This Row],[Courses - Planned vs Need (Active Courses)]],Table2[Walk-ins])</f>
        <v>8</v>
      </c>
      <c r="O33" s="33">
        <f>SUMIF(Table2[Course Title],Table311[[#This Row],[Courses - Planned vs Need (Active Courses)]],Table2[No Shows])</f>
        <v>99</v>
      </c>
      <c r="P3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233</v>
      </c>
      <c r="Q33" s="34">
        <f>ROUNDDOWN(Table311[[#This Row],[To date quotas unused (Open quotas+ no shows)]]/Table311[[#This Row],[Quota per Offering]],0)</f>
        <v>5</v>
      </c>
      <c r="R33" s="33">
        <f t="shared" si="1"/>
        <v>280</v>
      </c>
      <c r="S33" s="34">
        <f ca="1">COUNTIFS(Table2[Course Title],Table311[[#This Row],[Courses - Planned vs Need (Active Courses)]],Table2[Roster Status],"1",Table2[Remaining Courses],"0")</f>
        <v>1</v>
      </c>
      <c r="T33" s="34">
        <f ca="1">COUNTIFS(Table2[Course Title],Table311[[#This Row],[Courses - Planned vs Need (Active Courses)]],Table2[Remaining Courses],"1")</f>
        <v>2</v>
      </c>
      <c r="U33" s="36">
        <f t="shared" si="2"/>
        <v>0.38492063492063494</v>
      </c>
      <c r="V3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0.63015873015873014</v>
      </c>
      <c r="W3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0.84285714285714286</v>
      </c>
      <c r="X33" s="52">
        <f ca="1">SUMIFS(Table2[Open Quotas],Table2[Course Title],Table311[[#This Row],[Courses - Planned vs Need (Active Courses)]],Table2[Remaining Courses],"1",Table2[QTR],"4")</f>
        <v>42</v>
      </c>
      <c r="Y33" s="34">
        <f t="shared" ca="1" si="3"/>
        <v>135</v>
      </c>
      <c r="Z33" s="34">
        <f>Table311[[#This Row],[Fleet Quota Need]]-Table311[[#This Row],[Total Grads]]</f>
        <v>775</v>
      </c>
      <c r="AA33" s="22"/>
    </row>
    <row r="34" spans="2:27" ht="15.75" x14ac:dyDescent="0.25">
      <c r="B34" s="582" t="s">
        <v>138</v>
      </c>
      <c r="C34" s="31"/>
      <c r="D34" s="31" t="s">
        <v>394</v>
      </c>
      <c r="E34" s="31">
        <f>COUNTIF(Table2[Course Title],Table311[[#This Row],[Courses - Planned vs Need (Active Courses)]])</f>
        <v>0</v>
      </c>
      <c r="F34" s="31">
        <v>30</v>
      </c>
      <c r="G34" s="31">
        <f>Table311[[#This Row],[Course Offerings]]*Table311[[#This Row],[Quota per Offering]]</f>
        <v>0</v>
      </c>
      <c r="H34" s="192">
        <v>0</v>
      </c>
      <c r="I34" s="179">
        <f t="shared" si="0"/>
        <v>0</v>
      </c>
      <c r="J34" s="583">
        <f>IFERROR(Table311[[#This Row],[Planned Quotas]]/Table311[[#This Row],[Fleet Quota Need]],100%)</f>
        <v>1</v>
      </c>
      <c r="K34" s="52">
        <f>SUMIF(Table2[Course Title],Table311[[#This Row],[Courses - Planned vs Need (Active Courses)]],Table2[Graduates])</f>
        <v>0</v>
      </c>
      <c r="L34" s="52">
        <f>SUMIF(Table2[Course Title],Table311[[#This Row],[Courses - Planned vs Need (Active Courses)]],Table2[Registered])</f>
        <v>0</v>
      </c>
      <c r="M34" s="52">
        <f>SUMIF(Table2[Course Title],Table311[[#This Row],[Courses - Planned vs Need (Active Courses)]],Table2[Waitlisted])</f>
        <v>0</v>
      </c>
      <c r="N34" s="52">
        <f>SUMIF(Table2[Course Title],Table311[[#This Row],[Courses - Planned vs Need (Active Courses)]],Table2[Walk-ins])</f>
        <v>0</v>
      </c>
      <c r="O34" s="33">
        <f>SUMIF(Table2[Course Title],Table311[[#This Row],[Courses - Planned vs Need (Active Courses)]],Table2[No Shows])</f>
        <v>0</v>
      </c>
      <c r="P34" s="34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0</v>
      </c>
      <c r="Q34" s="34">
        <f>ROUNDDOWN(Table311[[#This Row],[To date quotas unused (Open quotas+ no shows)]]/Table311[[#This Row],[Quota per Offering]],0)</f>
        <v>0</v>
      </c>
      <c r="R34" s="33">
        <f t="shared" si="1"/>
        <v>0</v>
      </c>
      <c r="S34" s="34">
        <f>COUNTIFS(Table2[Course Title],Table311[[#This Row],[Courses - Planned vs Need (Active Courses)]],Table2[Roster Status],"1",Table2[Remaining Courses],"0")</f>
        <v>0</v>
      </c>
      <c r="T34" s="34">
        <f>COUNTIFS(Table2[Course Title],Table311[[#This Row],[Courses - Planned vs Need (Active Courses)]],Table2[Remaining Courses],"1")</f>
        <v>0</v>
      </c>
      <c r="U34" s="36">
        <f t="shared" si="2"/>
        <v>1</v>
      </c>
      <c r="V34" s="36">
        <f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</v>
      </c>
      <c r="W34" s="42">
        <f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</v>
      </c>
      <c r="X34" s="180">
        <f>SUMIFS(Table2[Open Quotas],Table2[Course Title],Table311[[#This Row],[Courses - Planned vs Need (Active Courses)]],Table2[Remaining Courses],"1",Table2[QTR],"4")</f>
        <v>0</v>
      </c>
      <c r="Y34" s="34">
        <f t="shared" si="3"/>
        <v>0</v>
      </c>
      <c r="Z34" s="34">
        <f>Table311[[#This Row],[Fleet Quota Need]]-Table311[[#This Row],[Total Grads]]</f>
        <v>0</v>
      </c>
      <c r="AA34" s="22"/>
    </row>
    <row r="35" spans="2:27" ht="31.5" x14ac:dyDescent="0.25">
      <c r="B35" s="582" t="s">
        <v>255</v>
      </c>
      <c r="C35" s="31"/>
      <c r="D35" s="31" t="s">
        <v>390</v>
      </c>
      <c r="E35" s="31">
        <f>COUNTIF(Table2[Course Title],Table311[[#This Row],[Courses - Planned vs Need (Active Courses)]])</f>
        <v>9</v>
      </c>
      <c r="F35" s="31">
        <v>45</v>
      </c>
      <c r="G35" s="31">
        <f>Table311[[#This Row],[Course Offerings]]*Table311[[#This Row],[Quota per Offering]]</f>
        <v>405</v>
      </c>
      <c r="H35" s="112">
        <v>835</v>
      </c>
      <c r="I35" s="31">
        <f t="shared" si="0"/>
        <v>-430</v>
      </c>
      <c r="J35" s="583">
        <f>IFERROR(Table311[[#This Row],[Planned Quotas]]/Table311[[#This Row],[Fleet Quota Need]],100%)</f>
        <v>0.48502994011976047</v>
      </c>
      <c r="K35" s="52">
        <f>SUMIF(Table2[Course Title],Table311[[#This Row],[Courses - Planned vs Need (Active Courses)]],Table2[Graduates])</f>
        <v>114</v>
      </c>
      <c r="L35" s="52">
        <f>SUMIF(Table2[Course Title],Table311[[#This Row],[Courses - Planned vs Need (Active Courses)]],Table2[Registered])</f>
        <v>173</v>
      </c>
      <c r="M35" s="52">
        <f>SUMIF(Table2[Course Title],Table311[[#This Row],[Courses - Planned vs Need (Active Courses)]],Table2[Waitlisted])</f>
        <v>0</v>
      </c>
      <c r="N35" s="52">
        <f>SUMIF(Table2[Course Title],Table311[[#This Row],[Courses - Planned vs Need (Active Courses)]],Table2[Walk-ins])</f>
        <v>1</v>
      </c>
      <c r="O35" s="33">
        <f>SUMIF(Table2[Course Title],Table311[[#This Row],[Courses - Planned vs Need (Active Courses)]],Table2[No Shows])</f>
        <v>34</v>
      </c>
      <c r="P35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229</v>
      </c>
      <c r="Q35" s="34">
        <f>ROUNDDOWN(Table311[[#This Row],[To date quotas unused (Open quotas+ no shows)]]/Table311[[#This Row],[Quota per Offering]],0)</f>
        <v>5</v>
      </c>
      <c r="R35" s="33">
        <f t="shared" si="1"/>
        <v>291</v>
      </c>
      <c r="S35" s="34">
        <f ca="1">COUNTIFS(Table2[Course Title],Table311[[#This Row],[Courses - Planned vs Need (Active Courses)]],Table2[Roster Status],"1",Table2[Remaining Courses],"0")</f>
        <v>0</v>
      </c>
      <c r="T35" s="34">
        <f ca="1">COUNTIFS(Table2[Course Title],Table311[[#This Row],[Courses - Planned vs Need (Active Courses)]],Table2[Remaining Courses],"1")</f>
        <v>2</v>
      </c>
      <c r="U35" s="36">
        <f t="shared" si="2"/>
        <v>0.13652694610778443</v>
      </c>
      <c r="V3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0.27301587301587299</v>
      </c>
      <c r="W3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0.89206349206349211</v>
      </c>
      <c r="X35" s="52">
        <f ca="1">SUMIFS(Table2[Open Quotas],Table2[Course Title],Table311[[#This Row],[Courses - Planned vs Need (Active Courses)]],Table2[Remaining Courses],"1",Table2[QTR],"4")</f>
        <v>64</v>
      </c>
      <c r="Y35" s="34">
        <f t="shared" ca="1" si="3"/>
        <v>90</v>
      </c>
      <c r="Z35" s="34">
        <f>Table311[[#This Row],[Fleet Quota Need]]-Table311[[#This Row],[Total Grads]]</f>
        <v>721</v>
      </c>
      <c r="AA35" s="22"/>
    </row>
    <row r="36" spans="2:27" ht="31.5" x14ac:dyDescent="0.25">
      <c r="B36" s="584" t="s">
        <v>99</v>
      </c>
      <c r="C36" s="31" t="s">
        <v>393</v>
      </c>
      <c r="D36" s="31" t="s">
        <v>388</v>
      </c>
      <c r="E36" s="31">
        <f>COUNTIF(Table2[Course Title],Table311[[#This Row],[Courses - Planned vs Need (Active Courses)]])</f>
        <v>11</v>
      </c>
      <c r="F36" s="31">
        <v>30</v>
      </c>
      <c r="G36" s="31">
        <f>Table311[[#This Row],[Course Offerings]]*Table311[[#This Row],[Quota per Offering]]</f>
        <v>330</v>
      </c>
      <c r="H36" s="112">
        <v>1085</v>
      </c>
      <c r="I36" s="31">
        <f t="shared" si="0"/>
        <v>-755</v>
      </c>
      <c r="J36" s="583">
        <f>IFERROR(Table311[[#This Row],[Planned Quotas]]/Table311[[#This Row],[Fleet Quota Need]],100%)</f>
        <v>0.30414746543778803</v>
      </c>
      <c r="K36" s="52">
        <f>SUMIF(Table2[Course Title],Table311[[#This Row],[Courses - Planned vs Need (Active Courses)]],Table2[Graduates])</f>
        <v>151</v>
      </c>
      <c r="L36" s="52">
        <f>SUMIF(Table2[Course Title],Table311[[#This Row],[Courses - Planned vs Need (Active Courses)]],Table2[Registered])</f>
        <v>181</v>
      </c>
      <c r="M36" s="52">
        <f>SUMIF(Table2[Course Title],Table311[[#This Row],[Courses - Planned vs Need (Active Courses)]],Table2[Waitlisted])</f>
        <v>0</v>
      </c>
      <c r="N36" s="52">
        <f>SUMIF(Table2[Course Title],Table311[[#This Row],[Courses - Planned vs Need (Active Courses)]],Table2[Walk-ins])</f>
        <v>45</v>
      </c>
      <c r="O36" s="33">
        <f>SUMIF(Table2[Course Title],Table311[[#This Row],[Courses - Planned vs Need (Active Courses)]],Table2[No Shows])</f>
        <v>46</v>
      </c>
      <c r="P36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190</v>
      </c>
      <c r="Q36" s="34">
        <f>ROUNDDOWN(Table311[[#This Row],[To date quotas unused (Open quotas+ no shows)]]/Table311[[#This Row],[Quota per Offering]],0)</f>
        <v>6</v>
      </c>
      <c r="R36" s="33">
        <f t="shared" si="1"/>
        <v>179</v>
      </c>
      <c r="S36" s="34">
        <f ca="1">COUNTIFS(Table2[Course Title],Table311[[#This Row],[Courses - Planned vs Need (Active Courses)]],Table2[Roster Status],"1",Table2[Remaining Courses],"0")</f>
        <v>0</v>
      </c>
      <c r="T36" s="34">
        <f ca="1">COUNTIFS(Table2[Course Title],Table311[[#This Row],[Courses - Planned vs Need (Active Courses)]],Table2[Remaining Courses],"1")</f>
        <v>1</v>
      </c>
      <c r="U36" s="36">
        <f t="shared" si="2"/>
        <v>0.1391705069124424</v>
      </c>
      <c r="V3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0.36666666666666664</v>
      </c>
      <c r="W3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0.84666666666666668</v>
      </c>
      <c r="X36" s="52">
        <f>SUMIFS(Table2[Open Quotas],Table2[Course Title],Table311[[#This Row],[Courses - Planned vs Need (Active Courses)]],Table2[Remaining Courses],"1",Table2[QTR],"4")</f>
        <v>0</v>
      </c>
      <c r="Y36" s="34">
        <f t="shared" ca="1" si="3"/>
        <v>30</v>
      </c>
      <c r="Z36" s="34">
        <f>Table311[[#This Row],[Fleet Quota Need]]-Table311[[#This Row],[Total Grads]]</f>
        <v>934</v>
      </c>
      <c r="AA36" s="22"/>
    </row>
    <row r="37" spans="2:27" ht="47.25" x14ac:dyDescent="0.25">
      <c r="B37" s="582" t="s">
        <v>229</v>
      </c>
      <c r="C37" s="31"/>
      <c r="D37" s="31" t="s">
        <v>392</v>
      </c>
      <c r="E37" s="31">
        <f>COUNTIF(Table2[Course Title],Table311[[#This Row],[Courses - Planned vs Need (Active Courses)]])</f>
        <v>16</v>
      </c>
      <c r="F37" s="188">
        <v>45</v>
      </c>
      <c r="G37" s="31">
        <f>Table311[[#This Row],[Course Offerings]]*Table311[[#This Row],[Quota per Offering]]</f>
        <v>720</v>
      </c>
      <c r="H37" s="112">
        <v>804</v>
      </c>
      <c r="I37" s="31">
        <f t="shared" ref="I37:I64" si="4">SUM(G37-H37)</f>
        <v>-84</v>
      </c>
      <c r="J37" s="583">
        <f>IFERROR(Table311[[#This Row],[Planned Quotas]]/Table311[[#This Row],[Fleet Quota Need]],100%)</f>
        <v>0.89552238805970152</v>
      </c>
      <c r="K37" s="52">
        <f>SUMIF(Table2[Course Title],Table311[[#This Row],[Courses - Planned vs Need (Active Courses)]],Table2[Graduates])</f>
        <v>218</v>
      </c>
      <c r="L37" s="52">
        <f>SUMIF(Table2[Course Title],Table311[[#This Row],[Courses - Planned vs Need (Active Courses)]],Table2[Registered])</f>
        <v>337</v>
      </c>
      <c r="M37" s="52">
        <f>SUMIF(Table2[Course Title],Table311[[#This Row],[Courses - Planned vs Need (Active Courses)]],Table2[Waitlisted])</f>
        <v>0</v>
      </c>
      <c r="N37" s="52">
        <f>SUMIF(Table2[Course Title],Table311[[#This Row],[Courses - Planned vs Need (Active Courses)]],Table2[Walk-ins])</f>
        <v>0</v>
      </c>
      <c r="O37" s="33">
        <f>SUMIF(Table2[Course Title],Table311[[#This Row],[Courses - Planned vs Need (Active Courses)]],Table2[No Shows])</f>
        <v>53</v>
      </c>
      <c r="P37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415</v>
      </c>
      <c r="Q37" s="34">
        <f>ROUNDDOWN(Table311[[#This Row],[To date quotas unused (Open quotas+ no shows)]]/Table311[[#This Row],[Quota per Offering]],0)</f>
        <v>9</v>
      </c>
      <c r="R37" s="33">
        <f t="shared" ref="R37:R64" si="5">SUM(G37-K37)</f>
        <v>502</v>
      </c>
      <c r="S37" s="34">
        <f ca="1">COUNTIFS(Table2[Course Title],Table311[[#This Row],[Courses - Planned vs Need (Active Courses)]],Table2[Roster Status],"1",Table2[Remaining Courses],"0")</f>
        <v>1</v>
      </c>
      <c r="T37" s="34">
        <f ca="1">COUNTIFS(Table2[Course Title],Table311[[#This Row],[Courses - Planned vs Need (Active Courses)]],Table2[Remaining Courses],"1")</f>
        <v>2</v>
      </c>
      <c r="U37" s="36">
        <f t="shared" ref="U37:U64" si="6">IFERROR((K37/H37),100%)</f>
        <v>0.27114427860696516</v>
      </c>
      <c r="V3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0.29059829059829062</v>
      </c>
      <c r="W3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0.90940170940170939</v>
      </c>
      <c r="X37" s="52">
        <f ca="1">SUMIFS(Table2[Open Quotas],Table2[Course Title],Table311[[#This Row],[Courses - Planned vs Need (Active Courses)]],Table2[Remaining Courses],"1",Table2[QTR],"4")</f>
        <v>53</v>
      </c>
      <c r="Y37" s="34">
        <f t="shared" ref="Y37:Y64" ca="1" si="7">SUM(S37,T37)*F37</f>
        <v>135</v>
      </c>
      <c r="Z37" s="34">
        <f>Table311[[#This Row],[Fleet Quota Need]]-Table311[[#This Row],[Total Grads]]</f>
        <v>586</v>
      </c>
      <c r="AA37" s="22"/>
    </row>
    <row r="38" spans="2:27" ht="31.5" x14ac:dyDescent="0.25">
      <c r="B38" s="582" t="s">
        <v>77</v>
      </c>
      <c r="C38" s="31"/>
      <c r="D38" s="31" t="s">
        <v>390</v>
      </c>
      <c r="E38" s="31">
        <f>COUNTIF(Table2[Course Title],Table311[[#This Row],[Courses - Planned vs Need (Active Courses)]])</f>
        <v>24</v>
      </c>
      <c r="F38" s="31">
        <v>30</v>
      </c>
      <c r="G38" s="35">
        <f>Table311[[#This Row],[Course Offerings]]*Table311[[#This Row],[Quota per Offering]]</f>
        <v>720</v>
      </c>
      <c r="H38" s="112">
        <v>1671</v>
      </c>
      <c r="I38" s="31">
        <f t="shared" si="4"/>
        <v>-951</v>
      </c>
      <c r="J38" s="583">
        <f>IFERROR(Table311[[#This Row],[Planned Quotas]]/Table311[[#This Row],[Fleet Quota Need]],100%)</f>
        <v>0.43087971274685816</v>
      </c>
      <c r="K38" s="52">
        <f>SUMIF(Table2[Course Title],Table311[[#This Row],[Courses - Planned vs Need (Active Courses)]],Table2[Graduates])</f>
        <v>392</v>
      </c>
      <c r="L38" s="52">
        <f>SUMIF(Table2[Course Title],Table311[[#This Row],[Courses - Planned vs Need (Active Courses)]],Table2[Registered])</f>
        <v>588</v>
      </c>
      <c r="M38" s="52">
        <f>SUMIF(Table2[Course Title],Table311[[#This Row],[Courses - Planned vs Need (Active Courses)]],Table2[Waitlisted])</f>
        <v>23</v>
      </c>
      <c r="N38" s="52">
        <f>SUMIF(Table2[Course Title],Table311[[#This Row],[Courses - Planned vs Need (Active Courses)]],Table2[Walk-ins])</f>
        <v>31</v>
      </c>
      <c r="O38" s="33">
        <f>SUMIF(Table2[Course Title],Table311[[#This Row],[Courses - Planned vs Need (Active Courses)]],Table2[No Shows])</f>
        <v>58</v>
      </c>
      <c r="P38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145</v>
      </c>
      <c r="Q38" s="34">
        <f>ROUNDDOWN(Table311[[#This Row],[To date quotas unused (Open quotas+ no shows)]]/Table311[[#This Row],[Quota per Offering]],0)</f>
        <v>4</v>
      </c>
      <c r="R38" s="33">
        <f t="shared" si="5"/>
        <v>328</v>
      </c>
      <c r="S38" s="34">
        <f ca="1">COUNTIFS(Table2[Course Title],Table311[[#This Row],[Courses - Planned vs Need (Active Courses)]],Table2[Roster Status],"1",Table2[Remaining Courses],"0")</f>
        <v>2</v>
      </c>
      <c r="T38" s="34">
        <f ca="1">COUNTIFS(Table2[Course Title],Table311[[#This Row],[Courses - Planned vs Need (Active Courses)]],Table2[Remaining Courses],"1")</f>
        <v>6</v>
      </c>
      <c r="U38" s="36">
        <f t="shared" si="6"/>
        <v>0.23459006582884501</v>
      </c>
      <c r="V3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0.69791666666666663</v>
      </c>
      <c r="W3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0.87916666666666665</v>
      </c>
      <c r="X38" s="52">
        <f ca="1">SUMIFS(Table2[Open Quotas],Table2[Course Title],Table311[[#This Row],[Courses - Planned vs Need (Active Courses)]],Table2[Remaining Courses],"1",Table2[QTR],"4")</f>
        <v>59</v>
      </c>
      <c r="Y38" s="34">
        <f t="shared" ca="1" si="7"/>
        <v>240</v>
      </c>
      <c r="Z38" s="34">
        <f>Table311[[#This Row],[Fleet Quota Need]]-Table311[[#This Row],[Total Grads]]</f>
        <v>1279</v>
      </c>
      <c r="AA38" s="147"/>
    </row>
    <row r="39" spans="2:27" ht="31.5" x14ac:dyDescent="0.25">
      <c r="B39" s="582" t="s">
        <v>396</v>
      </c>
      <c r="C39" s="31"/>
      <c r="D39" s="31" t="s">
        <v>392</v>
      </c>
      <c r="E39" s="31">
        <f>COUNTIF(Table2[Course Title],Table311[[#This Row],[Courses - Planned vs Need (Active Courses)]])</f>
        <v>12</v>
      </c>
      <c r="F39" s="31">
        <v>1000</v>
      </c>
      <c r="G39" s="35">
        <f>Table311[[#This Row],[Course Offerings]]*Table311[[#This Row],[Quota per Offering]]</f>
        <v>12000</v>
      </c>
      <c r="H39" s="192">
        <v>0</v>
      </c>
      <c r="I39" s="179">
        <f t="shared" si="4"/>
        <v>12000</v>
      </c>
      <c r="J39" s="583">
        <f>IFERROR(Table311[[#This Row],[Planned Quotas]]/Table311[[#This Row],[Fleet Quota Need]],100%)</f>
        <v>1</v>
      </c>
      <c r="K39" s="52">
        <f>SUMIF(Table2[Course Title],Table311[[#This Row],[Courses - Planned vs Need (Active Courses)]],Table2[Graduates])</f>
        <v>166</v>
      </c>
      <c r="L39" s="52">
        <f>SUMIF(Table2[Course Title],Table311[[#This Row],[Courses - Planned vs Need (Active Courses)]],Table2[Registered])</f>
        <v>762</v>
      </c>
      <c r="M39" s="52">
        <f>SUMIF(Table2[Course Title],Table311[[#This Row],[Courses - Planned vs Need (Active Courses)]],Table2[Waitlisted])</f>
        <v>0</v>
      </c>
      <c r="N39" s="52">
        <f>SUMIF(Table2[Course Title],Table311[[#This Row],[Courses - Planned vs Need (Active Courses)]],Table2[Walk-ins])</f>
        <v>0</v>
      </c>
      <c r="O39" s="33">
        <f>SUMIF(Table2[Course Title],Table311[[#This Row],[Courses - Planned vs Need (Active Courses)]],Table2[No Shows])</f>
        <v>0</v>
      </c>
      <c r="P39" s="34">
        <v>0</v>
      </c>
      <c r="Q39" s="34">
        <f>ROUNDDOWN(Table311[[#This Row],[To date quotas unused (Open quotas+ no shows)]]/Table311[[#This Row],[Quota per Offering]],0)</f>
        <v>0</v>
      </c>
      <c r="R39" s="33">
        <f t="shared" si="5"/>
        <v>11834</v>
      </c>
      <c r="S39" s="34">
        <f ca="1">COUNTIFS(Table2[Course Title],Table311[[#This Row],[Courses - Planned vs Need (Active Courses)]],Table2[Roster Status],"1",Table2[Remaining Courses],"0")</f>
        <v>1</v>
      </c>
      <c r="T39" s="34">
        <f ca="1">COUNTIFS(Table2[Course Title],Table311[[#This Row],[Courses - Planned vs Need (Active Courses)]],Table2[Remaining Courses],"1")</f>
        <v>2</v>
      </c>
      <c r="U39" s="175">
        <f t="shared" si="6"/>
        <v>1</v>
      </c>
      <c r="V3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3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39" s="180">
        <f>SUMIFS(Table2[Open Quotas],Table2[Course Title],Table311[[#This Row],[Courses - Planned vs Need (Active Courses)]],Table2[Remaining Courses],"1",Table2[QTR],"4")</f>
        <v>0</v>
      </c>
      <c r="Y39" s="34">
        <f t="shared" ca="1" si="7"/>
        <v>3000</v>
      </c>
      <c r="Z39" s="34">
        <f>Table311[[#This Row],[Fleet Quota Need]]-Table311[[#This Row],[Total Grads]]</f>
        <v>-166</v>
      </c>
      <c r="AA39" s="21"/>
    </row>
    <row r="40" spans="2:27" ht="31.5" x14ac:dyDescent="0.25">
      <c r="B40" s="582" t="s">
        <v>397</v>
      </c>
      <c r="C40" s="31"/>
      <c r="D40" s="31" t="s">
        <v>392</v>
      </c>
      <c r="E40" s="31">
        <f>COUNTIF(Table2[Course Title],Table311[[#This Row],[Courses - Planned vs Need (Active Courses)]])</f>
        <v>12</v>
      </c>
      <c r="F40" s="31">
        <v>1000</v>
      </c>
      <c r="G40" s="35">
        <f>Table311[[#This Row],[Course Offerings]]*Table311[[#This Row],[Quota per Offering]]</f>
        <v>12000</v>
      </c>
      <c r="H40" s="192">
        <v>0</v>
      </c>
      <c r="I40" s="179">
        <f t="shared" si="4"/>
        <v>12000</v>
      </c>
      <c r="J40" s="583">
        <f>IFERROR(Table311[[#This Row],[Planned Quotas]]/Table311[[#This Row],[Fleet Quota Need]],100%)</f>
        <v>1</v>
      </c>
      <c r="K40" s="52">
        <f>SUMIF(Table2[Course Title],Table311[[#This Row],[Courses - Planned vs Need (Active Courses)]],Table2[Graduates])</f>
        <v>218</v>
      </c>
      <c r="L40" s="52">
        <f>SUMIF(Table2[Course Title],Table311[[#This Row],[Courses - Planned vs Need (Active Courses)]],Table2[Registered])</f>
        <v>788</v>
      </c>
      <c r="M40" s="52">
        <f>SUMIF(Table2[Course Title],Table311[[#This Row],[Courses - Planned vs Need (Active Courses)]],Table2[Waitlisted])</f>
        <v>0</v>
      </c>
      <c r="N40" s="52">
        <f>SUMIF(Table2[Course Title],Table311[[#This Row],[Courses - Planned vs Need (Active Courses)]],Table2[Walk-ins])</f>
        <v>0</v>
      </c>
      <c r="O40" s="33">
        <f>SUMIF(Table2[Course Title],Table311[[#This Row],[Courses - Planned vs Need (Active Courses)]],Table2[No Shows])</f>
        <v>0</v>
      </c>
      <c r="P40" s="34">
        <f>-P393</f>
        <v>0</v>
      </c>
      <c r="Q40" s="34">
        <f>ROUNDDOWN(Table311[[#This Row],[To date quotas unused (Open quotas+ no shows)]]/Table311[[#This Row],[Quota per Offering]],0)</f>
        <v>0</v>
      </c>
      <c r="R40" s="33">
        <f t="shared" si="5"/>
        <v>11782</v>
      </c>
      <c r="S40" s="34">
        <f ca="1">COUNTIFS(Table2[Course Title],Table311[[#This Row],[Courses - Planned vs Need (Active Courses)]],Table2[Roster Status],"1",Table2[Remaining Courses],"0")</f>
        <v>0</v>
      </c>
      <c r="T40" s="34">
        <f ca="1">COUNTIFS(Table2[Course Title],Table311[[#This Row],[Courses - Planned vs Need (Active Courses)]],Table2[Remaining Courses],"1")</f>
        <v>2</v>
      </c>
      <c r="U40" s="36">
        <f t="shared" si="6"/>
        <v>1</v>
      </c>
      <c r="V4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0" s="180">
        <f>SUMIFS(Table2[Open Quotas],Table2[Course Title],Table311[[#This Row],[Courses - Planned vs Need (Active Courses)]],Table2[Remaining Courses],"1",Table2[QTR],"4")</f>
        <v>0</v>
      </c>
      <c r="Y40" s="34">
        <f t="shared" ca="1" si="7"/>
        <v>2000</v>
      </c>
      <c r="Z40" s="34">
        <f>Table311[[#This Row],[Fleet Quota Need]]-Table311[[#This Row],[Total Grads]]</f>
        <v>-218</v>
      </c>
      <c r="AA40" s="21"/>
    </row>
    <row r="41" spans="2:27" ht="31.5" x14ac:dyDescent="0.25">
      <c r="B41" s="582" t="s">
        <v>398</v>
      </c>
      <c r="C41" s="31"/>
      <c r="D41" s="31" t="s">
        <v>392</v>
      </c>
      <c r="E41" s="31">
        <f>COUNTIF(Table2[Course Title],Table311[[#This Row],[Courses - Planned vs Need (Active Courses)]])</f>
        <v>12</v>
      </c>
      <c r="F41" s="31">
        <v>1000</v>
      </c>
      <c r="G41" s="35">
        <f>Table311[[#This Row],[Course Offerings]]*Table311[[#This Row],[Quota per Offering]]</f>
        <v>12000</v>
      </c>
      <c r="H41" s="192">
        <v>0</v>
      </c>
      <c r="I41" s="179">
        <f t="shared" si="4"/>
        <v>12000</v>
      </c>
      <c r="J41" s="583">
        <f>IFERROR(Table311[[#This Row],[Planned Quotas]]/Table311[[#This Row],[Fleet Quota Need]],100%)</f>
        <v>1</v>
      </c>
      <c r="K41" s="52">
        <f>SUMIF(Table2[Course Title],Table311[[#This Row],[Courses - Planned vs Need (Active Courses)]],Table2[Graduates])</f>
        <v>260</v>
      </c>
      <c r="L41" s="52">
        <f>SUMIF(Table2[Course Title],Table311[[#This Row],[Courses - Planned vs Need (Active Courses)]],Table2[Registered])</f>
        <v>791</v>
      </c>
      <c r="M41" s="52">
        <f>SUMIF(Table2[Course Title],Table311[[#This Row],[Courses - Planned vs Need (Active Courses)]],Table2[Waitlisted])</f>
        <v>0</v>
      </c>
      <c r="N41" s="52">
        <f>SUMIF(Table2[Course Title],Table311[[#This Row],[Courses - Planned vs Need (Active Courses)]],Table2[Walk-ins])</f>
        <v>0</v>
      </c>
      <c r="O41" s="33">
        <f>SUMIF(Table2[Course Title],Table311[[#This Row],[Courses - Planned vs Need (Active Courses)]],Table2[No Shows])</f>
        <v>0</v>
      </c>
      <c r="P41" s="34">
        <v>0</v>
      </c>
      <c r="Q41" s="34">
        <f>ROUNDDOWN(Table311[[#This Row],[To date quotas unused (Open quotas+ no shows)]]/Table311[[#This Row],[Quota per Offering]],0)</f>
        <v>0</v>
      </c>
      <c r="R41" s="33">
        <f t="shared" si="5"/>
        <v>11740</v>
      </c>
      <c r="S41" s="34">
        <f ca="1">COUNTIFS(Table2[Course Title],Table311[[#This Row],[Courses - Planned vs Need (Active Courses)]],Table2[Roster Status],"1",Table2[Remaining Courses],"0")</f>
        <v>0</v>
      </c>
      <c r="T41" s="34">
        <f ca="1">COUNTIFS(Table2[Course Title],Table311[[#This Row],[Courses - Planned vs Need (Active Courses)]],Table2[Remaining Courses],"1")</f>
        <v>2</v>
      </c>
      <c r="U41" s="36">
        <f t="shared" si="6"/>
        <v>1</v>
      </c>
      <c r="V4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1" s="180">
        <f>SUMIFS(Table2[Open Quotas],Table2[Course Title],Table311[[#This Row],[Courses - Planned vs Need (Active Courses)]],Table2[Remaining Courses],"1",Table2[QTR],"4")</f>
        <v>0</v>
      </c>
      <c r="Y41" s="34">
        <f t="shared" ca="1" si="7"/>
        <v>2000</v>
      </c>
      <c r="Z41" s="34">
        <f>Table311[[#This Row],[Fleet Quota Need]]-Table311[[#This Row],[Total Grads]]</f>
        <v>-260</v>
      </c>
      <c r="AA41" s="21"/>
    </row>
    <row r="42" spans="2:27" ht="31.5" x14ac:dyDescent="0.25">
      <c r="B42" s="582" t="s">
        <v>399</v>
      </c>
      <c r="C42" s="31"/>
      <c r="D42" s="31" t="s">
        <v>392</v>
      </c>
      <c r="E42" s="31">
        <f>COUNTIF(Table2[Course Title],Table311[[#This Row],[Courses - Planned vs Need (Active Courses)]])</f>
        <v>12</v>
      </c>
      <c r="F42" s="31">
        <v>1000</v>
      </c>
      <c r="G42" s="31">
        <f>Table311[[#This Row],[Course Offerings]]*Table311[[#This Row],[Quota per Offering]]</f>
        <v>12000</v>
      </c>
      <c r="H42" s="193">
        <v>0</v>
      </c>
      <c r="I42" s="179">
        <f t="shared" si="4"/>
        <v>12000</v>
      </c>
      <c r="J42" s="583">
        <f>IFERROR(Table311[[#This Row],[Planned Quotas]]/Table311[[#This Row],[Fleet Quota Need]],100%)</f>
        <v>1</v>
      </c>
      <c r="K42" s="52">
        <f>SUMIF(Table2[Course Title],Table311[[#This Row],[Courses - Planned vs Need (Active Courses)]],Table2[Graduates])</f>
        <v>257</v>
      </c>
      <c r="L42" s="52">
        <f>SUMIF(Table2[Course Title],Table311[[#This Row],[Courses - Planned vs Need (Active Courses)]],Table2[Registered])</f>
        <v>793</v>
      </c>
      <c r="M42" s="52">
        <f>SUMIF(Table2[Course Title],Table311[[#This Row],[Courses - Planned vs Need (Active Courses)]],Table2[Waitlisted])</f>
        <v>0</v>
      </c>
      <c r="N42" s="52">
        <f>SUMIF(Table2[Course Title],Table311[[#This Row],[Courses - Planned vs Need (Active Courses)]],Table2[Walk-ins])</f>
        <v>0</v>
      </c>
      <c r="O42" s="33">
        <f>SUMIF(Table2[Course Title],Table311[[#This Row],[Courses - Planned vs Need (Active Courses)]],Table2[No Shows])</f>
        <v>0</v>
      </c>
      <c r="P42" s="34">
        <v>0</v>
      </c>
      <c r="Q42" s="34">
        <f>ROUNDDOWN(Table311[[#This Row],[To date quotas unused (Open quotas+ no shows)]]/Table311[[#This Row],[Quota per Offering]],0)</f>
        <v>0</v>
      </c>
      <c r="R42" s="33">
        <f t="shared" si="5"/>
        <v>11743</v>
      </c>
      <c r="S42" s="34">
        <f ca="1">COUNTIFS(Table2[Course Title],Table311[[#This Row],[Courses - Planned vs Need (Active Courses)]],Table2[Roster Status],"1",Table2[Remaining Courses],"0")</f>
        <v>1</v>
      </c>
      <c r="T42" s="34">
        <f ca="1">COUNTIFS(Table2[Course Title],Table311[[#This Row],[Courses - Planned vs Need (Active Courses)]],Table2[Remaining Courses],"1")</f>
        <v>2</v>
      </c>
      <c r="U42" s="36">
        <f t="shared" si="6"/>
        <v>1</v>
      </c>
      <c r="V4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2" s="181">
        <f>SUMIFS(Table2[Open Quotas],Table2[Course Title],Table311[[#This Row],[Courses - Planned vs Need (Active Courses)]],Table2[Remaining Courses],"1",Table2[QTR],"4")</f>
        <v>0</v>
      </c>
      <c r="Y42" s="166">
        <f t="shared" ca="1" si="7"/>
        <v>3000</v>
      </c>
      <c r="Z42" s="166">
        <f>Table311[[#This Row],[Fleet Quota Need]]-Table311[[#This Row],[Total Grads]]</f>
        <v>-257</v>
      </c>
      <c r="AA42" s="182"/>
    </row>
    <row r="43" spans="2:27" ht="31.5" x14ac:dyDescent="0.25">
      <c r="B43" s="585" t="s">
        <v>400</v>
      </c>
      <c r="C43" s="35"/>
      <c r="D43" s="31" t="s">
        <v>392</v>
      </c>
      <c r="E43" s="35">
        <f>COUNTIF(Table2[Course Title],Table311[[#This Row],[Courses - Planned vs Need (Active Courses)]])</f>
        <v>12</v>
      </c>
      <c r="F43" s="35">
        <v>1000</v>
      </c>
      <c r="G43" s="35">
        <f>Table311[[#This Row],[Course Offerings]]*Table311[[#This Row],[Quota per Offering]]</f>
        <v>12000</v>
      </c>
      <c r="H43" s="193">
        <v>0</v>
      </c>
      <c r="I43" s="172">
        <f t="shared" si="4"/>
        <v>12000</v>
      </c>
      <c r="J43" s="583">
        <f>IFERROR(Table311[[#This Row],[Planned Quotas]]/Table311[[#This Row],[Fleet Quota Need]],100%)</f>
        <v>1</v>
      </c>
      <c r="K43" s="165">
        <f>SUMIF(Table2[Course Title],Table311[[#This Row],[Courses - Planned vs Need (Active Courses)]],Table2[Graduates])</f>
        <v>295</v>
      </c>
      <c r="L43" s="165">
        <f>SUMIF(Table2[Course Title],Table311[[#This Row],[Courses - Planned vs Need (Active Courses)]],Table2[Registered])</f>
        <v>840</v>
      </c>
      <c r="M43" s="165">
        <f>SUMIF(Table2[Course Title],Table311[[#This Row],[Courses - Planned vs Need (Active Courses)]],Table2[Waitlisted])</f>
        <v>0</v>
      </c>
      <c r="N43" s="165">
        <f>SUMIF(Table2[Course Title],Table311[[#This Row],[Courses - Planned vs Need (Active Courses)]],Table2[Walk-ins])</f>
        <v>0</v>
      </c>
      <c r="O43" s="35">
        <f>SUMIF(Table2[Course Title],Table311[[#This Row],[Courses - Planned vs Need (Active Courses)]],Table2[No Shows])</f>
        <v>0</v>
      </c>
      <c r="P43" s="166">
        <v>0</v>
      </c>
      <c r="Q43" s="166">
        <f>ROUNDDOWN(Table311[[#This Row],[To date quotas unused (Open quotas+ no shows)]]/Table311[[#This Row],[Quota per Offering]],0)</f>
        <v>0</v>
      </c>
      <c r="R43" s="35">
        <f t="shared" si="5"/>
        <v>11705</v>
      </c>
      <c r="S43" s="166">
        <f ca="1">COUNTIFS(Table2[Course Title],Table311[[#This Row],[Courses - Planned vs Need (Active Courses)]],Table2[Roster Status],"1",Table2[Remaining Courses],"0")</f>
        <v>1</v>
      </c>
      <c r="T43" s="166">
        <f ca="1">COUNTIFS(Table2[Course Title],Table311[[#This Row],[Courses - Planned vs Need (Active Courses)]],Table2[Remaining Courses],"1")</f>
        <v>2</v>
      </c>
      <c r="U43" s="36">
        <f t="shared" si="6"/>
        <v>1</v>
      </c>
      <c r="V43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3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3" s="181">
        <f>SUMIFS(Table2[Open Quotas],Table2[Course Title],Table311[[#This Row],[Courses - Planned vs Need (Active Courses)]],Table2[Remaining Courses],"1",Table2[QTR],"4")</f>
        <v>0</v>
      </c>
      <c r="Y43" s="166">
        <f t="shared" ca="1" si="7"/>
        <v>3000</v>
      </c>
      <c r="Z43" s="166">
        <f>Table311[[#This Row],[Fleet Quota Need]]-Table311[[#This Row],[Total Grads]]</f>
        <v>-295</v>
      </c>
      <c r="AA43" s="178"/>
    </row>
    <row r="44" spans="2:27" ht="31.5" x14ac:dyDescent="0.25">
      <c r="B44" s="585" t="s">
        <v>401</v>
      </c>
      <c r="C44" s="35"/>
      <c r="D44" s="31" t="s">
        <v>392</v>
      </c>
      <c r="E44" s="35">
        <f>COUNTIF(Table2[Course Title],Table311[[#This Row],[Courses - Planned vs Need (Active Courses)]])</f>
        <v>12</v>
      </c>
      <c r="F44" s="35">
        <v>1000</v>
      </c>
      <c r="G44" s="35">
        <f>Table311[[#This Row],[Course Offerings]]*Table311[[#This Row],[Quota per Offering]]</f>
        <v>12000</v>
      </c>
      <c r="H44" s="193">
        <v>0</v>
      </c>
      <c r="I44" s="172">
        <f t="shared" si="4"/>
        <v>12000</v>
      </c>
      <c r="J44" s="583">
        <f>IFERROR(Table311[[#This Row],[Planned Quotas]]/Table311[[#This Row],[Fleet Quota Need]],100%)</f>
        <v>1</v>
      </c>
      <c r="K44" s="165">
        <f>SUMIF(Table2[Course Title],Table311[[#This Row],[Courses - Planned vs Need (Active Courses)]],Table2[Graduates])</f>
        <v>287</v>
      </c>
      <c r="L44" s="165">
        <f>SUMIF(Table2[Course Title],Table311[[#This Row],[Courses - Planned vs Need (Active Courses)]],Table2[Registered])</f>
        <v>811</v>
      </c>
      <c r="M44" s="165">
        <f>SUMIF(Table2[Course Title],Table311[[#This Row],[Courses - Planned vs Need (Active Courses)]],Table2[Waitlisted])</f>
        <v>0</v>
      </c>
      <c r="N44" s="165">
        <f>SUMIF(Table2[Course Title],Table311[[#This Row],[Courses - Planned vs Need (Active Courses)]],Table2[Walk-ins])</f>
        <v>0</v>
      </c>
      <c r="O44" s="35">
        <f>SUMIF(Table2[Course Title],Table311[[#This Row],[Courses - Planned vs Need (Active Courses)]],Table2[No Shows])</f>
        <v>0</v>
      </c>
      <c r="P44" s="166">
        <v>0</v>
      </c>
      <c r="Q44" s="166">
        <f>ROUNDDOWN(Table311[[#This Row],[To date quotas unused (Open quotas+ no shows)]]/Table311[[#This Row],[Quota per Offering]],0)</f>
        <v>0</v>
      </c>
      <c r="R44" s="35">
        <f t="shared" si="5"/>
        <v>11713</v>
      </c>
      <c r="S44" s="166">
        <f ca="1">COUNTIFS(Table2[Course Title],Table311[[#This Row],[Courses - Planned vs Need (Active Courses)]],Table2[Roster Status],"1",Table2[Remaining Courses],"0")</f>
        <v>1</v>
      </c>
      <c r="T44" s="166">
        <f ca="1">COUNTIFS(Table2[Course Title],Table311[[#This Row],[Courses - Planned vs Need (Active Courses)]],Table2[Remaining Courses],"1")</f>
        <v>2</v>
      </c>
      <c r="U44" s="36">
        <f t="shared" si="6"/>
        <v>1</v>
      </c>
      <c r="V44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4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4" s="181">
        <f>SUMIFS(Table2[Open Quotas],Table2[Course Title],Table311[[#This Row],[Courses - Planned vs Need (Active Courses)]],Table2[Remaining Courses],"1",Table2[QTR],"4")</f>
        <v>0</v>
      </c>
      <c r="Y44" s="166">
        <f t="shared" ca="1" si="7"/>
        <v>3000</v>
      </c>
      <c r="Z44" s="166">
        <f>Table311[[#This Row],[Fleet Quota Need]]-Table311[[#This Row],[Total Grads]]</f>
        <v>-287</v>
      </c>
      <c r="AA44" s="178"/>
    </row>
    <row r="45" spans="2:27" ht="31.5" x14ac:dyDescent="0.25">
      <c r="B45" s="585" t="s">
        <v>402</v>
      </c>
      <c r="C45" s="35"/>
      <c r="D45" s="31" t="s">
        <v>392</v>
      </c>
      <c r="E45" s="35">
        <f>COUNTIF(Table2[Course Title],Table311[[#This Row],[Courses - Planned vs Need (Active Courses)]])</f>
        <v>12</v>
      </c>
      <c r="F45" s="35">
        <v>1000</v>
      </c>
      <c r="G45" s="35">
        <f>Table311[[#This Row],[Course Offerings]]*Table311[[#This Row],[Quota per Offering]]</f>
        <v>12000</v>
      </c>
      <c r="H45" s="193">
        <v>0</v>
      </c>
      <c r="I45" s="172">
        <f t="shared" si="4"/>
        <v>12000</v>
      </c>
      <c r="J45" s="583">
        <f>IFERROR(Table311[[#This Row],[Planned Quotas]]/Table311[[#This Row],[Fleet Quota Need]],100%)</f>
        <v>1</v>
      </c>
      <c r="K45" s="165">
        <f>SUMIF(Table2[Course Title],Table311[[#This Row],[Courses - Planned vs Need (Active Courses)]],Table2[Graduates])</f>
        <v>181</v>
      </c>
      <c r="L45" s="165">
        <f>SUMIF(Table2[Course Title],Table311[[#This Row],[Courses - Planned vs Need (Active Courses)]],Table2[Registered])</f>
        <v>762</v>
      </c>
      <c r="M45" s="165">
        <f>SUMIF(Table2[Course Title],Table311[[#This Row],[Courses - Planned vs Need (Active Courses)]],Table2[Waitlisted])</f>
        <v>0</v>
      </c>
      <c r="N45" s="165">
        <f>SUMIF(Table2[Course Title],Table311[[#This Row],[Courses - Planned vs Need (Active Courses)]],Table2[Walk-ins])</f>
        <v>0</v>
      </c>
      <c r="O45" s="35">
        <f>SUMIF(Table2[Course Title],Table311[[#This Row],[Courses - Planned vs Need (Active Courses)]],Table2[No Shows])</f>
        <v>0</v>
      </c>
      <c r="P45" s="166">
        <v>0</v>
      </c>
      <c r="Q45" s="166">
        <f>ROUNDDOWN(Table311[[#This Row],[To date quotas unused (Open quotas+ no shows)]]/Table311[[#This Row],[Quota per Offering]],0)</f>
        <v>0</v>
      </c>
      <c r="R45" s="35">
        <f t="shared" si="5"/>
        <v>11819</v>
      </c>
      <c r="S45" s="166">
        <f ca="1">COUNTIFS(Table2[Course Title],Table311[[#This Row],[Courses - Planned vs Need (Active Courses)]],Table2[Roster Status],"1",Table2[Remaining Courses],"0")</f>
        <v>0</v>
      </c>
      <c r="T45" s="166">
        <f ca="1">COUNTIFS(Table2[Course Title],Table311[[#This Row],[Courses - Planned vs Need (Active Courses)]],Table2[Remaining Courses],"1")</f>
        <v>2</v>
      </c>
      <c r="U45" s="175">
        <f t="shared" si="6"/>
        <v>1</v>
      </c>
      <c r="V45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5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5" s="181">
        <f ca="1">SUMIFS(Table2[Open Quotas],Table2[Course Title],Table311[[#This Row],[Courses - Planned vs Need (Active Courses)]],Table2[Remaining Courses],"1",Table2[QTR],"4")</f>
        <v>0</v>
      </c>
      <c r="Y45" s="166">
        <f t="shared" ca="1" si="7"/>
        <v>2000</v>
      </c>
      <c r="Z45" s="166">
        <f>Table311[[#This Row],[Fleet Quota Need]]-Table311[[#This Row],[Total Grads]]</f>
        <v>-181</v>
      </c>
      <c r="AA45" s="178"/>
    </row>
    <row r="46" spans="2:27" ht="31.5" x14ac:dyDescent="0.25">
      <c r="B46" s="585" t="s">
        <v>403</v>
      </c>
      <c r="C46" s="35"/>
      <c r="D46" s="31" t="s">
        <v>392</v>
      </c>
      <c r="E46" s="35">
        <f>COUNTIF(Table2[Course Title],Table311[[#This Row],[Courses - Planned vs Need (Active Courses)]])</f>
        <v>12</v>
      </c>
      <c r="F46" s="35">
        <v>1000</v>
      </c>
      <c r="G46" s="35">
        <f>Table311[[#This Row],[Course Offerings]]*Table311[[#This Row],[Quota per Offering]]</f>
        <v>12000</v>
      </c>
      <c r="H46" s="193">
        <v>0</v>
      </c>
      <c r="I46" s="172">
        <f t="shared" si="4"/>
        <v>12000</v>
      </c>
      <c r="J46" s="583">
        <f>IFERROR(Table311[[#This Row],[Planned Quotas]]/Table311[[#This Row],[Fleet Quota Need]],100%)</f>
        <v>1</v>
      </c>
      <c r="K46" s="165">
        <f>SUMIF(Table2[Course Title],Table311[[#This Row],[Courses - Planned vs Need (Active Courses)]],Table2[Graduates])</f>
        <v>218</v>
      </c>
      <c r="L46" s="165">
        <f>SUMIF(Table2[Course Title],Table311[[#This Row],[Courses - Planned vs Need (Active Courses)]],Table2[Registered])</f>
        <v>762</v>
      </c>
      <c r="M46" s="165">
        <f>SUMIF(Table2[Course Title],Table311[[#This Row],[Courses - Planned vs Need (Active Courses)]],Table2[Waitlisted])</f>
        <v>0</v>
      </c>
      <c r="N46" s="165">
        <f>SUMIF(Table2[Course Title],Table311[[#This Row],[Courses - Planned vs Need (Active Courses)]],Table2[Walk-ins])</f>
        <v>0</v>
      </c>
      <c r="O46" s="35">
        <f>SUMIF(Table2[Course Title],Table311[[#This Row],[Courses - Planned vs Need (Active Courses)]],Table2[No Shows])</f>
        <v>0</v>
      </c>
      <c r="P46" s="166">
        <v>0</v>
      </c>
      <c r="Q46" s="166">
        <f>ROUNDDOWN(Table311[[#This Row],[To date quotas unused (Open quotas+ no shows)]]/Table311[[#This Row],[Quota per Offering]],0)</f>
        <v>0</v>
      </c>
      <c r="R46" s="35">
        <f t="shared" si="5"/>
        <v>11782</v>
      </c>
      <c r="S46" s="166">
        <f ca="1">COUNTIFS(Table2[Course Title],Table311[[#This Row],[Courses - Planned vs Need (Active Courses)]],Table2[Roster Status],"1",Table2[Remaining Courses],"0")</f>
        <v>0</v>
      </c>
      <c r="T46" s="166">
        <f ca="1">COUNTIFS(Table2[Course Title],Table311[[#This Row],[Courses - Planned vs Need (Active Courses)]],Table2[Remaining Courses],"1")</f>
        <v>2</v>
      </c>
      <c r="U46" s="175">
        <f t="shared" si="6"/>
        <v>1</v>
      </c>
      <c r="V46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6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6" s="181">
        <f>SUMIFS(Table2[Open Quotas],Table2[Course Title],Table311[[#This Row],[Courses - Planned vs Need (Active Courses)]],Table2[Remaining Courses],"1",Table2[QTR],"4")</f>
        <v>0</v>
      </c>
      <c r="Y46" s="166">
        <f t="shared" ca="1" si="7"/>
        <v>2000</v>
      </c>
      <c r="Z46" s="166">
        <f>Table311[[#This Row],[Fleet Quota Need]]-Table311[[#This Row],[Total Grads]]</f>
        <v>-218</v>
      </c>
      <c r="AA46" s="178"/>
    </row>
    <row r="47" spans="2:27" ht="47.25" x14ac:dyDescent="0.25">
      <c r="B47" s="585" t="s">
        <v>404</v>
      </c>
      <c r="C47" s="35"/>
      <c r="D47" s="31" t="s">
        <v>392</v>
      </c>
      <c r="E47" s="35">
        <f>COUNTIF(Table2[Course Title],Table311[[#This Row],[Courses - Planned vs Need (Active Courses)]])</f>
        <v>12</v>
      </c>
      <c r="F47" s="35">
        <v>1000</v>
      </c>
      <c r="G47" s="35">
        <f>Table311[[#This Row],[Course Offerings]]*Table311[[#This Row],[Quota per Offering]]</f>
        <v>12000</v>
      </c>
      <c r="H47" s="193">
        <v>0</v>
      </c>
      <c r="I47" s="172">
        <f t="shared" si="4"/>
        <v>12000</v>
      </c>
      <c r="J47" s="583">
        <f>IFERROR(Table311[[#This Row],[Planned Quotas]]/Table311[[#This Row],[Fleet Quota Need]],100%)</f>
        <v>1</v>
      </c>
      <c r="K47" s="165">
        <f>SUMIF(Table2[Course Title],Table311[[#This Row],[Courses - Planned vs Need (Active Courses)]],Table2[Graduates])</f>
        <v>193</v>
      </c>
      <c r="L47" s="165">
        <f>SUMIF(Table2[Course Title],Table311[[#This Row],[Courses - Planned vs Need (Active Courses)]],Table2[Registered])</f>
        <v>762</v>
      </c>
      <c r="M47" s="165">
        <f>SUMIF(Table2[Course Title],Table311[[#This Row],[Courses - Planned vs Need (Active Courses)]],Table2[Waitlisted])</f>
        <v>0</v>
      </c>
      <c r="N47" s="165">
        <f>SUMIF(Table2[Course Title],Table311[[#This Row],[Courses - Planned vs Need (Active Courses)]],Table2[Walk-ins])</f>
        <v>0</v>
      </c>
      <c r="O47" s="35">
        <f>SUMIF(Table2[Course Title],Table311[[#This Row],[Courses - Planned vs Need (Active Courses)]],Table2[No Shows])</f>
        <v>0</v>
      </c>
      <c r="P47" s="166">
        <v>0</v>
      </c>
      <c r="Q47" s="166">
        <f>ROUNDDOWN(Table311[[#This Row],[To date quotas unused (Open quotas+ no shows)]]/Table311[[#This Row],[Quota per Offering]],0)</f>
        <v>0</v>
      </c>
      <c r="R47" s="35">
        <f t="shared" si="5"/>
        <v>11807</v>
      </c>
      <c r="S47" s="166">
        <f ca="1">COUNTIFS(Table2[Course Title],Table311[[#This Row],[Courses - Planned vs Need (Active Courses)]],Table2[Roster Status],"1",Table2[Remaining Courses],"0")</f>
        <v>0</v>
      </c>
      <c r="T47" s="166">
        <f ca="1">COUNTIFS(Table2[Course Title],Table311[[#This Row],[Courses - Planned vs Need (Active Courses)]],Table2[Remaining Courses],"1")</f>
        <v>2</v>
      </c>
      <c r="U47" s="175">
        <f t="shared" si="6"/>
        <v>1</v>
      </c>
      <c r="V47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7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7" s="181">
        <f>SUMIFS(Table2[Open Quotas],Table2[Course Title],Table311[[#This Row],[Courses - Planned vs Need (Active Courses)]],Table2[Remaining Courses],"1",Table2[QTR],"4")</f>
        <v>0</v>
      </c>
      <c r="Y47" s="166">
        <f t="shared" ca="1" si="7"/>
        <v>2000</v>
      </c>
      <c r="Z47" s="166">
        <f>Table311[[#This Row],[Fleet Quota Need]]-Table311[[#This Row],[Total Grads]]</f>
        <v>-193</v>
      </c>
      <c r="AA47" s="178"/>
    </row>
    <row r="48" spans="2:27" ht="31.5" x14ac:dyDescent="0.25">
      <c r="B48" s="585" t="s">
        <v>405</v>
      </c>
      <c r="C48" s="35"/>
      <c r="D48" s="31" t="s">
        <v>392</v>
      </c>
      <c r="E48" s="35">
        <f>COUNTIF(Table2[Course Title],Table311[[#This Row],[Courses - Planned vs Need (Active Courses)]])</f>
        <v>12</v>
      </c>
      <c r="F48" s="35">
        <v>1000</v>
      </c>
      <c r="G48" s="35">
        <f>Table311[[#This Row],[Course Offerings]]*Table311[[#This Row],[Quota per Offering]]</f>
        <v>12000</v>
      </c>
      <c r="H48" s="193">
        <v>0</v>
      </c>
      <c r="I48" s="172">
        <f t="shared" si="4"/>
        <v>12000</v>
      </c>
      <c r="J48" s="583">
        <f>IFERROR(Table311[[#This Row],[Planned Quotas]]/Table311[[#This Row],[Fleet Quota Need]],100%)</f>
        <v>1</v>
      </c>
      <c r="K48" s="165">
        <f>SUMIF(Table2[Course Title],Table311[[#This Row],[Courses - Planned vs Need (Active Courses)]],Table2[Graduates])</f>
        <v>243</v>
      </c>
      <c r="L48" s="165">
        <f>SUMIF(Table2[Course Title],Table311[[#This Row],[Courses - Planned vs Need (Active Courses)]],Table2[Registered])</f>
        <v>762</v>
      </c>
      <c r="M48" s="165">
        <f>SUMIF(Table2[Course Title],Table311[[#This Row],[Courses - Planned vs Need (Active Courses)]],Table2[Waitlisted])</f>
        <v>0</v>
      </c>
      <c r="N48" s="165">
        <f>SUMIF(Table2[Course Title],Table311[[#This Row],[Courses - Planned vs Need (Active Courses)]],Table2[Walk-ins])</f>
        <v>0</v>
      </c>
      <c r="O48" s="35">
        <f>SUMIF(Table2[Course Title],Table311[[#This Row],[Courses - Planned vs Need (Active Courses)]],Table2[No Shows])</f>
        <v>0</v>
      </c>
      <c r="P48" s="166">
        <v>0</v>
      </c>
      <c r="Q48" s="166">
        <f>ROUNDDOWN(Table311[[#This Row],[To date quotas unused (Open quotas+ no shows)]]/Table311[[#This Row],[Quota per Offering]],0)</f>
        <v>0</v>
      </c>
      <c r="R48" s="35">
        <f t="shared" si="5"/>
        <v>11757</v>
      </c>
      <c r="S48" s="166">
        <f ca="1">COUNTIFS(Table2[Course Title],Table311[[#This Row],[Courses - Planned vs Need (Active Courses)]],Table2[Roster Status],"1",Table2[Remaining Courses],"0")</f>
        <v>0</v>
      </c>
      <c r="T48" s="166">
        <f ca="1">COUNTIFS(Table2[Course Title],Table311[[#This Row],[Courses - Planned vs Need (Active Courses)]],Table2[Remaining Courses],"1")</f>
        <v>2</v>
      </c>
      <c r="U48" s="175">
        <f t="shared" si="6"/>
        <v>1</v>
      </c>
      <c r="V48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8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8" s="181">
        <f>SUMIFS(Table2[Open Quotas],Table2[Course Title],Table311[[#This Row],[Courses - Planned vs Need (Active Courses)]],Table2[Remaining Courses],"1",Table2[QTR],"4")</f>
        <v>0</v>
      </c>
      <c r="Y48" s="166">
        <f t="shared" ca="1" si="7"/>
        <v>2000</v>
      </c>
      <c r="Z48" s="166">
        <f>Table311[[#This Row],[Fleet Quota Need]]-Table311[[#This Row],[Total Grads]]</f>
        <v>-243</v>
      </c>
      <c r="AA48" s="178"/>
    </row>
    <row r="49" spans="2:27" ht="31.5" x14ac:dyDescent="0.25">
      <c r="B49" s="585" t="s">
        <v>406</v>
      </c>
      <c r="C49" s="35"/>
      <c r="D49" s="31" t="s">
        <v>392</v>
      </c>
      <c r="E49" s="35">
        <f>COUNTIF(Table2[Course Title],Table311[[#This Row],[Courses - Planned vs Need (Active Courses)]])</f>
        <v>12</v>
      </c>
      <c r="F49" s="35">
        <v>1000</v>
      </c>
      <c r="G49" s="35">
        <f>Table311[[#This Row],[Course Offerings]]*Table311[[#This Row],[Quota per Offering]]</f>
        <v>12000</v>
      </c>
      <c r="H49" s="193">
        <v>0</v>
      </c>
      <c r="I49" s="172">
        <f t="shared" si="4"/>
        <v>12000</v>
      </c>
      <c r="J49" s="583">
        <f>IFERROR(Table311[[#This Row],[Planned Quotas]]/Table311[[#This Row],[Fleet Quota Need]],100%)</f>
        <v>1</v>
      </c>
      <c r="K49" s="165">
        <f>SUMIF(Table2[Course Title],Table311[[#This Row],[Courses - Planned vs Need (Active Courses)]],Table2[Graduates])</f>
        <v>214</v>
      </c>
      <c r="L49" s="165">
        <f>SUMIF(Table2[Course Title],Table311[[#This Row],[Courses - Planned vs Need (Active Courses)]],Table2[Registered])</f>
        <v>762</v>
      </c>
      <c r="M49" s="165">
        <f>SUMIF(Table2[Course Title],Table311[[#This Row],[Courses - Planned vs Need (Active Courses)]],Table2[Waitlisted])</f>
        <v>0</v>
      </c>
      <c r="N49" s="165">
        <f>SUMIF(Table2[Course Title],Table311[[#This Row],[Courses - Planned vs Need (Active Courses)]],Table2[Walk-ins])</f>
        <v>0</v>
      </c>
      <c r="O49" s="35">
        <f>SUMIF(Table2[Course Title],Table311[[#This Row],[Courses - Planned vs Need (Active Courses)]],Table2[No Shows])</f>
        <v>0</v>
      </c>
      <c r="P49" s="166">
        <v>0</v>
      </c>
      <c r="Q49" s="166">
        <f>ROUNDDOWN(Table311[[#This Row],[To date quotas unused (Open quotas+ no shows)]]/Table311[[#This Row],[Quota per Offering]],0)</f>
        <v>0</v>
      </c>
      <c r="R49" s="35">
        <f t="shared" si="5"/>
        <v>11786</v>
      </c>
      <c r="S49" s="166">
        <f ca="1">COUNTIFS(Table2[Course Title],Table311[[#This Row],[Courses - Planned vs Need (Active Courses)]],Table2[Roster Status],"1",Table2[Remaining Courses],"0")</f>
        <v>0</v>
      </c>
      <c r="T49" s="166">
        <f ca="1">COUNTIFS(Table2[Course Title],Table311[[#This Row],[Courses - Planned vs Need (Active Courses)]],Table2[Remaining Courses],"1")</f>
        <v>2</v>
      </c>
      <c r="U49" s="175">
        <f t="shared" si="6"/>
        <v>1</v>
      </c>
      <c r="V49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49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49" s="181">
        <f ca="1">SUMIFS(Table2[Open Quotas],Table2[Course Title],Table311[[#This Row],[Courses - Planned vs Need (Active Courses)]],Table2[Remaining Courses],"1",Table2[QTR],"4")</f>
        <v>0</v>
      </c>
      <c r="Y49" s="166">
        <f t="shared" ca="1" si="7"/>
        <v>2000</v>
      </c>
      <c r="Z49" s="166">
        <f>Table311[[#This Row],[Fleet Quota Need]]-Table311[[#This Row],[Total Grads]]</f>
        <v>-214</v>
      </c>
      <c r="AA49" s="178"/>
    </row>
    <row r="50" spans="2:27" ht="47.25" x14ac:dyDescent="0.25">
      <c r="B50" s="585" t="s">
        <v>407</v>
      </c>
      <c r="C50" s="35"/>
      <c r="D50" s="31" t="s">
        <v>392</v>
      </c>
      <c r="E50" s="35">
        <f>COUNTIF(Table2[Course Title],Table311[[#This Row],[Courses - Planned vs Need (Active Courses)]])</f>
        <v>12</v>
      </c>
      <c r="F50" s="35">
        <v>1000</v>
      </c>
      <c r="G50" s="35">
        <f>Table311[[#This Row],[Course Offerings]]*Table311[[#This Row],[Quota per Offering]]</f>
        <v>12000</v>
      </c>
      <c r="H50" s="193">
        <v>0</v>
      </c>
      <c r="I50" s="172">
        <f t="shared" si="4"/>
        <v>12000</v>
      </c>
      <c r="J50" s="583">
        <f>IFERROR(Table311[[#This Row],[Planned Quotas]]/Table311[[#This Row],[Fleet Quota Need]],100%)</f>
        <v>1</v>
      </c>
      <c r="K50" s="165">
        <f>SUMIF(Table2[Course Title],Table311[[#This Row],[Courses - Planned vs Need (Active Courses)]],Table2[Graduates])</f>
        <v>181</v>
      </c>
      <c r="L50" s="52">
        <f>SUMIF(Table2[Course Title],Table311[[#This Row],[Courses - Planned vs Need (Active Courses)]],Table2[Registered])</f>
        <v>782</v>
      </c>
      <c r="M50" s="52">
        <f>SUMIF(Table2[Course Title],Table311[[#This Row],[Courses - Planned vs Need (Active Courses)]],Table2[Waitlisted])</f>
        <v>0</v>
      </c>
      <c r="N50" s="52">
        <f>SUMIF(Table2[Course Title],Table311[[#This Row],[Courses - Planned vs Need (Active Courses)]],Table2[Walk-ins])</f>
        <v>0</v>
      </c>
      <c r="O50" s="33">
        <f>SUMIF(Table2[Course Title],Table311[[#This Row],[Courses - Planned vs Need (Active Courses)]],Table2[No Shows])</f>
        <v>0</v>
      </c>
      <c r="P50" s="34">
        <v>0</v>
      </c>
      <c r="Q50" s="34">
        <f>ROUNDDOWN(Table311[[#This Row],[To date quotas unused (Open quotas+ no shows)]]/Table311[[#This Row],[Quota per Offering]],0)</f>
        <v>0</v>
      </c>
      <c r="R50" s="33">
        <f t="shared" si="5"/>
        <v>11819</v>
      </c>
      <c r="S50" s="34">
        <f ca="1">COUNTIFS(Table2[Course Title],Table311[[#This Row],[Courses - Planned vs Need (Active Courses)]],Table2[Roster Status],"1",Table2[Remaining Courses],"0")</f>
        <v>1</v>
      </c>
      <c r="T50" s="34">
        <f ca="1">COUNTIFS(Table2[Course Title],Table311[[#This Row],[Courses - Planned vs Need (Active Courses)]],Table2[Remaining Courses],"1")</f>
        <v>2</v>
      </c>
      <c r="U50" s="36">
        <f t="shared" si="6"/>
        <v>1</v>
      </c>
      <c r="V50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0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0" s="180">
        <f>SUMIFS(Table2[Open Quotas],Table2[Course Title],Table311[[#This Row],[Courses - Planned vs Need (Active Courses)]],Table2[Remaining Courses],"1",Table2[QTR],"4")</f>
        <v>0</v>
      </c>
      <c r="Y50" s="34">
        <f t="shared" ca="1" si="7"/>
        <v>3000</v>
      </c>
      <c r="Z50" s="166">
        <f>Table311[[#This Row],[Fleet Quota Need]]-Table311[[#This Row],[Total Grads]]</f>
        <v>-181</v>
      </c>
      <c r="AA50" s="178"/>
    </row>
    <row r="51" spans="2:27" ht="47.25" x14ac:dyDescent="0.25">
      <c r="B51" s="585" t="s">
        <v>408</v>
      </c>
      <c r="C51" s="35"/>
      <c r="D51" s="31" t="s">
        <v>392</v>
      </c>
      <c r="E51" s="35">
        <f>COUNTIF(Table2[Course Title],Table311[[#This Row],[Courses - Planned vs Need (Active Courses)]])</f>
        <v>12</v>
      </c>
      <c r="F51" s="35">
        <v>1000</v>
      </c>
      <c r="G51" s="35">
        <f>Table311[[#This Row],[Course Offerings]]*Table311[[#This Row],[Quota per Offering]]</f>
        <v>12000</v>
      </c>
      <c r="H51" s="193">
        <v>0</v>
      </c>
      <c r="I51" s="172">
        <f t="shared" si="4"/>
        <v>12000</v>
      </c>
      <c r="J51" s="583">
        <f>IFERROR(Table311[[#This Row],[Planned Quotas]]/Table311[[#This Row],[Fleet Quota Need]],100%)</f>
        <v>1</v>
      </c>
      <c r="K51" s="165">
        <f>SUMIF(Table2[Course Title],Table311[[#This Row],[Courses - Planned vs Need (Active Courses)]],Table2[Graduates])</f>
        <v>229</v>
      </c>
      <c r="L51" s="52">
        <f>SUMIF(Table2[Course Title],Table311[[#This Row],[Courses - Planned vs Need (Active Courses)]],Table2[Registered])</f>
        <v>781</v>
      </c>
      <c r="M51" s="52">
        <f>SUMIF(Table2[Course Title],Table311[[#This Row],[Courses - Planned vs Need (Active Courses)]],Table2[Waitlisted])</f>
        <v>0</v>
      </c>
      <c r="N51" s="52">
        <f>SUMIF(Table2[Course Title],Table311[[#This Row],[Courses - Planned vs Need (Active Courses)]],Table2[Walk-ins])</f>
        <v>0</v>
      </c>
      <c r="O51" s="33">
        <f>SUMIF(Table2[Course Title],Table311[[#This Row],[Courses - Planned vs Need (Active Courses)]],Table2[No Shows])</f>
        <v>0</v>
      </c>
      <c r="P51" s="34">
        <v>0</v>
      </c>
      <c r="Q51" s="34">
        <f>ROUNDDOWN(Table311[[#This Row],[To date quotas unused (Open quotas+ no shows)]]/Table311[[#This Row],[Quota per Offering]],0)</f>
        <v>0</v>
      </c>
      <c r="R51" s="33">
        <f t="shared" si="5"/>
        <v>11771</v>
      </c>
      <c r="S51" s="34">
        <f ca="1">COUNTIFS(Table2[Course Title],Table311[[#This Row],[Courses - Planned vs Need (Active Courses)]],Table2[Roster Status],"1",Table2[Remaining Courses],"0")</f>
        <v>0</v>
      </c>
      <c r="T51" s="34">
        <f ca="1">COUNTIFS(Table2[Course Title],Table311[[#This Row],[Courses - Planned vs Need (Active Courses)]],Table2[Remaining Courses],"1")</f>
        <v>2</v>
      </c>
      <c r="U51" s="36">
        <f t="shared" si="6"/>
        <v>1</v>
      </c>
      <c r="V51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1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1" s="180">
        <f>SUMIFS(Table2[Open Quotas],Table2[Course Title],Table311[[#This Row],[Courses - Planned vs Need (Active Courses)]],Table2[Remaining Courses],"1",Table2[QTR],"4")</f>
        <v>0</v>
      </c>
      <c r="Y51" s="34">
        <f t="shared" ca="1" si="7"/>
        <v>2000</v>
      </c>
      <c r="Z51" s="166">
        <f>Table311[[#This Row],[Fleet Quota Need]]-Table311[[#This Row],[Total Grads]]</f>
        <v>-229</v>
      </c>
      <c r="AA51" s="178"/>
    </row>
    <row r="52" spans="2:27" ht="31.5" x14ac:dyDescent="0.25">
      <c r="B52" s="585" t="s">
        <v>409</v>
      </c>
      <c r="C52" s="35"/>
      <c r="D52" s="31" t="s">
        <v>392</v>
      </c>
      <c r="E52" s="35">
        <f>COUNTIF(Table2[Course Title],Table311[[#This Row],[Courses - Planned vs Need (Active Courses)]])</f>
        <v>12</v>
      </c>
      <c r="F52" s="35">
        <v>1000</v>
      </c>
      <c r="G52" s="35">
        <f>Table311[[#This Row],[Course Offerings]]*Table311[[#This Row],[Quota per Offering]]</f>
        <v>12000</v>
      </c>
      <c r="H52" s="193">
        <v>0</v>
      </c>
      <c r="I52" s="172">
        <f t="shared" si="4"/>
        <v>12000</v>
      </c>
      <c r="J52" s="583">
        <f>IFERROR(Table311[[#This Row],[Planned Quotas]]/Table311[[#This Row],[Fleet Quota Need]],100%)</f>
        <v>1</v>
      </c>
      <c r="K52" s="165">
        <f>SUMIF(Table2[Course Title],Table311[[#This Row],[Courses - Planned vs Need (Active Courses)]],Table2[Graduates])</f>
        <v>219</v>
      </c>
      <c r="L52" s="52">
        <f>SUMIF(Table2[Course Title],Table311[[#This Row],[Courses - Planned vs Need (Active Courses)]],Table2[Registered])</f>
        <v>786</v>
      </c>
      <c r="M52" s="52">
        <f>SUMIF(Table2[Course Title],Table311[[#This Row],[Courses - Planned vs Need (Active Courses)]],Table2[Waitlisted])</f>
        <v>0</v>
      </c>
      <c r="N52" s="52">
        <f>SUMIF(Table2[Course Title],Table311[[#This Row],[Courses - Planned vs Need (Active Courses)]],Table2[Walk-ins])</f>
        <v>0</v>
      </c>
      <c r="O52" s="33">
        <f>SUMIF(Table2[Course Title],Table311[[#This Row],[Courses - Planned vs Need (Active Courses)]],Table2[No Shows])</f>
        <v>0</v>
      </c>
      <c r="P52" s="34">
        <v>0</v>
      </c>
      <c r="Q52" s="34">
        <f>ROUNDDOWN(Table311[[#This Row],[To date quotas unused (Open quotas+ no shows)]]/Table311[[#This Row],[Quota per Offering]],0)</f>
        <v>0</v>
      </c>
      <c r="R52" s="33">
        <f t="shared" si="5"/>
        <v>11781</v>
      </c>
      <c r="S52" s="34">
        <f ca="1">COUNTIFS(Table2[Course Title],Table311[[#This Row],[Courses - Planned vs Need (Active Courses)]],Table2[Roster Status],"1",Table2[Remaining Courses],"0")</f>
        <v>1</v>
      </c>
      <c r="T52" s="34">
        <f ca="1">COUNTIFS(Table2[Course Title],Table311[[#This Row],[Courses - Planned vs Need (Active Courses)]],Table2[Remaining Courses],"1")</f>
        <v>2</v>
      </c>
      <c r="U52" s="36">
        <f t="shared" si="6"/>
        <v>1</v>
      </c>
      <c r="V52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2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2" s="180">
        <f ca="1">SUMIFS(Table2[Open Quotas],Table2[Course Title],Table311[[#This Row],[Courses - Planned vs Need (Active Courses)]],Table2[Remaining Courses],"1",Table2[QTR],"4")</f>
        <v>0</v>
      </c>
      <c r="Y52" s="34">
        <f t="shared" ca="1" si="7"/>
        <v>3000</v>
      </c>
      <c r="Z52" s="166">
        <f>Table311[[#This Row],[Fleet Quota Need]]-Table311[[#This Row],[Total Grads]]</f>
        <v>-219</v>
      </c>
      <c r="AA52" s="178"/>
    </row>
    <row r="53" spans="2:27" ht="31.5" x14ac:dyDescent="0.25">
      <c r="B53" s="585" t="s">
        <v>410</v>
      </c>
      <c r="C53" s="35"/>
      <c r="D53" s="31" t="s">
        <v>392</v>
      </c>
      <c r="E53" s="35">
        <f>COUNTIF(Table2[Course Title],Table311[[#This Row],[Courses - Planned vs Need (Active Courses)]])</f>
        <v>12</v>
      </c>
      <c r="F53" s="35">
        <v>1000</v>
      </c>
      <c r="G53" s="35">
        <f>Table311[[#This Row],[Course Offerings]]*Table311[[#This Row],[Quota per Offering]]</f>
        <v>12000</v>
      </c>
      <c r="H53" s="193">
        <v>0</v>
      </c>
      <c r="I53" s="172">
        <f t="shared" si="4"/>
        <v>12000</v>
      </c>
      <c r="J53" s="583">
        <f>IFERROR(Table311[[#This Row],[Planned Quotas]]/Table311[[#This Row],[Fleet Quota Need]],100%)</f>
        <v>1</v>
      </c>
      <c r="K53" s="165">
        <f>SUMIF(Table2[Course Title],Table311[[#This Row],[Courses - Planned vs Need (Active Courses)]],Table2[Graduates])</f>
        <v>224</v>
      </c>
      <c r="L53" s="52">
        <f>SUMIF(Table2[Course Title],Table311[[#This Row],[Courses - Planned vs Need (Active Courses)]],Table2[Registered])</f>
        <v>762</v>
      </c>
      <c r="M53" s="52">
        <f>SUMIF(Table2[Course Title],Table311[[#This Row],[Courses - Planned vs Need (Active Courses)]],Table2[Waitlisted])</f>
        <v>0</v>
      </c>
      <c r="N53" s="52">
        <f>SUMIF(Table2[Course Title],Table311[[#This Row],[Courses - Planned vs Need (Active Courses)]],Table2[Walk-ins])</f>
        <v>0</v>
      </c>
      <c r="O53" s="33">
        <f>SUMIF(Table2[Course Title],Table311[[#This Row],[Courses - Planned vs Need (Active Courses)]],Table2[No Shows])</f>
        <v>0</v>
      </c>
      <c r="P53" s="34">
        <v>0</v>
      </c>
      <c r="Q53" s="34">
        <f>ROUNDDOWN(Table311[[#This Row],[To date quotas unused (Open quotas+ no shows)]]/Table311[[#This Row],[Quota per Offering]],0)</f>
        <v>0</v>
      </c>
      <c r="R53" s="33">
        <f t="shared" si="5"/>
        <v>11776</v>
      </c>
      <c r="S53" s="34">
        <f ca="1">COUNTIFS(Table2[Course Title],Table311[[#This Row],[Courses - Planned vs Need (Active Courses)]],Table2[Roster Status],"1",Table2[Remaining Courses],"0")</f>
        <v>0</v>
      </c>
      <c r="T53" s="34">
        <f ca="1">COUNTIFS(Table2[Course Title],Table311[[#This Row],[Courses - Planned vs Need (Active Courses)]],Table2[Remaining Courses],"1")</f>
        <v>2</v>
      </c>
      <c r="U53" s="36">
        <f t="shared" si="6"/>
        <v>1</v>
      </c>
      <c r="V5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3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3" s="180">
        <f>SUMIFS(Table2[Open Quotas],Table2[Course Title],Table311[[#This Row],[Courses - Planned vs Need (Active Courses)]],Table2[Remaining Courses],"1",Table2[QTR],"4")</f>
        <v>0</v>
      </c>
      <c r="Y53" s="34">
        <f t="shared" ca="1" si="7"/>
        <v>2000</v>
      </c>
      <c r="Z53" s="166">
        <f>Table311[[#This Row],[Fleet Quota Need]]-Table311[[#This Row],[Total Grads]]</f>
        <v>-224</v>
      </c>
      <c r="AA53" s="178"/>
    </row>
    <row r="54" spans="2:27" ht="31.5" x14ac:dyDescent="0.25">
      <c r="B54" s="585" t="s">
        <v>491</v>
      </c>
      <c r="C54" s="35"/>
      <c r="D54" s="31" t="s">
        <v>392</v>
      </c>
      <c r="E54" s="35">
        <f>COUNTIF(Table2[Course Title],Table311[[#This Row],[Courses - Planned vs Need (Active Courses)]])</f>
        <v>11</v>
      </c>
      <c r="F54" s="35">
        <v>1001</v>
      </c>
      <c r="G54" s="35">
        <f>Table311[[#This Row],[Course Offerings]]*Table311[[#This Row],[Quota per Offering]]</f>
        <v>11011</v>
      </c>
      <c r="H54" s="193">
        <v>0</v>
      </c>
      <c r="I54" s="172">
        <f t="shared" si="4"/>
        <v>11011</v>
      </c>
      <c r="J54" s="583">
        <f>IFERROR(Table311[[#This Row],[Planned Quotas]]/Table311[[#This Row],[Fleet Quota Need]],100%)</f>
        <v>1</v>
      </c>
      <c r="K54" s="52">
        <f>SUMIF(Table2[Course Title],Table311[[#This Row],[Courses - Planned vs Need (Active Courses)]],Table2[Graduates])</f>
        <v>9</v>
      </c>
      <c r="L54" s="52">
        <f>SUMIF(Table2[Course Title],Table311[[#This Row],[Courses - Planned vs Need (Active Courses)]],Table2[Registered])</f>
        <v>634</v>
      </c>
      <c r="M54" s="52">
        <f>SUMIF(Table2[Course Title],Table311[[#This Row],[Courses - Planned vs Need (Active Courses)]],Table2[Waitlisted])</f>
        <v>0</v>
      </c>
      <c r="N54" s="52">
        <f>SUMIF(Table2[Course Title],Table311[[#This Row],[Courses - Planned vs Need (Active Courses)]],Table2[Walk-ins])</f>
        <v>0</v>
      </c>
      <c r="O54" s="33">
        <f>SUMIF(Table2[Course Title],Table311[[#This Row],[Courses - Planned vs Need (Active Courses)]],Table2[No Shows])</f>
        <v>0</v>
      </c>
      <c r="P54" s="34">
        <v>0</v>
      </c>
      <c r="Q54" s="34">
        <f>ROUNDDOWN(Table311[[#This Row],[To date quotas unused (Open quotas+ no shows)]]/Table311[[#This Row],[Quota per Offering]],0)</f>
        <v>0</v>
      </c>
      <c r="R54" s="33">
        <f>SUM(G54-K54)</f>
        <v>11002</v>
      </c>
      <c r="S54" s="34">
        <f ca="1">COUNTIFS(Table2[Course Title],Table311[[#This Row],[Courses - Planned vs Need (Active Courses)]],Table2[Roster Status],"1",Table2[Remaining Courses],"0")</f>
        <v>1</v>
      </c>
      <c r="T54" s="34">
        <f ca="1">COUNTIFS(Table2[Course Title],Table311[[#This Row],[Courses - Planned vs Need (Active Courses)]],Table2[Remaining Courses],"1")</f>
        <v>7</v>
      </c>
      <c r="U54" s="175">
        <f>IFERROR((K54/H54),100%)</f>
        <v>1</v>
      </c>
      <c r="V5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4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4" s="180">
        <f ca="1">SUMIFS(Table2[Open Quotas],Table2[Course Title],Table311[[#This Row],[Courses - Planned vs Need (Active Courses)]],Table2[Remaining Courses],"1",Table2[QTR],"4")</f>
        <v>0</v>
      </c>
      <c r="Y54" s="34">
        <f ca="1">SUM(S54,T54)*F54</f>
        <v>8008</v>
      </c>
      <c r="Z54" s="166">
        <f>Table311[[#This Row],[Fleet Quota Need]]-Table311[[#This Row],[Total Grads]]</f>
        <v>-9</v>
      </c>
      <c r="AA54" s="178"/>
    </row>
    <row r="55" spans="2:27" ht="31.5" x14ac:dyDescent="0.25">
      <c r="B55" s="585" t="s">
        <v>488</v>
      </c>
      <c r="C55" s="35"/>
      <c r="D55" s="31" t="s">
        <v>392</v>
      </c>
      <c r="E55" s="35">
        <f>COUNTIF(Table2[Course Title],Table311[[#This Row],[Courses - Planned vs Need (Active Courses)]])</f>
        <v>11</v>
      </c>
      <c r="F55" s="35">
        <v>1002</v>
      </c>
      <c r="G55" s="35">
        <f>Table311[[#This Row],[Course Offerings]]*Table311[[#This Row],[Quota per Offering]]</f>
        <v>11022</v>
      </c>
      <c r="H55" s="193">
        <v>0</v>
      </c>
      <c r="I55" s="172">
        <f t="shared" si="4"/>
        <v>11022</v>
      </c>
      <c r="J55" s="583">
        <f>IFERROR(Table311[[#This Row],[Planned Quotas]]/Table311[[#This Row],[Fleet Quota Need]],100%)</f>
        <v>1</v>
      </c>
      <c r="K55" s="52">
        <f>SUMIF(Table2[Course Title],Table311[[#This Row],[Courses - Planned vs Need (Active Courses)]],Table2[Graduates])</f>
        <v>15</v>
      </c>
      <c r="L55" s="52">
        <f>SUMIF(Table2[Course Title],Table311[[#This Row],[Courses - Planned vs Need (Active Courses)]],Table2[Registered])</f>
        <v>668</v>
      </c>
      <c r="M55" s="52">
        <f>SUMIF(Table2[Course Title],Table311[[#This Row],[Courses - Planned vs Need (Active Courses)]],Table2[Waitlisted])</f>
        <v>0</v>
      </c>
      <c r="N55" s="52">
        <f>SUMIF(Table2[Course Title],Table311[[#This Row],[Courses - Planned vs Need (Active Courses)]],Table2[Walk-ins])</f>
        <v>0</v>
      </c>
      <c r="O55" s="33">
        <f>SUMIF(Table2[Course Title],Table311[[#This Row],[Courses - Planned vs Need (Active Courses)]],Table2[No Shows])</f>
        <v>0</v>
      </c>
      <c r="P55" s="34">
        <v>0</v>
      </c>
      <c r="Q55" s="34">
        <f>ROUNDDOWN(Table311[[#This Row],[To date quotas unused (Open quotas+ no shows)]]/Table311[[#This Row],[Quota per Offering]],0)</f>
        <v>0</v>
      </c>
      <c r="R55" s="33">
        <f>SUM(G55-K55)</f>
        <v>11007</v>
      </c>
      <c r="S55" s="34">
        <f ca="1">COUNTIFS(Table2[Course Title],Table311[[#This Row],[Courses - Planned vs Need (Active Courses)]],Table2[Roster Status],"1",Table2[Remaining Courses],"0")</f>
        <v>3</v>
      </c>
      <c r="T55" s="34">
        <f ca="1">COUNTIFS(Table2[Course Title],Table311[[#This Row],[Courses - Planned vs Need (Active Courses)]],Table2[Remaining Courses],"1")</f>
        <v>5</v>
      </c>
      <c r="U55" s="175">
        <f>IFERROR((K55/H55),100%)</f>
        <v>1</v>
      </c>
      <c r="V55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5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5" s="180">
        <f ca="1">SUMIFS(Table2[Open Quotas],Table2[Course Title],Table311[[#This Row],[Courses - Planned vs Need (Active Courses)]],Table2[Remaining Courses],"1",Table2[QTR],"4")</f>
        <v>0</v>
      </c>
      <c r="Y55" s="34">
        <f ca="1">SUM(S55,T55)*F55</f>
        <v>8016</v>
      </c>
      <c r="Z55" s="166">
        <f>Table311[[#This Row],[Fleet Quota Need]]-Table311[[#This Row],[Total Grads]]</f>
        <v>-15</v>
      </c>
      <c r="AA55" s="178"/>
    </row>
    <row r="56" spans="2:27" ht="31.5" x14ac:dyDescent="0.25">
      <c r="B56" s="585" t="s">
        <v>489</v>
      </c>
      <c r="C56" s="35"/>
      <c r="D56" s="31" t="s">
        <v>392</v>
      </c>
      <c r="E56" s="35">
        <f>COUNTIF(Table2[Course Title],Table311[[#This Row],[Courses - Planned vs Need (Active Courses)]])</f>
        <v>11</v>
      </c>
      <c r="F56" s="35">
        <v>1003</v>
      </c>
      <c r="G56" s="35">
        <f>Table311[[#This Row],[Course Offerings]]*Table311[[#This Row],[Quota per Offering]]</f>
        <v>11033</v>
      </c>
      <c r="H56" s="193">
        <v>0</v>
      </c>
      <c r="I56" s="172">
        <f t="shared" si="4"/>
        <v>11033</v>
      </c>
      <c r="J56" s="583">
        <f>IFERROR(Table311[[#This Row],[Planned Quotas]]/Table311[[#This Row],[Fleet Quota Need]],100%)</f>
        <v>1</v>
      </c>
      <c r="K56" s="52">
        <f>SUMIF(Table2[Course Title],Table311[[#This Row],[Courses - Planned vs Need (Active Courses)]],Table2[Graduates])</f>
        <v>17</v>
      </c>
      <c r="L56" s="52">
        <f>SUMIF(Table2[Course Title],Table311[[#This Row],[Courses - Planned vs Need (Active Courses)]],Table2[Registered])</f>
        <v>668</v>
      </c>
      <c r="M56" s="52">
        <f>SUMIF(Table2[Course Title],Table311[[#This Row],[Courses - Planned vs Need (Active Courses)]],Table2[Waitlisted])</f>
        <v>0</v>
      </c>
      <c r="N56" s="52">
        <f>SUMIF(Table2[Course Title],Table311[[#This Row],[Courses - Planned vs Need (Active Courses)]],Table2[Walk-ins])</f>
        <v>0</v>
      </c>
      <c r="O56" s="33">
        <f>SUMIF(Table2[Course Title],Table311[[#This Row],[Courses - Planned vs Need (Active Courses)]],Table2[No Shows])</f>
        <v>0</v>
      </c>
      <c r="P56" s="34">
        <v>0</v>
      </c>
      <c r="Q56" s="34">
        <f>ROUNDDOWN(Table311[[#This Row],[To date quotas unused (Open quotas+ no shows)]]/Table311[[#This Row],[Quota per Offering]],0)</f>
        <v>0</v>
      </c>
      <c r="R56" s="33">
        <f>SUM(G56-K56)</f>
        <v>11016</v>
      </c>
      <c r="S56" s="34">
        <f ca="1">COUNTIFS(Table2[Course Title],Table311[[#This Row],[Courses - Planned vs Need (Active Courses)]],Table2[Roster Status],"1",Table2[Remaining Courses],"0")</f>
        <v>3</v>
      </c>
      <c r="T56" s="34">
        <f ca="1">COUNTIFS(Table2[Course Title],Table311[[#This Row],[Courses - Planned vs Need (Active Courses)]],Table2[Remaining Courses],"1")</f>
        <v>5</v>
      </c>
      <c r="U56" s="175">
        <f>IFERROR((K56/H56),100%)</f>
        <v>1</v>
      </c>
      <c r="V56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6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6" s="180">
        <f ca="1">SUMIFS(Table2[Open Quotas],Table2[Course Title],Table311[[#This Row],[Courses - Planned vs Need (Active Courses)]],Table2[Remaining Courses],"1",Table2[QTR],"4")</f>
        <v>0</v>
      </c>
      <c r="Y56" s="34">
        <f ca="1">SUM(S56,T56)*F56</f>
        <v>8024</v>
      </c>
      <c r="Z56" s="166">
        <f>Table311[[#This Row],[Fleet Quota Need]]-Table311[[#This Row],[Total Grads]]</f>
        <v>-17</v>
      </c>
      <c r="AA56" s="178"/>
    </row>
    <row r="57" spans="2:27" ht="31.5" x14ac:dyDescent="0.25">
      <c r="B57" s="585" t="s">
        <v>411</v>
      </c>
      <c r="C57" s="35"/>
      <c r="D57" s="31" t="s">
        <v>392</v>
      </c>
      <c r="E57" s="35">
        <f>COUNTIF(Table2[Course Title],Table311[[#This Row],[Courses - Planned vs Need (Active Courses)]])</f>
        <v>12</v>
      </c>
      <c r="F57" s="35">
        <v>1000</v>
      </c>
      <c r="G57" s="35">
        <f>Table311[[#This Row],[Course Offerings]]*Table311[[#This Row],[Quota per Offering]]</f>
        <v>12000</v>
      </c>
      <c r="H57" s="193">
        <v>0</v>
      </c>
      <c r="I57" s="172">
        <f t="shared" si="4"/>
        <v>12000</v>
      </c>
      <c r="J57" s="583">
        <f>IFERROR(Table311[[#This Row],[Planned Quotas]]/Table311[[#This Row],[Fleet Quota Need]],100%)</f>
        <v>1</v>
      </c>
      <c r="K57" s="165">
        <f>SUMIF(Table2[Course Title],Table311[[#This Row],[Courses - Planned vs Need (Active Courses)]],Table2[Graduates])</f>
        <v>185</v>
      </c>
      <c r="L57" s="52">
        <f>SUMIF(Table2[Course Title],Table311[[#This Row],[Courses - Planned vs Need (Active Courses)]],Table2[Registered])</f>
        <v>762</v>
      </c>
      <c r="M57" s="52">
        <f>SUMIF(Table2[Course Title],Table311[[#This Row],[Courses - Planned vs Need (Active Courses)]],Table2[Waitlisted])</f>
        <v>0</v>
      </c>
      <c r="N57" s="52">
        <f>SUMIF(Table2[Course Title],Table311[[#This Row],[Courses - Planned vs Need (Active Courses)]],Table2[Walk-ins])</f>
        <v>0</v>
      </c>
      <c r="O57" s="33">
        <f>SUMIF(Table2[Course Title],Table311[[#This Row],[Courses - Planned vs Need (Active Courses)]],Table2[No Shows])</f>
        <v>0</v>
      </c>
      <c r="P57" s="34">
        <v>0</v>
      </c>
      <c r="Q57" s="34">
        <f>ROUNDDOWN(Table311[[#This Row],[To date quotas unused (Open quotas+ no shows)]]/Table311[[#This Row],[Quota per Offering]],0)</f>
        <v>0</v>
      </c>
      <c r="R57" s="33">
        <f t="shared" si="5"/>
        <v>11815</v>
      </c>
      <c r="S57" s="34">
        <f ca="1">COUNTIFS(Table2[Course Title],Table311[[#This Row],[Courses - Planned vs Need (Active Courses)]],Table2[Roster Status],"1",Table2[Remaining Courses],"0")</f>
        <v>1</v>
      </c>
      <c r="T57" s="34">
        <f ca="1">COUNTIFS(Table2[Course Title],Table311[[#This Row],[Courses - Planned vs Need (Active Courses)]],Table2[Remaining Courses],"1")</f>
        <v>2</v>
      </c>
      <c r="U57" s="175">
        <f t="shared" si="6"/>
        <v>1</v>
      </c>
      <c r="V57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7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7" s="180">
        <f>SUMIFS(Table2[Open Quotas],Table2[Course Title],Table311[[#This Row],[Courses - Planned vs Need (Active Courses)]],Table2[Remaining Courses],"1",Table2[QTR],"4")</f>
        <v>0</v>
      </c>
      <c r="Y57" s="34">
        <f t="shared" ca="1" si="7"/>
        <v>3000</v>
      </c>
      <c r="Z57" s="166">
        <f>Table311[[#This Row],[Fleet Quota Need]]-Table311[[#This Row],[Total Grads]]</f>
        <v>-185</v>
      </c>
      <c r="AA57" s="178"/>
    </row>
    <row r="58" spans="2:27" ht="31.5" x14ac:dyDescent="0.25">
      <c r="B58" s="585" t="s">
        <v>412</v>
      </c>
      <c r="C58" s="35"/>
      <c r="D58" s="31" t="s">
        <v>392</v>
      </c>
      <c r="E58" s="35">
        <f>COUNTIF(Table2[Course Title],Table311[[#This Row],[Courses - Planned vs Need (Active Courses)]])</f>
        <v>12</v>
      </c>
      <c r="F58" s="35">
        <v>1000</v>
      </c>
      <c r="G58" s="35">
        <f>Table311[[#This Row],[Course Offerings]]*Table311[[#This Row],[Quota per Offering]]</f>
        <v>12000</v>
      </c>
      <c r="H58" s="193">
        <v>0</v>
      </c>
      <c r="I58" s="172">
        <f t="shared" si="4"/>
        <v>12000</v>
      </c>
      <c r="J58" s="583">
        <f>IFERROR(Table311[[#This Row],[Planned Quotas]]/Table311[[#This Row],[Fleet Quota Need]],100%)</f>
        <v>1</v>
      </c>
      <c r="K58" s="165">
        <f>SUMIF(Table2[Course Title],Table311[[#This Row],[Courses - Planned vs Need (Active Courses)]],Table2[Graduates])</f>
        <v>245</v>
      </c>
      <c r="L58" s="52">
        <f>SUMIF(Table2[Course Title],Table311[[#This Row],[Courses - Planned vs Need (Active Courses)]],Table2[Registered])</f>
        <v>848</v>
      </c>
      <c r="M58" s="52">
        <f>SUMIF(Table2[Course Title],Table311[[#This Row],[Courses - Planned vs Need (Active Courses)]],Table2[Waitlisted])</f>
        <v>0</v>
      </c>
      <c r="N58" s="52">
        <f>SUMIF(Table2[Course Title],Table311[[#This Row],[Courses - Planned vs Need (Active Courses)]],Table2[Walk-ins])</f>
        <v>0</v>
      </c>
      <c r="O58" s="33">
        <f>SUMIF(Table2[Course Title],Table311[[#This Row],[Courses - Planned vs Need (Active Courses)]],Table2[No Shows])</f>
        <v>0</v>
      </c>
      <c r="P58" s="34">
        <v>0</v>
      </c>
      <c r="Q58" s="34">
        <f>ROUNDDOWN(Table311[[#This Row],[To date quotas unused (Open quotas+ no shows)]]/Table311[[#This Row],[Quota per Offering]],0)</f>
        <v>0</v>
      </c>
      <c r="R58" s="33">
        <f t="shared" si="5"/>
        <v>11755</v>
      </c>
      <c r="S58" s="34">
        <f ca="1">COUNTIFS(Table2[Course Title],Table311[[#This Row],[Courses - Planned vs Need (Active Courses)]],Table2[Roster Status],"1",Table2[Remaining Courses],"0")</f>
        <v>0</v>
      </c>
      <c r="T58" s="34">
        <f ca="1">COUNTIFS(Table2[Course Title],Table311[[#This Row],[Courses - Planned vs Need (Active Courses)]],Table2[Remaining Courses],"1")</f>
        <v>2</v>
      </c>
      <c r="U58" s="36">
        <f t="shared" si="6"/>
        <v>1</v>
      </c>
      <c r="V58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8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8" s="180">
        <f>SUMIFS(Table2[Open Quotas],Table2[Course Title],Table311[[#This Row],[Courses - Planned vs Need (Active Courses)]],Table2[Remaining Courses],"1",Table2[QTR],"4")</f>
        <v>0</v>
      </c>
      <c r="Y58" s="34">
        <f t="shared" ca="1" si="7"/>
        <v>2000</v>
      </c>
      <c r="Z58" s="166">
        <f>Table311[[#This Row],[Fleet Quota Need]]-Table311[[#This Row],[Total Grads]]</f>
        <v>-245</v>
      </c>
      <c r="AA58" s="178"/>
    </row>
    <row r="59" spans="2:27" ht="31.5" x14ac:dyDescent="0.25">
      <c r="B59" s="585" t="s">
        <v>413</v>
      </c>
      <c r="C59" s="35"/>
      <c r="D59" s="31" t="s">
        <v>392</v>
      </c>
      <c r="E59" s="35">
        <f>COUNTIF(Table2[Course Title],Table311[[#This Row],[Courses - Planned vs Need (Active Courses)]])</f>
        <v>12</v>
      </c>
      <c r="F59" s="35">
        <v>1000</v>
      </c>
      <c r="G59" s="35">
        <f>Table311[[#This Row],[Course Offerings]]*Table311[[#This Row],[Quota per Offering]]</f>
        <v>12000</v>
      </c>
      <c r="H59" s="193">
        <v>0</v>
      </c>
      <c r="I59" s="172">
        <f t="shared" si="4"/>
        <v>12000</v>
      </c>
      <c r="J59" s="583">
        <f>IFERROR(Table311[[#This Row],[Planned Quotas]]/Table311[[#This Row],[Fleet Quota Need]],100%)</f>
        <v>1</v>
      </c>
      <c r="K59" s="165">
        <f>SUMIF(Table2[Course Title],Table311[[#This Row],[Courses - Planned vs Need (Active Courses)]],Table2[Graduates])</f>
        <v>207</v>
      </c>
      <c r="L59" s="52">
        <f>SUMIF(Table2[Course Title],Table311[[#This Row],[Courses - Planned vs Need (Active Courses)]],Table2[Registered])</f>
        <v>762</v>
      </c>
      <c r="M59" s="52">
        <f>SUMIF(Table2[Course Title],Table311[[#This Row],[Courses - Planned vs Need (Active Courses)]],Table2[Waitlisted])</f>
        <v>0</v>
      </c>
      <c r="N59" s="52">
        <f>SUMIF(Table2[Course Title],Table311[[#This Row],[Courses - Planned vs Need (Active Courses)]],Table2[Walk-ins])</f>
        <v>0</v>
      </c>
      <c r="O59" s="33">
        <f>SUMIF(Table2[Course Title],Table311[[#This Row],[Courses - Planned vs Need (Active Courses)]],Table2[No Shows])</f>
        <v>0</v>
      </c>
      <c r="P59" s="34">
        <v>0</v>
      </c>
      <c r="Q59" s="34">
        <f>ROUNDDOWN(Table311[[#This Row],[To date quotas unused (Open quotas+ no shows)]]/Table311[[#This Row],[Quota per Offering]],0)</f>
        <v>0</v>
      </c>
      <c r="R59" s="33">
        <f t="shared" si="5"/>
        <v>11793</v>
      </c>
      <c r="S59" s="34">
        <f ca="1">COUNTIFS(Table2[Course Title],Table311[[#This Row],[Courses - Planned vs Need (Active Courses)]],Table2[Roster Status],"1",Table2[Remaining Courses],"0")</f>
        <v>2</v>
      </c>
      <c r="T59" s="34">
        <f ca="1">COUNTIFS(Table2[Course Title],Table311[[#This Row],[Courses - Planned vs Need (Active Courses)]],Table2[Remaining Courses],"1")</f>
        <v>1</v>
      </c>
      <c r="U59" s="36">
        <f t="shared" si="6"/>
        <v>1</v>
      </c>
      <c r="V59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1</v>
      </c>
      <c r="W59" s="42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59" s="180">
        <f>SUMIFS(Table2[Open Quotas],Table2[Course Title],Table311[[#This Row],[Courses - Planned vs Need (Active Courses)]],Table2[Remaining Courses],"1",Table2[QTR],"4")</f>
        <v>0</v>
      </c>
      <c r="Y59" s="34">
        <f t="shared" ca="1" si="7"/>
        <v>3000</v>
      </c>
      <c r="Z59" s="166">
        <f>Table311[[#This Row],[Fleet Quota Need]]-Table311[[#This Row],[Total Grads]]</f>
        <v>-207</v>
      </c>
      <c r="AA59" s="178"/>
    </row>
    <row r="60" spans="2:27" ht="15.75" x14ac:dyDescent="0.25">
      <c r="B60" s="585" t="s">
        <v>414</v>
      </c>
      <c r="C60" s="35"/>
      <c r="D60" s="31" t="s">
        <v>392</v>
      </c>
      <c r="E60" s="35">
        <f>COUNTIF(Table2[Course Title],Table311[[#This Row],[Courses - Planned vs Need (Active Courses)]])</f>
        <v>4</v>
      </c>
      <c r="F60" s="35">
        <v>30</v>
      </c>
      <c r="G60" s="35">
        <f>Table311[[#This Row],[Course Offerings]]*Table311[[#This Row],[Quota per Offering]]</f>
        <v>120</v>
      </c>
      <c r="H60" s="193">
        <v>704</v>
      </c>
      <c r="I60" s="172">
        <f t="shared" si="4"/>
        <v>-584</v>
      </c>
      <c r="J60" s="583">
        <f>IFERROR(Table311[[#This Row],[Planned Quotas]]/Table311[[#This Row],[Fleet Quota Need]],100%)</f>
        <v>0.17045454545454544</v>
      </c>
      <c r="K60" s="165">
        <f>SUMIF(Table2[Course Title],Table311[[#This Row],[Courses - Planned vs Need (Active Courses)]],Table2[Graduates])</f>
        <v>51</v>
      </c>
      <c r="L60" s="165">
        <f>SUMIF(Table2[Course Title],Table311[[#This Row],[Courses - Planned vs Need (Active Courses)]],Table2[Registered])</f>
        <v>78</v>
      </c>
      <c r="M60" s="165">
        <f>SUMIF(Table2[Course Title],Table311[[#This Row],[Courses - Planned vs Need (Active Courses)]],Table2[Waitlisted])</f>
        <v>4</v>
      </c>
      <c r="N60" s="165">
        <f>SUMIF(Table2[Course Title],Table311[[#This Row],[Courses - Planned vs Need (Active Courses)]],Table2[Walk-ins])</f>
        <v>3</v>
      </c>
      <c r="O60" s="35">
        <f>SUMIF(Table2[Course Title],Table311[[#This Row],[Courses - Planned vs Need (Active Courses)]],Table2[No Shows])</f>
        <v>2</v>
      </c>
      <c r="P60" s="166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11</v>
      </c>
      <c r="Q60" s="166">
        <f>ROUNDDOWN(Table311[[#This Row],[To date quotas unused (Open quotas+ no shows)]]/Table311[[#This Row],[Quota per Offering]],0)</f>
        <v>0</v>
      </c>
      <c r="R60" s="35">
        <f t="shared" si="5"/>
        <v>69</v>
      </c>
      <c r="S60" s="166">
        <f ca="1">COUNTIFS(Table2[Course Title],Table311[[#This Row],[Courses - Planned vs Need (Active Courses)]],Table2[Roster Status],"1",Table2[Remaining Courses],"0")</f>
        <v>0</v>
      </c>
      <c r="T60" s="166">
        <f ca="1">COUNTIFS(Table2[Course Title],Table311[[#This Row],[Courses - Planned vs Need (Active Courses)]],Table2[Remaining Courses],"1")</f>
        <v>1</v>
      </c>
      <c r="U60" s="36">
        <f t="shared" si="6"/>
        <v>7.2443181818181823E-2</v>
      </c>
      <c r="V60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0.87777777777777777</v>
      </c>
      <c r="W60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0.97777777777777775</v>
      </c>
      <c r="X60" s="165">
        <f ca="1">SUMIFS(Table2[Open Quotas],Table2[Course Title],Table311[[#This Row],[Courses - Planned vs Need (Active Courses)]],Table2[Remaining Courses],"1",Table2[QTR],"4")</f>
        <v>0</v>
      </c>
      <c r="Y60" s="166">
        <f t="shared" ca="1" si="7"/>
        <v>30</v>
      </c>
      <c r="Z60" s="166">
        <f>Table311[[#This Row],[Fleet Quota Need]]-Table311[[#This Row],[Total Grads]]</f>
        <v>653</v>
      </c>
      <c r="AA60" s="178"/>
    </row>
    <row r="61" spans="2:27" ht="31.5" x14ac:dyDescent="0.25">
      <c r="B61" s="585" t="s">
        <v>236</v>
      </c>
      <c r="C61" s="35"/>
      <c r="D61" s="31" t="s">
        <v>392</v>
      </c>
      <c r="E61" s="35">
        <f>COUNTIF(Table2[Course Title],Table311[[#This Row],[Courses - Planned vs Need (Active Courses)]])</f>
        <v>20</v>
      </c>
      <c r="F61" s="35">
        <v>100</v>
      </c>
      <c r="G61" s="35">
        <f>Table311[[#This Row],[Course Offerings]]*Table311[[#This Row],[Quota per Offering]]</f>
        <v>2000</v>
      </c>
      <c r="H61" s="169">
        <v>2261</v>
      </c>
      <c r="I61" s="35">
        <f t="shared" si="4"/>
        <v>-261</v>
      </c>
      <c r="J61" s="583">
        <f>IFERROR(Table311[[#This Row],[Planned Quotas]]/Table311[[#This Row],[Fleet Quota Need]],100%)</f>
        <v>0.8845643520566121</v>
      </c>
      <c r="K61" s="165">
        <f>SUMIF(Table2[Course Title],Table311[[#This Row],[Courses - Planned vs Need (Active Courses)]],Table2[Graduates])</f>
        <v>1256</v>
      </c>
      <c r="L61" s="165">
        <f>SUMIF(Table2[Course Title],Table311[[#This Row],[Courses - Planned vs Need (Active Courses)]],Table2[Registered])</f>
        <v>1867</v>
      </c>
      <c r="M61" s="165">
        <f>SUMIF(Table2[Course Title],Table311[[#This Row],[Courses - Planned vs Need (Active Courses)]],Table2[Waitlisted])</f>
        <v>18</v>
      </c>
      <c r="N61" s="165">
        <f>SUMIF(Table2[Course Title],Table311[[#This Row],[Courses - Planned vs Need (Active Courses)]],Table2[Walk-ins])</f>
        <v>23</v>
      </c>
      <c r="O61" s="35">
        <f>SUMIF(Table2[Course Title],Table311[[#This Row],[Courses - Planned vs Need (Active Courses)]],Table2[No Shows])</f>
        <v>324</v>
      </c>
      <c r="P61" s="35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713</v>
      </c>
      <c r="Q61" s="166">
        <f>ROUNDDOWN(Table311[[#This Row],[To date quotas unused (Open quotas+ no shows)]]/Table311[[#This Row],[Quota per Offering]],0)</f>
        <v>7</v>
      </c>
      <c r="R61" s="35">
        <f t="shared" si="5"/>
        <v>744</v>
      </c>
      <c r="S61" s="166">
        <f ca="1">COUNTIFS(Table2[Course Title],Table311[[#This Row],[Courses - Planned vs Need (Active Courses)]],Table2[Roster Status],"1",Table2[Remaining Courses],"0")</f>
        <v>1</v>
      </c>
      <c r="T61" s="166">
        <f ca="1">COUNTIFS(Table2[Course Title],Table311[[#This Row],[Courses - Planned vs Need (Active Courses)]],Table2[Remaining Courses],"1")</f>
        <v>2</v>
      </c>
      <c r="U61" s="36">
        <f t="shared" si="6"/>
        <v>0.55550641309155246</v>
      </c>
      <c r="V61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0.58058823529411763</v>
      </c>
      <c r="W61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0.80941176470588239</v>
      </c>
      <c r="X61" s="165">
        <f ca="1">SUMIFS(Table2[Open Quotas],Table2[Course Title],Table311[[#This Row],[Courses - Planned vs Need (Active Courses)]],Table2[Remaining Courses],"1",Table2[QTR],"4")</f>
        <v>0</v>
      </c>
      <c r="Y61" s="166">
        <f t="shared" ca="1" si="7"/>
        <v>300</v>
      </c>
      <c r="Z61" s="166">
        <f>Table311[[#This Row],[Fleet Quota Need]]-Table311[[#This Row],[Total Grads]]</f>
        <v>1005</v>
      </c>
      <c r="AA61" s="178"/>
    </row>
    <row r="62" spans="2:27" ht="15.75" x14ac:dyDescent="0.25">
      <c r="B62" s="585" t="s">
        <v>38</v>
      </c>
      <c r="C62" s="35"/>
      <c r="D62" s="31" t="s">
        <v>392</v>
      </c>
      <c r="E62" s="35">
        <f>COUNTIF(Table2[Course Title],Table311[[#This Row],[Courses - Planned vs Need (Active Courses)]])</f>
        <v>3</v>
      </c>
      <c r="F62" s="35">
        <v>30</v>
      </c>
      <c r="G62" s="35">
        <f>Table311[[#This Row],[Course Offerings]]*Table311[[#This Row],[Quota per Offering]]</f>
        <v>90</v>
      </c>
      <c r="H62" s="193">
        <v>0</v>
      </c>
      <c r="I62" s="172">
        <f t="shared" si="4"/>
        <v>90</v>
      </c>
      <c r="J62" s="583">
        <f>IFERROR(Table311[[#This Row],[Planned Quotas]]/Table311[[#This Row],[Fleet Quota Need]],100%)</f>
        <v>1</v>
      </c>
      <c r="K62" s="165">
        <f>SUMIF(Table2[Course Title],Table311[[#This Row],[Courses - Planned vs Need (Active Courses)]],Table2[Graduates])</f>
        <v>22</v>
      </c>
      <c r="L62" s="165">
        <f>SUMIF(Table2[Course Title],Table311[[#This Row],[Courses - Planned vs Need (Active Courses)]],Table2[Registered])</f>
        <v>55</v>
      </c>
      <c r="M62" s="165">
        <f>SUMIF(Table2[Course Title],Table311[[#This Row],[Courses - Planned vs Need (Active Courses)]],Table2[Waitlisted])</f>
        <v>0</v>
      </c>
      <c r="N62" s="165">
        <f>SUMIF(Table2[Course Title],Table311[[#This Row],[Courses - Planned vs Need (Active Courses)]],Table2[Walk-ins])</f>
        <v>2</v>
      </c>
      <c r="O62" s="35">
        <f>SUMIF(Table2[Course Title],Table311[[#This Row],[Courses - Planned vs Need (Active Courses)]],Table2[No Shows])</f>
        <v>0</v>
      </c>
      <c r="P62" s="166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38</v>
      </c>
      <c r="Q62" s="166">
        <f>ROUNDDOWN(Table311[[#This Row],[To date quotas unused (Open quotas+ no shows)]]/Table311[[#This Row],[Quota per Offering]],0)</f>
        <v>1</v>
      </c>
      <c r="R62" s="35">
        <f t="shared" si="5"/>
        <v>68</v>
      </c>
      <c r="S62" s="166">
        <f ca="1">COUNTIFS(Table2[Course Title],Table311[[#This Row],[Courses - Planned vs Need (Active Courses)]],Table2[Roster Status],"1",Table2[Remaining Courses],"0")</f>
        <v>1</v>
      </c>
      <c r="T62" s="166">
        <f ca="1">COUNTIFS(Table2[Course Title],Table311[[#This Row],[Courses - Planned vs Need (Active Courses)]],Table2[Remaining Courses],"1")</f>
        <v>0</v>
      </c>
      <c r="U62" s="36">
        <f t="shared" si="6"/>
        <v>1</v>
      </c>
      <c r="V62" s="17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0.36666666666666664</v>
      </c>
      <c r="W62" s="177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1</v>
      </c>
      <c r="X62" s="165">
        <f ca="1">SUMIFS(Table2[Open Quotas],Table2[Course Title],Table311[[#This Row],[Courses - Planned vs Need (Active Courses)]],Table2[Remaining Courses],"1",Table2[QTR],"4")</f>
        <v>0</v>
      </c>
      <c r="Y62" s="166">
        <f t="shared" ca="1" si="7"/>
        <v>30</v>
      </c>
      <c r="Z62" s="166">
        <f>Table311[[#This Row],[Fleet Quota Need]]-Table311[[#This Row],[Total Grads]]</f>
        <v>-22</v>
      </c>
      <c r="AA62" s="178"/>
    </row>
    <row r="63" spans="2:27" ht="31.5" x14ac:dyDescent="0.25">
      <c r="B63" s="586" t="s">
        <v>239</v>
      </c>
      <c r="C63" s="33"/>
      <c r="D63" s="31" t="s">
        <v>392</v>
      </c>
      <c r="E63" s="33">
        <f>COUNTIF(Table2[Course Title],Table311[[#This Row],[Courses - Planned vs Need (Active Courses)]])</f>
        <v>5</v>
      </c>
      <c r="F63" s="33">
        <v>25</v>
      </c>
      <c r="G63" s="33">
        <f>Table311[[#This Row],[Course Offerings]]*Table311[[#This Row],[Quota per Offering]]</f>
        <v>125</v>
      </c>
      <c r="H63" s="112">
        <v>120</v>
      </c>
      <c r="I63" s="33">
        <f t="shared" si="4"/>
        <v>5</v>
      </c>
      <c r="J63" s="578">
        <f>IFERROR(Table311[[#This Row],[Planned Quotas]]/Table311[[#This Row],[Fleet Quota Need]],100%)</f>
        <v>1.0416666666666667</v>
      </c>
      <c r="K63" s="52">
        <f>SUMIF(Table2[Course Title],Table311[[#This Row],[Courses - Planned vs Need (Active Courses)]],Table2[Graduates])</f>
        <v>49</v>
      </c>
      <c r="L63" s="33">
        <f>SUMIF(Table2[Course Title],Table311[[#This Row],[Courses - Planned vs Need (Active Courses)]],Table2[Registered])</f>
        <v>73</v>
      </c>
      <c r="M63" s="33">
        <f>SUMIF(Table2[Course Title],Table311[[#This Row],[Courses - Planned vs Need (Active Courses)]],Table2[Waitlisted])</f>
        <v>0</v>
      </c>
      <c r="N63" s="33">
        <f>SUMIF(Table2[Course Title],Table311[[#This Row],[Courses - Planned vs Need (Active Courses)]],Table2[Walk-ins])</f>
        <v>0</v>
      </c>
      <c r="O63" s="33">
        <f>SUMIF(Table2[Course Title],Table311[[#This Row],[Courses - Planned vs Need (Active Courses)]],Table2[No Shows])</f>
        <v>14</v>
      </c>
      <c r="P63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144</v>
      </c>
      <c r="Q63" s="34">
        <f>ROUNDDOWN(Table311[[#This Row],[To date quotas unused (Open quotas+ no shows)]]/Table311[[#This Row],[Quota per Offering]],0)</f>
        <v>5</v>
      </c>
      <c r="R63" s="33">
        <f t="shared" si="5"/>
        <v>76</v>
      </c>
      <c r="S63" s="34">
        <f ca="1">COUNTIFS(Table2[Course Title],Table311[[#This Row],[Courses - Planned vs Need (Active Courses)]],Table2[Roster Status],"1",Table2[Remaining Courses],"0")</f>
        <v>0</v>
      </c>
      <c r="T63" s="34">
        <f ca="1">COUNTIFS(Table2[Course Title],Table311[[#This Row],[Courses - Planned vs Need (Active Courses)]],Table2[Remaining Courses],"1")</f>
        <v>1</v>
      </c>
      <c r="U63" s="36">
        <f t="shared" si="6"/>
        <v>0.40833333333333333</v>
      </c>
      <c r="V63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-0.44</v>
      </c>
      <c r="W63" s="36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0.86</v>
      </c>
      <c r="X63" s="33">
        <f ca="1">SUMIFS(Table2[Open Quotas],Table2[Course Title],Table311[[#This Row],[Courses - Planned vs Need (Active Courses)]],Table2[Remaining Courses],"1",Table2[QTR],"4")</f>
        <v>33</v>
      </c>
      <c r="Y63" s="34">
        <f t="shared" ca="1" si="7"/>
        <v>25</v>
      </c>
      <c r="Z63" s="34">
        <f>Table311[[#This Row],[Fleet Quota Need]]-Table311[[#This Row],[Total Grads]]</f>
        <v>71</v>
      </c>
      <c r="AA63" s="21"/>
    </row>
    <row r="64" spans="2:27" ht="16.5" thickBot="1" x14ac:dyDescent="0.3">
      <c r="B64" s="587" t="s">
        <v>85</v>
      </c>
      <c r="C64" s="588" t="s">
        <v>393</v>
      </c>
      <c r="D64" s="588" t="s">
        <v>388</v>
      </c>
      <c r="E64" s="588">
        <f>COUNTIF(Table2[Course Title],Table311[[#This Row],[Courses - Planned vs Need (Active Courses)]])</f>
        <v>3</v>
      </c>
      <c r="F64" s="588">
        <v>25</v>
      </c>
      <c r="G64" s="588">
        <f>Table311[[#This Row],[Course Offerings]]*Table311[[#This Row],[Quota per Offering]]</f>
        <v>75</v>
      </c>
      <c r="H64" s="589">
        <v>610</v>
      </c>
      <c r="I64" s="588">
        <f t="shared" si="4"/>
        <v>-535</v>
      </c>
      <c r="J64" s="590">
        <f>IFERROR(Table311[[#This Row],[Planned Quotas]]/Table311[[#This Row],[Fleet Quota Need]],100%)</f>
        <v>0.12295081967213115</v>
      </c>
      <c r="K64" s="52">
        <f>SUMIF(Table2[Course Title],Table311[[#This Row],[Courses - Planned vs Need (Active Courses)]],Table2[Graduates])</f>
        <v>33</v>
      </c>
      <c r="L64" s="33">
        <f>SUMIF(Table2[Course Title],Table311[[#This Row],[Courses - Planned vs Need (Active Courses)]],Table2[Registered])</f>
        <v>62</v>
      </c>
      <c r="M64" s="33">
        <f>SUMIF(Table2[Course Title],Table311[[#This Row],[Courses - Planned vs Need (Active Courses)]],Table2[Waitlisted])</f>
        <v>0</v>
      </c>
      <c r="N64" s="33">
        <f>SUMIF(Table2[Course Title],Table311[[#This Row],[Courses - Planned vs Need (Active Courses)]],Table2[Walk-ins])</f>
        <v>4</v>
      </c>
      <c r="O64" s="33">
        <f>SUMIF(Table2[Course Title],Table311[[#This Row],[Courses - Planned vs Need (Active Courses)]],Table2[No Shows])</f>
        <v>4</v>
      </c>
      <c r="P64" s="33">
        <f>SUMIFS(Table2[Quotas],Table2[Course Title],Table311[[#This Row],[Courses - Planned vs Need (Active Courses)]],Table2[Roster Status],0)-SUMIFS(Table2[Graduates],Table2[Course Title],Table311[[#This Row],[Courses - Planned vs Need (Active Courses)]],Table2[Roster Status],0)-SUMIFS(Table2[Fail],Table2[Course Title],Table311[[#This Row],[Courses - Planned vs Need (Active Courses)]],Table2[Roster Status],0)+Table311[[#This Row],[No Shows]]</f>
        <v>21</v>
      </c>
      <c r="Q64" s="34">
        <f>ROUNDDOWN(Table311[[#This Row],[To date quotas unused (Open quotas+ no shows)]]/Table311[[#This Row],[Quota per Offering]],0)</f>
        <v>0</v>
      </c>
      <c r="R64" s="33">
        <f t="shared" si="5"/>
        <v>42</v>
      </c>
      <c r="S64" s="34">
        <f ca="1">COUNTIFS(Table2[Course Title],Table311[[#This Row],[Courses - Planned vs Need (Active Courses)]],Table2[Roster Status],"1",Table2[Remaining Courses],"0")</f>
        <v>1</v>
      </c>
      <c r="T64" s="34">
        <f ca="1">COUNTIFS(Table2[Course Title],Table311[[#This Row],[Courses - Planned vs Need (Active Courses)]],Table2[Remaining Courses],"1")</f>
        <v>0</v>
      </c>
      <c r="U64" s="36">
        <f t="shared" si="6"/>
        <v>5.4098360655737705E-2</v>
      </c>
      <c r="V64" s="36">
        <f ca="1">IFERROR((Table311[[#This Row],[Quota per Offering]]*(Table311[[#This Row],[Course Offerings]]-Table311[[#This Row],['# of course completion reports to be processed]]-Table311[[#This Row],['# of courses remaining]])-Table311[[#This Row],[To date quotas unused (Open quotas+ no shows)]])/(Table311[[#This Row],[Quota per Offering]]*(Table311[[#This Row],[Course Offerings]]-Table311[[#This Row],['# of course completion reports to be processed]]-Table311[[#This Row],['# of courses remaining]])),0)</f>
        <v>0.57999999999999996</v>
      </c>
      <c r="W64" s="36">
        <f ca="1">IFERROR((Table311[[#This Row],[Quota per Offering]]*(Table311[[#This Row],[Course Offerings]]-Table311[[#This Row],['# of course completion reports to be processed]]-Table311[[#This Row],['# of courses remaining]])-Table311[[#This Row],[No Shows]])/(Table311[[#This Row],[Quota per Offering]]*(Table311[[#This Row],[Course Offerings]]-Table311[[#This Row],['# of course completion reports to be processed]]-Table311[[#This Row],['# of courses remaining]])),0)</f>
        <v>0.92</v>
      </c>
      <c r="X64" s="33">
        <f ca="1">SUMIFS(Table2[Open Quotas],Table2[Course Title],Table311[[#This Row],[Courses - Planned vs Need (Active Courses)]],Table2[Remaining Courses],"1",Table2[QTR],"4")</f>
        <v>0</v>
      </c>
      <c r="Y64" s="34">
        <f t="shared" ca="1" si="7"/>
        <v>25</v>
      </c>
      <c r="Z64" s="34">
        <f>Table311[[#This Row],[Fleet Quota Need]]-Table311[[#This Row],[Total Grads]]</f>
        <v>577</v>
      </c>
      <c r="AA64" s="21"/>
    </row>
    <row r="65" spans="2:27" ht="16.5" thickBot="1" x14ac:dyDescent="0.3">
      <c r="B65" s="170" t="s">
        <v>243</v>
      </c>
      <c r="C65" s="55"/>
      <c r="D65" s="55"/>
      <c r="E65" s="55">
        <f>SUM(Table311[Course Offerings])</f>
        <v>636</v>
      </c>
      <c r="F65" s="55">
        <f>SUM(Table311[Quota per Offering])</f>
        <v>22386</v>
      </c>
      <c r="G65" s="55">
        <f>SUM(Table311[Planned Quotas])</f>
        <v>264546</v>
      </c>
      <c r="H65" s="55">
        <f>SUM(Table311[Fleet Quota Need])</f>
        <v>30657</v>
      </c>
      <c r="I65" s="55">
        <f>SUM(Table311[Difference])</f>
        <v>233889</v>
      </c>
      <c r="J65" s="171">
        <f>G65/H65</f>
        <v>8.6292200802426855</v>
      </c>
      <c r="K65" s="56">
        <f>SUM(Table311[Total Grads])</f>
        <v>11887</v>
      </c>
      <c r="L65" s="56">
        <f>SUM(Table311[Total Registered])</f>
        <v>26782</v>
      </c>
      <c r="M65" s="56">
        <f>SUM(Table311[Total Waitlisted])</f>
        <v>163</v>
      </c>
      <c r="N65" s="56">
        <f>SUM(Table311[Total Walk-in])</f>
        <v>555</v>
      </c>
      <c r="O65" s="56">
        <f>SUM(Table311[No Shows])</f>
        <v>1492</v>
      </c>
      <c r="P65" s="56">
        <f>SUM(Table311[To date quotas unused (Open quotas+ no shows)])</f>
        <v>6075</v>
      </c>
      <c r="Q65" s="56">
        <f>SUM(Table311[Sunk Courses due to unused quotas todate])</f>
        <v>137</v>
      </c>
      <c r="R65" s="173">
        <f>SUM(Table311[Grads needed this FY towards planned quotas])</f>
        <v>252659</v>
      </c>
      <c r="S65" s="56">
        <f ca="1">SUM(Table311['# of course completion reports to be processed])</f>
        <v>34</v>
      </c>
      <c r="T65" s="56">
        <f ca="1">SUM(Table311['# of courses remaining])</f>
        <v>110</v>
      </c>
      <c r="U65" s="174">
        <f>K65/H65</f>
        <v>0.38774178817235866</v>
      </c>
      <c r="V65" s="174">
        <f t="shared" ref="V65:W65" si="8">L65/I65</f>
        <v>0.11450730902265605</v>
      </c>
      <c r="W65" s="174">
        <f t="shared" si="8"/>
        <v>18.889308475652626</v>
      </c>
      <c r="X65" s="167">
        <f ca="1">SUM(Table311[Remaining FY26  4 Open Quotas])</f>
        <v>866</v>
      </c>
      <c r="Y65" s="168">
        <f ca="1">SUM(Table311['# of additional grads if all quotas are filled of course results remaining to be processed])</f>
        <v>71003</v>
      </c>
      <c r="Z65" s="168">
        <f>SUM(Table311[Difference between completed and fleet need of completed, potentially remaining quotas, and processed courses])</f>
        <v>18770</v>
      </c>
      <c r="AA65" s="167"/>
    </row>
  </sheetData>
  <mergeCells count="3">
    <mergeCell ref="B3:J3"/>
    <mergeCell ref="K3:U3"/>
    <mergeCell ref="X3:AA3"/>
  </mergeCells>
  <phoneticPr fontId="4" type="noConversion"/>
  <conditionalFormatting sqref="C5:G64 I5:I64 K5:O64 R5:U64 Y5:Z64">
    <cfRule type="cellIs" dxfId="780" priority="6" operator="lessThan">
      <formula>0</formula>
    </cfRule>
  </conditionalFormatting>
  <conditionalFormatting sqref="J5:J64 U5:U64">
    <cfRule type="cellIs" dxfId="779" priority="5" operator="lessThan">
      <formula>1</formula>
    </cfRule>
  </conditionalFormatting>
  <conditionalFormatting sqref="X5:X64">
    <cfRule type="cellIs" dxfId="778" priority="1" operator="greaterThan">
      <formula>0</formula>
    </cfRule>
  </conditionalFormatting>
  <pageMargins left="0.25" right="0.25" top="0.75" bottom="0.75" header="0.3" footer="0.3"/>
  <pageSetup paperSize="5" scale="28" orientation="portrait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0000000}">
          <x14:formula1>
            <xm:f>'TSD-Data'!$A$2:$A$83</xm:f>
          </x14:formula1>
          <xm:sqref>B5:B23 B25:B64</xm:sqref>
        </x14:dataValidation>
        <x14:dataValidation type="list" allowBlank="1" showInputMessage="1" showErrorMessage="1" xr:uid="{AB998C5F-3616-4F93-AA6C-81C36B3EC8D2}">
          <x14:formula1>
            <xm:f>'TSD-Data'!$A$2:$A$80</xm:f>
          </x14:formula1>
          <xm:sqref>B24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">
    <tabColor theme="8"/>
    <pageSetUpPr fitToPage="1"/>
  </sheetPr>
  <dimension ref="A1:BB697"/>
  <sheetViews>
    <sheetView zoomScale="90" zoomScaleNormal="90" workbookViewId="0">
      <selection activeCell="Q1" sqref="Q1:S1048576"/>
    </sheetView>
  </sheetViews>
  <sheetFormatPr defaultColWidth="9.28515625" defaultRowHeight="15" x14ac:dyDescent="0.25"/>
  <cols>
    <col min="1" max="1" width="7.7109375" style="196" customWidth="1"/>
    <col min="2" max="2" width="31.42578125" style="194" customWidth="1"/>
    <col min="3" max="3" width="57" style="3" customWidth="1"/>
    <col min="4" max="4" width="14.42578125" style="2" customWidth="1"/>
    <col min="5" max="5" width="12" style="11" customWidth="1"/>
    <col min="6" max="6" width="24.85546875" style="3" customWidth="1"/>
    <col min="7" max="8" width="12.28515625" style="10" customWidth="1"/>
    <col min="9" max="9" width="9.28515625" style="10" customWidth="1"/>
    <col min="10" max="16" width="14.42578125" style="10" customWidth="1"/>
    <col min="17" max="17" width="17.28515625" style="194" hidden="1" customWidth="1"/>
    <col min="18" max="19" width="14.42578125" style="194" hidden="1" customWidth="1"/>
    <col min="20" max="20" width="14.42578125" style="2" customWidth="1"/>
    <col min="21" max="23" width="9.28515625" style="2" customWidth="1"/>
    <col min="24" max="24" width="14.42578125" style="2" customWidth="1"/>
    <col min="25" max="25" width="9.85546875" style="2" customWidth="1"/>
    <col min="26" max="26" width="15" style="195" customWidth="1"/>
    <col min="27" max="30" width="9.28515625" style="2" customWidth="1"/>
    <col min="31" max="31" width="13.42578125" style="2" hidden="1" customWidth="1"/>
    <col min="32" max="37" width="14.42578125" style="2" hidden="1" customWidth="1"/>
    <col min="38" max="38" width="13.7109375" style="2" hidden="1" customWidth="1"/>
    <col min="39" max="39" width="9.28515625" style="2" hidden="1" customWidth="1"/>
    <col min="40" max="40" width="9.28515625" style="196" hidden="1" customWidth="1"/>
    <col min="41" max="41" width="0" style="196" hidden="1" customWidth="1"/>
    <col min="42" max="16384" width="9.28515625" style="196"/>
  </cols>
  <sheetData>
    <row r="1" spans="2:41" x14ac:dyDescent="0.25">
      <c r="B1" s="194" t="s">
        <v>194</v>
      </c>
      <c r="C1" s="194"/>
    </row>
    <row r="2" spans="2:41" x14ac:dyDescent="0.25">
      <c r="B2" s="3"/>
      <c r="AF2" s="321" t="s">
        <v>415</v>
      </c>
    </row>
    <row r="3" spans="2:41" ht="45.75" thickBot="1" x14ac:dyDescent="0.3">
      <c r="B3" s="23" t="s">
        <v>195</v>
      </c>
      <c r="C3" s="23" t="s">
        <v>8</v>
      </c>
      <c r="D3" s="23" t="s">
        <v>9</v>
      </c>
      <c r="E3" s="82" t="s">
        <v>416</v>
      </c>
      <c r="F3" s="191" t="s">
        <v>11</v>
      </c>
      <c r="G3" s="24" t="s">
        <v>12</v>
      </c>
      <c r="H3" s="24" t="s">
        <v>13</v>
      </c>
      <c r="I3" s="187" t="s">
        <v>417</v>
      </c>
      <c r="J3" s="53" t="s">
        <v>14</v>
      </c>
      <c r="K3" s="53" t="s">
        <v>15</v>
      </c>
      <c r="L3" s="53" t="s">
        <v>16</v>
      </c>
      <c r="M3" s="53" t="s">
        <v>17</v>
      </c>
      <c r="N3" s="53" t="s">
        <v>18</v>
      </c>
      <c r="O3" s="53" t="s">
        <v>19</v>
      </c>
      <c r="P3" s="53" t="s">
        <v>20</v>
      </c>
      <c r="Q3" s="25" t="s">
        <v>21</v>
      </c>
      <c r="R3" s="23" t="s">
        <v>22</v>
      </c>
      <c r="S3" s="25" t="s">
        <v>418</v>
      </c>
      <c r="T3" s="26" t="s">
        <v>23</v>
      </c>
      <c r="U3" s="26" t="s">
        <v>24</v>
      </c>
      <c r="V3" s="26" t="s">
        <v>25</v>
      </c>
      <c r="W3" s="26" t="s">
        <v>419</v>
      </c>
      <c r="X3" s="26" t="s">
        <v>27</v>
      </c>
      <c r="Y3" s="26" t="s">
        <v>28</v>
      </c>
      <c r="Z3" s="25" t="s">
        <v>29</v>
      </c>
      <c r="AA3" s="25" t="s">
        <v>30</v>
      </c>
      <c r="AB3" s="25" t="s">
        <v>31</v>
      </c>
      <c r="AC3" s="25" t="s">
        <v>32</v>
      </c>
      <c r="AD3" s="25" t="s">
        <v>33</v>
      </c>
      <c r="AE3" s="25" t="s">
        <v>420</v>
      </c>
      <c r="AF3" s="493" t="s">
        <v>35</v>
      </c>
      <c r="AG3" s="493" t="s">
        <v>36</v>
      </c>
      <c r="AH3" s="493" t="s">
        <v>37</v>
      </c>
      <c r="AI3" s="494" t="s">
        <v>421</v>
      </c>
      <c r="AJ3" s="494" t="s">
        <v>422</v>
      </c>
      <c r="AK3" s="494" t="s">
        <v>243</v>
      </c>
      <c r="AL3" s="319" t="s">
        <v>423</v>
      </c>
      <c r="AM3" s="499" t="s">
        <v>424</v>
      </c>
      <c r="AN3" s="499" t="s">
        <v>425</v>
      </c>
      <c r="AO3" s="503" t="s">
        <v>426</v>
      </c>
    </row>
    <row r="4" spans="2:41" s="202" customFormat="1" ht="15" customHeight="1" x14ac:dyDescent="0.25">
      <c r="B4" s="530"/>
      <c r="C4" s="530" t="s">
        <v>56</v>
      </c>
      <c r="D4" s="200" t="str">
        <f>VLOOKUP(Table2[[#This Row],[Course Title]],'TSD-Data'!$A$1:$E$83,2,FALSE)</f>
        <v>A-493-0550</v>
      </c>
      <c r="E4" s="200" t="str">
        <f>VLOOKUP(Table2[[#This Row],[Course Title]],'TSD-Data'!$A$1:$E$83,3,FALSE)</f>
        <v>09K5</v>
      </c>
      <c r="F4" s="530" t="s">
        <v>54</v>
      </c>
      <c r="G4" s="531">
        <v>45929</v>
      </c>
      <c r="H4" s="531">
        <v>45932</v>
      </c>
      <c r="I4" s="531" t="s">
        <v>42</v>
      </c>
      <c r="J4" s="532"/>
      <c r="K4" s="533">
        <v>0.33333333333333331</v>
      </c>
      <c r="L4" s="534">
        <v>0.20833333333333334</v>
      </c>
      <c r="M4" s="534">
        <v>0.625</v>
      </c>
      <c r="N4" s="534">
        <v>0.54166666666666663</v>
      </c>
      <c r="O4" s="534">
        <v>8.3333333333333329E-2</v>
      </c>
      <c r="P4" s="534">
        <v>0.875</v>
      </c>
      <c r="Q4" s="535" t="s">
        <v>427</v>
      </c>
      <c r="R4" s="535"/>
      <c r="S4" s="535"/>
      <c r="T4" s="200">
        <f>VLOOKUP(Table2[[#This Row],[Course Title]],'TSD-Data'!$A$1:$E$83,4,FALSE)</f>
        <v>45</v>
      </c>
      <c r="U4" s="200">
        <f>VLOOKUP(Table2[[#This Row],[Course Title]],'TSD-Data'!$A$1:$F$83,6,FALSE)</f>
        <v>32</v>
      </c>
      <c r="V4" s="201">
        <f>VLOOKUP(Table2[[#This Row],[Course Title]],'TSD-Data'!$A$1:$F$83,5,FALSE)</f>
        <v>4</v>
      </c>
      <c r="W4" s="201">
        <v>455</v>
      </c>
      <c r="X4" s="200">
        <f>Table2[[#This Row],[Quotas]]-Table2[[#This Row],[Open Quotas]]</f>
        <v>38</v>
      </c>
      <c r="Y4" s="200">
        <v>0</v>
      </c>
      <c r="Z4" s="201">
        <v>34</v>
      </c>
      <c r="AA4" s="201">
        <v>0</v>
      </c>
      <c r="AB4" s="200">
        <v>0</v>
      </c>
      <c r="AC4" s="200">
        <v>0</v>
      </c>
      <c r="AD4" s="200">
        <v>0</v>
      </c>
      <c r="AE4" s="200" t="s">
        <v>428</v>
      </c>
      <c r="AF4" s="495">
        <f ca="1">Table2[[#This Row],[End Date]]+2-TODAY()</f>
        <v>-310</v>
      </c>
      <c r="AG4" s="496">
        <f>IF(ISBLANK(Table2[[#This Row],[Roster Received by]]),1,0)</f>
        <v>0</v>
      </c>
      <c r="AH4" s="496">
        <f ca="1">IF(Table2[[#This Row],[Start Date]]&gt;TODAY(),1,)</f>
        <v>0</v>
      </c>
      <c r="AI4" s="496">
        <f>IF(ISBLANK(Table2[[#This Row],[Primary Instructor]]),0,1)</f>
        <v>1</v>
      </c>
      <c r="AJ4" s="496">
        <f>IF(ISBLANK(Table2[[#This Row],[Instructor 2]]),0,1)</f>
        <v>0</v>
      </c>
      <c r="AK4" s="496">
        <f>Table2[[#This Row],[Course Length (Hours)]]/(Table2[[#This Row],[1 Instructor]]+Table2[[#This Row],[2 Instructors]])</f>
        <v>32</v>
      </c>
      <c r="AL4" s="318">
        <v>7</v>
      </c>
      <c r="AM4" s="496">
        <v>1</v>
      </c>
      <c r="AN4" s="496" t="str">
        <f>VLOOKUP(Table2[[#This Row],[Course Title]],'TSD-Data'!$A$1:$G$83,7,FALSE)</f>
        <v>N5</v>
      </c>
      <c r="AO4" s="500">
        <f>Table2[[#This Row],[Quotas]]-Table2[[#This Row],[Graduates]]-Table2[[#This Row],[Fail]]</f>
        <v>11</v>
      </c>
    </row>
    <row r="5" spans="2:41" ht="15" customHeight="1" x14ac:dyDescent="0.25">
      <c r="B5" s="530"/>
      <c r="C5" s="530" t="s">
        <v>275</v>
      </c>
      <c r="D5" s="200" t="str">
        <f>VLOOKUP(Table2[[#This Row],[Course Title]],'TSD-Data'!$A$1:$E$83,2,FALSE)</f>
        <v>A-493-0099</v>
      </c>
      <c r="E5" s="200" t="str">
        <f>VLOOKUP(Table2[[#This Row],[Course Title]],'TSD-Data'!$A$1:$E$83,3,FALSE)</f>
        <v>12JW</v>
      </c>
      <c r="F5" s="530" t="s">
        <v>54</v>
      </c>
      <c r="G5" s="531">
        <v>45930</v>
      </c>
      <c r="H5" s="531">
        <v>45932</v>
      </c>
      <c r="I5" s="531" t="s">
        <v>42</v>
      </c>
      <c r="J5" s="532"/>
      <c r="K5" s="536">
        <v>0.5</v>
      </c>
      <c r="L5" s="536">
        <v>0.375</v>
      </c>
      <c r="M5" s="536">
        <v>0.79166666666666663</v>
      </c>
      <c r="N5" s="536">
        <v>0.75</v>
      </c>
      <c r="O5" s="536">
        <v>0.25</v>
      </c>
      <c r="P5" s="536">
        <v>4.1666666666666664E-2</v>
      </c>
      <c r="Q5" s="535" t="s">
        <v>274</v>
      </c>
      <c r="R5" s="535"/>
      <c r="S5" s="535"/>
      <c r="T5" s="200">
        <f>VLOOKUP(Table2[[#This Row],[Course Title]],'TSD-Data'!$A$1:$E$83,4,FALSE)</f>
        <v>45</v>
      </c>
      <c r="U5" s="200">
        <f>VLOOKUP(Table2[[#This Row],[Course Title]],'TSD-Data'!$A$1:$F$83,6,FALSE)</f>
        <v>24</v>
      </c>
      <c r="V5" s="201">
        <f>VLOOKUP(Table2[[#This Row],[Course Title]],'TSD-Data'!$A$1:$F$83,5,FALSE)</f>
        <v>3</v>
      </c>
      <c r="W5" s="201">
        <v>1041</v>
      </c>
      <c r="X5" s="200">
        <f>Table2[[#This Row],[Quotas]]-Table2[[#This Row],[Open Quotas]]</f>
        <v>35</v>
      </c>
      <c r="Y5" s="200">
        <v>0</v>
      </c>
      <c r="Z5" s="201">
        <v>27</v>
      </c>
      <c r="AA5" s="201">
        <v>2</v>
      </c>
      <c r="AB5" s="200">
        <v>0</v>
      </c>
      <c r="AC5" s="200">
        <v>0</v>
      </c>
      <c r="AD5" s="200">
        <v>0</v>
      </c>
      <c r="AE5" s="200" t="s">
        <v>429</v>
      </c>
      <c r="AF5" s="495">
        <f ca="1">Table2[[#This Row],[End Date]]+2-TODAY()</f>
        <v>-310</v>
      </c>
      <c r="AG5" s="496">
        <f>IF(ISBLANK(Table2[[#This Row],[Roster Received by]]),1,0)</f>
        <v>0</v>
      </c>
      <c r="AH5" s="496">
        <f ca="1">IF(Table2[[#This Row],[Start Date]]&gt;TODAY(),1,)</f>
        <v>0</v>
      </c>
      <c r="AI5" s="496">
        <f>IF(ISBLANK(Table2[[#This Row],[Primary Instructor]]),0,1)</f>
        <v>1</v>
      </c>
      <c r="AJ5" s="496">
        <f>IF(ISBLANK(Table2[[#This Row],[Instructor 2]]),0,1)</f>
        <v>0</v>
      </c>
      <c r="AK5" s="496">
        <f>Table2[[#This Row],[Course Length (Hours)]]/(Table2[[#This Row],[1 Instructor]]+Table2[[#This Row],[2 Instructors]])</f>
        <v>24</v>
      </c>
      <c r="AL5" s="318">
        <v>10</v>
      </c>
      <c r="AM5" s="496">
        <v>1</v>
      </c>
      <c r="AN5" s="496" t="str">
        <f>VLOOKUP(Table2[[#This Row],[Course Title]],'TSD-Data'!$A$1:$G$83,7,FALSE)</f>
        <v>N5</v>
      </c>
      <c r="AO5" s="500">
        <f>Table2[[#This Row],[Quotas]]-Table2[[#This Row],[Graduates]]-Table2[[#This Row],[Fail]]</f>
        <v>16</v>
      </c>
    </row>
    <row r="6" spans="2:41" s="202" customFormat="1" ht="15" customHeight="1" x14ac:dyDescent="0.25">
      <c r="B6" s="530" t="s">
        <v>430</v>
      </c>
      <c r="C6" s="530" t="s">
        <v>99</v>
      </c>
      <c r="D6" s="200" t="str">
        <f>VLOOKUP(Table2[[#This Row],[Course Title]],'TSD-Data'!$A$1:$E$83,2,FALSE)</f>
        <v>A-493-2501</v>
      </c>
      <c r="E6" s="200" t="str">
        <f>VLOOKUP(Table2[[#This Row],[Course Title]],'TSD-Data'!$A$1:$E$83,3,FALSE)</f>
        <v>05ZE</v>
      </c>
      <c r="F6" s="530" t="s">
        <v>91</v>
      </c>
      <c r="G6" s="531">
        <v>45932</v>
      </c>
      <c r="H6" s="531">
        <v>45932</v>
      </c>
      <c r="I6" s="531" t="s">
        <v>42</v>
      </c>
      <c r="J6" s="532">
        <v>0.33333333333333331</v>
      </c>
      <c r="K6" s="532"/>
      <c r="L6" s="531"/>
      <c r="M6" s="531"/>
      <c r="N6" s="531"/>
      <c r="O6" s="531"/>
      <c r="P6" s="531"/>
      <c r="Q6" s="535" t="s">
        <v>48</v>
      </c>
      <c r="R6" s="535"/>
      <c r="S6" s="535"/>
      <c r="T6" s="200">
        <f>VLOOKUP(Table2[[#This Row],[Course Title]],'TSD-Data'!$A$1:$E$83,4,FALSE)</f>
        <v>30</v>
      </c>
      <c r="U6" s="200">
        <f>VLOOKUP(Table2[[#This Row],[Course Title]],'TSD-Data'!$A$1:$F$83,6,FALSE)</f>
        <v>8</v>
      </c>
      <c r="V6" s="201">
        <f>VLOOKUP(Table2[[#This Row],[Course Title]],'TSD-Data'!$A$1:$F$83,5,FALSE)</f>
        <v>1</v>
      </c>
      <c r="W6" s="201"/>
      <c r="X6" s="200">
        <f>Table2[[#This Row],[Quotas]]-Table2[[#This Row],[Open Quotas]]</f>
        <v>14</v>
      </c>
      <c r="Y6" s="200">
        <v>0</v>
      </c>
      <c r="Z6" s="201">
        <v>0</v>
      </c>
      <c r="AA6" s="201">
        <v>0</v>
      </c>
      <c r="AB6" s="200">
        <v>0</v>
      </c>
      <c r="AC6" s="200">
        <v>0</v>
      </c>
      <c r="AD6" s="200">
        <v>0</v>
      </c>
      <c r="AE6" s="200" t="s">
        <v>428</v>
      </c>
      <c r="AF6" s="495">
        <f ca="1">Table2[[#This Row],[End Date]]+2-TODAY()</f>
        <v>-310</v>
      </c>
      <c r="AG6" s="496">
        <f>IF(ISBLANK(Table2[[#This Row],[Roster Received by]]),1,0)</f>
        <v>0</v>
      </c>
      <c r="AH6" s="496">
        <f ca="1">IF(Table2[[#This Row],[Start Date]]&gt;TODAY(),1,)</f>
        <v>0</v>
      </c>
      <c r="AI6" s="496">
        <f>IF(ISBLANK(Table2[[#This Row],[Primary Instructor]]),0,1)</f>
        <v>1</v>
      </c>
      <c r="AJ6" s="496">
        <f>IF(ISBLANK(Table2[[#This Row],[Instructor 2]]),0,1)</f>
        <v>0</v>
      </c>
      <c r="AK6" s="496">
        <f>Table2[[#This Row],[Course Length (Hours)]]/(Table2[[#This Row],[1 Instructor]]+Table2[[#This Row],[2 Instructors]])</f>
        <v>8</v>
      </c>
      <c r="AL6" s="318">
        <v>16</v>
      </c>
      <c r="AM6" s="496">
        <v>1</v>
      </c>
      <c r="AN6" s="496" t="str">
        <f>VLOOKUP(Table2[[#This Row],[Course Title]],'TSD-Data'!$A$1:$G$83,7,FALSE)</f>
        <v>N4</v>
      </c>
      <c r="AO6" s="500">
        <f>Table2[[#This Row],[Quotas]]-Table2[[#This Row],[Graduates]]-Table2[[#This Row],[Fail]]</f>
        <v>30</v>
      </c>
    </row>
    <row r="7" spans="2:41" s="202" customFormat="1" ht="15" customHeight="1" x14ac:dyDescent="0.25">
      <c r="B7" s="530"/>
      <c r="C7" s="530" t="s">
        <v>276</v>
      </c>
      <c r="D7" s="200" t="str">
        <f>VLOOKUP(Table2[[#This Row],[Course Title]],'TSD-Data'!$A$1:$E$83,2,FALSE)</f>
        <v>A-493-0103</v>
      </c>
      <c r="E7" s="200" t="str">
        <f>VLOOKUP(Table2[[#This Row],[Course Title]],'TSD-Data'!$A$1:$E$83,3,FALSE)</f>
        <v>12JY</v>
      </c>
      <c r="F7" s="321" t="s">
        <v>97</v>
      </c>
      <c r="G7" s="531">
        <v>45936</v>
      </c>
      <c r="H7" s="531">
        <v>45940</v>
      </c>
      <c r="I7" s="531" t="s">
        <v>42</v>
      </c>
      <c r="J7" s="532">
        <v>0.33333333333333331</v>
      </c>
      <c r="K7" s="534"/>
      <c r="L7" s="537"/>
      <c r="M7" s="537"/>
      <c r="N7" s="537"/>
      <c r="O7" s="537"/>
      <c r="P7" s="537"/>
      <c r="Q7" s="535" t="s">
        <v>280</v>
      </c>
      <c r="R7" s="535"/>
      <c r="S7" s="535"/>
      <c r="T7" s="200">
        <f>VLOOKUP(Table2[[#This Row],[Course Title]],'TSD-Data'!$A$1:$E$83,4,FALSE)</f>
        <v>25</v>
      </c>
      <c r="U7" s="200">
        <f>VLOOKUP(Table2[[#This Row],[Course Title]],'TSD-Data'!$A$1:$F$83,6,FALSE)</f>
        <v>40</v>
      </c>
      <c r="V7" s="201">
        <f>VLOOKUP(Table2[[#This Row],[Course Title]],'TSD-Data'!$A$1:$F$83,5,FALSE)</f>
        <v>5</v>
      </c>
      <c r="W7" s="201">
        <v>10</v>
      </c>
      <c r="X7" s="200">
        <f>Table2[[#This Row],[Quotas]]-Table2[[#This Row],[Open Quotas]]</f>
        <v>25</v>
      </c>
      <c r="Y7" s="200">
        <v>0</v>
      </c>
      <c r="Z7" s="201">
        <v>26</v>
      </c>
      <c r="AA7" s="201">
        <v>0</v>
      </c>
      <c r="AB7" s="200">
        <v>0</v>
      </c>
      <c r="AC7" s="200">
        <v>0</v>
      </c>
      <c r="AD7" s="200">
        <v>2</v>
      </c>
      <c r="AE7" s="200" t="s">
        <v>431</v>
      </c>
      <c r="AF7" s="495">
        <f ca="1">Table2[[#This Row],[End Date]]+2-TODAY()</f>
        <v>-302</v>
      </c>
      <c r="AG7" s="496">
        <f>IF(ISBLANK(Table2[[#This Row],[Roster Received by]]),1,0)</f>
        <v>0</v>
      </c>
      <c r="AH7" s="496">
        <f ca="1">IF(Table2[[#This Row],[Start Date]]&gt;TODAY(),1,)</f>
        <v>0</v>
      </c>
      <c r="AI7" s="496">
        <f>IF(ISBLANK(Table2[[#This Row],[Primary Instructor]]),0,1)</f>
        <v>1</v>
      </c>
      <c r="AJ7" s="496">
        <f>IF(ISBLANK(Table2[[#This Row],[Instructor 2]]),0,1)</f>
        <v>0</v>
      </c>
      <c r="AK7" s="496">
        <f>Table2[[#This Row],[Course Length (Hours)]]/(Table2[[#This Row],[1 Instructor]]+Table2[[#This Row],[2 Instructors]])</f>
        <v>40</v>
      </c>
      <c r="AL7" s="318">
        <v>0</v>
      </c>
      <c r="AM7" s="496">
        <v>1</v>
      </c>
      <c r="AN7" s="496" t="str">
        <f>VLOOKUP(Table2[[#This Row],[Course Title]],'TSD-Data'!$A$1:$G$83,7,FALSE)</f>
        <v>N5</v>
      </c>
      <c r="AO7" s="500">
        <f>Table2[[#This Row],[Quotas]]-Table2[[#This Row],[Graduates]]-Table2[[#This Row],[Fail]]</f>
        <v>-1</v>
      </c>
    </row>
    <row r="8" spans="2:41" s="202" customFormat="1" ht="15" customHeight="1" x14ac:dyDescent="0.25">
      <c r="B8" s="530"/>
      <c r="C8" s="530" t="s">
        <v>271</v>
      </c>
      <c r="D8" s="200" t="str">
        <f>VLOOKUP(Table2[[#This Row],[Course Title]],'TSD-Data'!$A$1:$E$83,2,FALSE)</f>
        <v>A-493-0061</v>
      </c>
      <c r="E8" s="200" t="str">
        <f>VLOOKUP(Table2[[#This Row],[Course Title]],'TSD-Data'!$A$1:$E$83,3,FALSE)</f>
        <v>288E</v>
      </c>
      <c r="F8" s="530" t="s">
        <v>54</v>
      </c>
      <c r="G8" s="531">
        <v>45936</v>
      </c>
      <c r="H8" s="531">
        <v>45939</v>
      </c>
      <c r="I8" s="531" t="s">
        <v>42</v>
      </c>
      <c r="J8" s="532"/>
      <c r="K8" s="533">
        <v>0.33333333333333331</v>
      </c>
      <c r="L8" s="534">
        <v>0.20833333333333334</v>
      </c>
      <c r="M8" s="534">
        <v>0.625</v>
      </c>
      <c r="N8" s="534">
        <v>0.54166666666666663</v>
      </c>
      <c r="O8" s="534">
        <v>8.3333333333333329E-2</v>
      </c>
      <c r="P8" s="534">
        <v>0.875</v>
      </c>
      <c r="Q8" s="535" t="s">
        <v>148</v>
      </c>
      <c r="R8" s="535"/>
      <c r="S8" s="535"/>
      <c r="T8" s="200">
        <f>VLOOKUP(Table2[[#This Row],[Course Title]],'TSD-Data'!$A$1:$E$83,4,FALSE)</f>
        <v>45</v>
      </c>
      <c r="U8" s="200">
        <f>VLOOKUP(Table2[[#This Row],[Course Title]],'TSD-Data'!$A$1:$F$83,6,FALSE)</f>
        <v>30</v>
      </c>
      <c r="V8" s="201">
        <f>VLOOKUP(Table2[[#This Row],[Course Title]],'TSD-Data'!$A$1:$F$83,5,FALSE)</f>
        <v>4</v>
      </c>
      <c r="W8" s="201">
        <v>366</v>
      </c>
      <c r="X8" s="200">
        <f>Table2[[#This Row],[Quotas]]-Table2[[#This Row],[Open Quotas]]</f>
        <v>23</v>
      </c>
      <c r="Y8" s="200">
        <v>0</v>
      </c>
      <c r="Z8" s="201">
        <v>20</v>
      </c>
      <c r="AA8" s="201">
        <v>0</v>
      </c>
      <c r="AB8" s="200">
        <v>0</v>
      </c>
      <c r="AC8" s="200">
        <v>0</v>
      </c>
      <c r="AD8" s="200">
        <v>0</v>
      </c>
      <c r="AE8" s="200" t="s">
        <v>431</v>
      </c>
      <c r="AF8" s="495">
        <f ca="1">Table2[[#This Row],[End Date]]+2-TODAY()</f>
        <v>-303</v>
      </c>
      <c r="AG8" s="496">
        <f>IF(ISBLANK(Table2[[#This Row],[Roster Received by]]),1,0)</f>
        <v>0</v>
      </c>
      <c r="AH8" s="496">
        <f ca="1">IF(Table2[[#This Row],[Start Date]]&gt;TODAY(),1,)</f>
        <v>0</v>
      </c>
      <c r="AI8" s="496">
        <f>IF(ISBLANK(Table2[[#This Row],[Primary Instructor]]),0,1)</f>
        <v>1</v>
      </c>
      <c r="AJ8" s="496">
        <f>IF(ISBLANK(Table2[[#This Row],[Instructor 2]]),0,1)</f>
        <v>0</v>
      </c>
      <c r="AK8" s="496">
        <f>Table2[[#This Row],[Course Length (Hours)]]/(Table2[[#This Row],[1 Instructor]]+Table2[[#This Row],[2 Instructors]])</f>
        <v>30</v>
      </c>
      <c r="AL8" s="318">
        <v>22</v>
      </c>
      <c r="AM8" s="496">
        <v>1</v>
      </c>
      <c r="AN8" s="496" t="str">
        <f>VLOOKUP(Table2[[#This Row],[Course Title]],'TSD-Data'!$A$1:$G$83,7,FALSE)</f>
        <v>N5</v>
      </c>
      <c r="AO8" s="500">
        <f>Table2[[#This Row],[Quotas]]-Table2[[#This Row],[Graduates]]-Table2[[#This Row],[Fail]]</f>
        <v>25</v>
      </c>
    </row>
    <row r="9" spans="2:41" s="202" customFormat="1" ht="15" customHeight="1" x14ac:dyDescent="0.25">
      <c r="B9" s="530"/>
      <c r="C9" s="530" t="s">
        <v>213</v>
      </c>
      <c r="D9" s="200" t="str">
        <f>VLOOKUP(Table2[[#This Row],[Course Title]],'TSD-Data'!$A$1:$E$83,2,FALSE)</f>
        <v>A-322-2604</v>
      </c>
      <c r="E9" s="200" t="str">
        <f>VLOOKUP(Table2[[#This Row],[Course Title]],'TSD-Data'!$A$1:$E$83,3,FALSE)</f>
        <v>10ZZ</v>
      </c>
      <c r="F9" s="530" t="s">
        <v>54</v>
      </c>
      <c r="G9" s="531">
        <v>45936</v>
      </c>
      <c r="H9" s="531">
        <v>45938</v>
      </c>
      <c r="I9" s="531" t="s">
        <v>42</v>
      </c>
      <c r="J9" s="532"/>
      <c r="K9" s="533">
        <v>0.33333333333333331</v>
      </c>
      <c r="L9" s="534">
        <v>0.20833333333333334</v>
      </c>
      <c r="M9" s="534">
        <v>0.625</v>
      </c>
      <c r="N9" s="534">
        <v>0.54166666666666663</v>
      </c>
      <c r="O9" s="534">
        <v>8.3333333333333329E-2</v>
      </c>
      <c r="P9" s="534">
        <v>0.875</v>
      </c>
      <c r="Q9" s="535" t="s">
        <v>432</v>
      </c>
      <c r="R9" s="535"/>
      <c r="S9" s="535"/>
      <c r="T9" s="200">
        <f>VLOOKUP(Table2[[#This Row],[Course Title]],'TSD-Data'!$A$1:$E$83,4,FALSE)</f>
        <v>45</v>
      </c>
      <c r="U9" s="200">
        <f>VLOOKUP(Table2[[#This Row],[Course Title]],'TSD-Data'!$A$1:$F$83,6,FALSE)</f>
        <v>24</v>
      </c>
      <c r="V9" s="201">
        <f>VLOOKUP(Table2[[#This Row],[Course Title]],'TSD-Data'!$A$1:$F$83,5,FALSE)</f>
        <v>3</v>
      </c>
      <c r="W9" s="201">
        <v>316</v>
      </c>
      <c r="X9" s="200">
        <f>Table2[[#This Row],[Quotas]]-Table2[[#This Row],[Open Quotas]]</f>
        <v>45</v>
      </c>
      <c r="Y9" s="200">
        <v>2</v>
      </c>
      <c r="Z9" s="201">
        <v>36</v>
      </c>
      <c r="AA9" s="201">
        <v>0</v>
      </c>
      <c r="AB9" s="200">
        <v>0</v>
      </c>
      <c r="AC9" s="200">
        <v>2</v>
      </c>
      <c r="AD9" s="200">
        <v>0</v>
      </c>
      <c r="AE9" s="200" t="s">
        <v>431</v>
      </c>
      <c r="AF9" s="495">
        <f ca="1">Table2[[#This Row],[End Date]]+2-TODAY()</f>
        <v>-304</v>
      </c>
      <c r="AG9" s="496">
        <f>IF(ISBLANK(Table2[[#This Row],[Roster Received by]]),1,0)</f>
        <v>0</v>
      </c>
      <c r="AH9" s="496">
        <f ca="1">IF(Table2[[#This Row],[Start Date]]&gt;TODAY(),1,)</f>
        <v>0</v>
      </c>
      <c r="AI9" s="496">
        <f>IF(ISBLANK(Table2[[#This Row],[Primary Instructor]]),0,1)</f>
        <v>1</v>
      </c>
      <c r="AJ9" s="496">
        <f>IF(ISBLANK(Table2[[#This Row],[Instructor 2]]),0,1)</f>
        <v>0</v>
      </c>
      <c r="AK9" s="496">
        <f>Table2[[#This Row],[Course Length (Hours)]]/(Table2[[#This Row],[1 Instructor]]+Table2[[#This Row],[2 Instructors]])</f>
        <v>24</v>
      </c>
      <c r="AL9" s="318">
        <v>0</v>
      </c>
      <c r="AM9" s="496">
        <v>1</v>
      </c>
      <c r="AN9" s="496" t="str">
        <f>VLOOKUP(Table2[[#This Row],[Course Title]],'TSD-Data'!$A$1:$G$83,7,FALSE)</f>
        <v>N8</v>
      </c>
      <c r="AO9" s="500">
        <f>Table2[[#This Row],[Quotas]]-Table2[[#This Row],[Graduates]]-Table2[[#This Row],[Fail]]</f>
        <v>9</v>
      </c>
    </row>
    <row r="10" spans="2:41" s="202" customFormat="1" ht="15" customHeight="1" x14ac:dyDescent="0.25">
      <c r="B10" s="530"/>
      <c r="C10" s="530" t="s">
        <v>53</v>
      </c>
      <c r="D10" s="200" t="str">
        <f>VLOOKUP(Table2[[#This Row],[Course Title]],'TSD-Data'!$A$1:$E$83,2,FALSE)</f>
        <v>A-493-0078</v>
      </c>
      <c r="E10" s="200">
        <f>VLOOKUP(Table2[[#This Row],[Course Title]],'TSD-Data'!$A$1:$E$83,3,FALSE)</f>
        <v>1228</v>
      </c>
      <c r="F10" s="530" t="s">
        <v>54</v>
      </c>
      <c r="G10" s="531">
        <v>45936</v>
      </c>
      <c r="H10" s="531">
        <v>45939</v>
      </c>
      <c r="I10" s="531" t="s">
        <v>42</v>
      </c>
      <c r="J10" s="532"/>
      <c r="K10" s="536">
        <v>0.33333333333333331</v>
      </c>
      <c r="L10" s="532">
        <v>0.20833333333333334</v>
      </c>
      <c r="M10" s="532">
        <v>0.625</v>
      </c>
      <c r="N10" s="532">
        <v>0.54166666666666663</v>
      </c>
      <c r="O10" s="532">
        <v>8.3333333333333329E-2</v>
      </c>
      <c r="P10" s="532">
        <v>0.875</v>
      </c>
      <c r="Q10" s="535" t="s">
        <v>55</v>
      </c>
      <c r="R10" s="535"/>
      <c r="S10" s="535"/>
      <c r="T10" s="200">
        <f>VLOOKUP(Table2[[#This Row],[Course Title]],'TSD-Data'!$A$1:$E$83,4,FALSE)</f>
        <v>45</v>
      </c>
      <c r="U10" s="200">
        <f>VLOOKUP(Table2[[#This Row],[Course Title]],'TSD-Data'!$A$1:$F$83,6,FALSE)</f>
        <v>32</v>
      </c>
      <c r="V10" s="201">
        <f>VLOOKUP(Table2[[#This Row],[Course Title]],'TSD-Data'!$A$1:$F$83,5,FALSE)</f>
        <v>4</v>
      </c>
      <c r="W10" s="201">
        <v>454</v>
      </c>
      <c r="X10" s="200">
        <f>Table2[[#This Row],[Quotas]]-Table2[[#This Row],[Open Quotas]]</f>
        <v>40</v>
      </c>
      <c r="Y10" s="200">
        <v>0</v>
      </c>
      <c r="Z10" s="201">
        <v>27</v>
      </c>
      <c r="AA10" s="201">
        <v>3</v>
      </c>
      <c r="AB10" s="200">
        <v>0</v>
      </c>
      <c r="AC10" s="200">
        <v>0</v>
      </c>
      <c r="AD10" s="200">
        <v>0</v>
      </c>
      <c r="AE10" s="200" t="s">
        <v>431</v>
      </c>
      <c r="AF10" s="495">
        <f ca="1">Table2[[#This Row],[End Date]]+2-TODAY()</f>
        <v>-303</v>
      </c>
      <c r="AG10" s="496">
        <f>IF(ISBLANK(Table2[[#This Row],[Roster Received by]]),1,0)</f>
        <v>0</v>
      </c>
      <c r="AH10" s="496">
        <f ca="1">IF(Table2[[#This Row],[Start Date]]&gt;TODAY(),1,)</f>
        <v>0</v>
      </c>
      <c r="AI10" s="496">
        <f>IF(ISBLANK(Table2[[#This Row],[Primary Instructor]]),0,1)</f>
        <v>1</v>
      </c>
      <c r="AJ10" s="496">
        <f>IF(ISBLANK(Table2[[#This Row],[Instructor 2]]),0,1)</f>
        <v>0</v>
      </c>
      <c r="AK10" s="496">
        <f>Table2[[#This Row],[Course Length (Hours)]]/(Table2[[#This Row],[1 Instructor]]+Table2[[#This Row],[2 Instructors]])</f>
        <v>32</v>
      </c>
      <c r="AL10" s="318">
        <v>5</v>
      </c>
      <c r="AM10" s="496">
        <v>1</v>
      </c>
      <c r="AN10" s="496" t="str">
        <f>VLOOKUP(Table2[[#This Row],[Course Title]],'TSD-Data'!$A$1:$G$83,7,FALSE)</f>
        <v>N5</v>
      </c>
      <c r="AO10" s="500">
        <f>Table2[[#This Row],[Quotas]]-Table2[[#This Row],[Graduates]]-Table2[[#This Row],[Fail]]</f>
        <v>15</v>
      </c>
    </row>
    <row r="11" spans="2:41" s="202" customFormat="1" ht="15" customHeight="1" x14ac:dyDescent="0.25">
      <c r="B11" s="530"/>
      <c r="C11" s="530" t="s">
        <v>77</v>
      </c>
      <c r="D11" s="200" t="str">
        <f>VLOOKUP(Table2[[#This Row],[Course Title]],'TSD-Data'!$A$1:$E$83,2,FALSE)</f>
        <v>A-493-0072</v>
      </c>
      <c r="E11" s="200" t="str">
        <f>VLOOKUP(Table2[[#This Row],[Course Title]],'TSD-Data'!$A$1:$E$83,3,FALSE)</f>
        <v>713U</v>
      </c>
      <c r="F11" s="538" t="s">
        <v>130</v>
      </c>
      <c r="G11" s="531">
        <v>45936</v>
      </c>
      <c r="H11" s="531">
        <v>45940</v>
      </c>
      <c r="I11" s="531" t="s">
        <v>42</v>
      </c>
      <c r="J11" s="532">
        <v>0.33333333333333331</v>
      </c>
      <c r="K11" s="532"/>
      <c r="L11" s="531"/>
      <c r="M11" s="531"/>
      <c r="N11" s="531"/>
      <c r="O11" s="531"/>
      <c r="P11" s="531"/>
      <c r="Q11" s="535" t="s">
        <v>295</v>
      </c>
      <c r="R11" s="535"/>
      <c r="S11" s="535"/>
      <c r="T11" s="200">
        <f>VLOOKUP(Table2[[#This Row],[Course Title]],'TSD-Data'!$A$1:$E$83,4,FALSE)</f>
        <v>30</v>
      </c>
      <c r="U11" s="200">
        <f>VLOOKUP(Table2[[#This Row],[Course Title]],'TSD-Data'!$A$1:$F$83,6,FALSE)</f>
        <v>40</v>
      </c>
      <c r="V11" s="201">
        <f>VLOOKUP(Table2[[#This Row],[Course Title]],'TSD-Data'!$A$1:$F$83,5,FALSE)</f>
        <v>5</v>
      </c>
      <c r="W11" s="201">
        <v>178</v>
      </c>
      <c r="X11" s="200">
        <f>Table2[[#This Row],[Quotas]]-Table2[[#This Row],[Open Quotas]]</f>
        <v>22</v>
      </c>
      <c r="Y11" s="200">
        <v>0</v>
      </c>
      <c r="Z11" s="201">
        <v>22</v>
      </c>
      <c r="AA11" s="201">
        <v>0</v>
      </c>
      <c r="AB11" s="200">
        <v>0</v>
      </c>
      <c r="AC11" s="200">
        <v>2</v>
      </c>
      <c r="AD11" s="200">
        <v>0</v>
      </c>
      <c r="AE11" s="200" t="s">
        <v>429</v>
      </c>
      <c r="AF11" s="495">
        <f ca="1">Table2[[#This Row],[End Date]]+2-TODAY()</f>
        <v>-302</v>
      </c>
      <c r="AG11" s="496">
        <f>IF(ISBLANK(Table2[[#This Row],[Roster Received by]]),1,0)</f>
        <v>0</v>
      </c>
      <c r="AH11" s="496">
        <f ca="1">IF(Table2[[#This Row],[Start Date]]&gt;TODAY(),1,)</f>
        <v>0</v>
      </c>
      <c r="AI11" s="496">
        <f>IF(ISBLANK(Table2[[#This Row],[Primary Instructor]]),0,1)</f>
        <v>1</v>
      </c>
      <c r="AJ11" s="496">
        <f>IF(ISBLANK(Table2[[#This Row],[Instructor 2]]),0,1)</f>
        <v>0</v>
      </c>
      <c r="AK11" s="496">
        <f>Table2[[#This Row],[Course Length (Hours)]]/(Table2[[#This Row],[1 Instructor]]+Table2[[#This Row],[2 Instructors]])</f>
        <v>40</v>
      </c>
      <c r="AL11" s="318">
        <v>8</v>
      </c>
      <c r="AM11" s="496">
        <v>1</v>
      </c>
      <c r="AN11" s="496" t="str">
        <f>VLOOKUP(Table2[[#This Row],[Course Title]],'TSD-Data'!$A$1:$G$83,7,FALSE)</f>
        <v>N3</v>
      </c>
      <c r="AO11" s="500">
        <f>Table2[[#This Row],[Quotas]]-Table2[[#This Row],[Graduates]]-Table2[[#This Row],[Fail]]</f>
        <v>8</v>
      </c>
    </row>
    <row r="12" spans="2:41" s="202" customFormat="1" ht="15" customHeight="1" x14ac:dyDescent="0.25">
      <c r="B12" s="530"/>
      <c r="C12" s="530" t="s">
        <v>236</v>
      </c>
      <c r="D12" s="200" t="str">
        <f>VLOOKUP(Table2[[#This Row],[Course Title]],'TSD-Data'!$A$1:$E$83,2,FALSE)</f>
        <v>A-493-2098</v>
      </c>
      <c r="E12" s="200" t="str">
        <f>VLOOKUP(Table2[[#This Row],[Course Title]],'TSD-Data'!$A$1:$E$83,3,FALSE)</f>
        <v>09WW</v>
      </c>
      <c r="F12" s="538" t="s">
        <v>54</v>
      </c>
      <c r="G12" s="531">
        <v>45936</v>
      </c>
      <c r="H12" s="531">
        <v>45938</v>
      </c>
      <c r="I12" s="531" t="s">
        <v>42</v>
      </c>
      <c r="J12" s="532"/>
      <c r="K12" s="533">
        <v>0.5</v>
      </c>
      <c r="L12" s="533">
        <v>0.375</v>
      </c>
      <c r="M12" s="533">
        <v>0.79166666666666663</v>
      </c>
      <c r="N12" s="533">
        <v>0.75</v>
      </c>
      <c r="O12" s="533">
        <v>0.25</v>
      </c>
      <c r="P12" s="533">
        <v>4.1666666666666664E-2</v>
      </c>
      <c r="Q12" s="535" t="s">
        <v>433</v>
      </c>
      <c r="R12" s="535"/>
      <c r="S12" s="535"/>
      <c r="T12" s="200">
        <f>VLOOKUP(Table2[[#This Row],[Course Title]],'TSD-Data'!$A$1:$E$83,4,FALSE)</f>
        <v>100</v>
      </c>
      <c r="U12" s="200">
        <f>VLOOKUP(Table2[[#This Row],[Course Title]],'TSD-Data'!$A$1:$F$83,6,FALSE)</f>
        <v>16</v>
      </c>
      <c r="V12" s="201">
        <f>VLOOKUP(Table2[[#This Row],[Course Title]],'TSD-Data'!$A$1:$F$83,5,FALSE)</f>
        <v>3</v>
      </c>
      <c r="W12" s="201"/>
      <c r="X12" s="200">
        <f>Table2[[#This Row],[Quotas]]-Table2[[#This Row],[Open Quotas]]</f>
        <v>100</v>
      </c>
      <c r="Y12" s="200">
        <v>0</v>
      </c>
      <c r="Z12" s="201">
        <v>57</v>
      </c>
      <c r="AA12" s="201">
        <v>7</v>
      </c>
      <c r="AB12" s="200">
        <v>0</v>
      </c>
      <c r="AC12" s="200">
        <v>0</v>
      </c>
      <c r="AD12" s="200">
        <v>0</v>
      </c>
      <c r="AE12" s="200" t="s">
        <v>428</v>
      </c>
      <c r="AF12" s="495">
        <f ca="1">Table2[[#This Row],[End Date]]+2-TODAY()</f>
        <v>-304</v>
      </c>
      <c r="AG12" s="496">
        <f>IF(ISBLANK(Table2[[#This Row],[Roster Received by]]),1,0)</f>
        <v>0</v>
      </c>
      <c r="AH12" s="496">
        <f ca="1">IF(Table2[[#This Row],[Start Date]]&gt;TODAY(),1,)</f>
        <v>0</v>
      </c>
      <c r="AI12" s="496">
        <f>IF(ISBLANK(Table2[[#This Row],[Primary Instructor]]),0,1)</f>
        <v>1</v>
      </c>
      <c r="AJ12" s="496">
        <f>IF(ISBLANK(Table2[[#This Row],[Instructor 2]]),0,1)</f>
        <v>0</v>
      </c>
      <c r="AK12" s="496">
        <f>Table2[[#This Row],[Course Length (Hours)]]/(Table2[[#This Row],[1 Instructor]]+Table2[[#This Row],[2 Instructors]])</f>
        <v>16</v>
      </c>
      <c r="AL12" s="318">
        <v>0</v>
      </c>
      <c r="AM12" s="496">
        <v>1</v>
      </c>
      <c r="AN12" s="496" t="str">
        <f>VLOOKUP(Table2[[#This Row],[Course Title]],'TSD-Data'!$A$1:$G$83,7,FALSE)</f>
        <v>N8</v>
      </c>
      <c r="AO12" s="500">
        <f>Table2[[#This Row],[Quotas]]-Table2[[#This Row],[Graduates]]-Table2[[#This Row],[Fail]]</f>
        <v>36</v>
      </c>
    </row>
    <row r="13" spans="2:41" s="202" customFormat="1" ht="15" customHeight="1" x14ac:dyDescent="0.25">
      <c r="B13" s="530"/>
      <c r="C13" s="530" t="s">
        <v>38</v>
      </c>
      <c r="D13" s="200" t="str">
        <f>VLOOKUP(Table2[[#This Row],[Course Title]],'TSD-Data'!$A$1:$E$83,2,FALSE)</f>
        <v>A-493-2099</v>
      </c>
      <c r="E13" s="200" t="str">
        <f>VLOOKUP(Table2[[#This Row],[Course Title]],'TSD-Data'!$A$1:$E$83,3,FALSE)</f>
        <v>438G</v>
      </c>
      <c r="F13" s="538" t="s">
        <v>61</v>
      </c>
      <c r="G13" s="531">
        <v>45936</v>
      </c>
      <c r="H13" s="531">
        <v>45937</v>
      </c>
      <c r="I13" s="531" t="s">
        <v>42</v>
      </c>
      <c r="J13" s="532">
        <v>0.33333333333333331</v>
      </c>
      <c r="K13" s="532"/>
      <c r="L13" s="537"/>
      <c r="M13" s="531"/>
      <c r="N13" s="531"/>
      <c r="O13" s="531"/>
      <c r="P13" s="537"/>
      <c r="Q13" s="535" t="s">
        <v>43</v>
      </c>
      <c r="R13" s="535"/>
      <c r="S13" s="535"/>
      <c r="T13" s="200">
        <f>VLOOKUP(Table2[[#This Row],[Course Title]],'TSD-Data'!$A$1:$E$83,4,FALSE)</f>
        <v>30</v>
      </c>
      <c r="U13" s="200">
        <f>VLOOKUP(Table2[[#This Row],[Course Title]],'TSD-Data'!$A$1:$F$83,6,FALSE)</f>
        <v>16</v>
      </c>
      <c r="V13" s="201">
        <f>VLOOKUP(Table2[[#This Row],[Course Title]],'TSD-Data'!$A$1:$F$83,5,FALSE)</f>
        <v>2</v>
      </c>
      <c r="W13" s="201">
        <v>0</v>
      </c>
      <c r="X13" s="200">
        <f>Table2[[#This Row],[Quotas]]-Table2[[#This Row],[Open Quotas]]</f>
        <v>18</v>
      </c>
      <c r="Y13" s="200">
        <v>0</v>
      </c>
      <c r="Z13" s="201">
        <v>13</v>
      </c>
      <c r="AA13" s="201">
        <v>0</v>
      </c>
      <c r="AB13" s="200">
        <v>0</v>
      </c>
      <c r="AC13" s="200">
        <v>1</v>
      </c>
      <c r="AD13" s="200">
        <v>0</v>
      </c>
      <c r="AE13" s="200" t="s">
        <v>428</v>
      </c>
      <c r="AF13" s="495">
        <f ca="1">Table2[[#This Row],[End Date]]+2-TODAY()</f>
        <v>-305</v>
      </c>
      <c r="AG13" s="496">
        <f>IF(ISBLANK(Table2[[#This Row],[Roster Received by]]),1,0)</f>
        <v>0</v>
      </c>
      <c r="AH13" s="496">
        <f ca="1">IF(Table2[[#This Row],[Start Date]]&gt;TODAY(),1,)</f>
        <v>0</v>
      </c>
      <c r="AI13" s="496">
        <f>IF(ISBLANK(Table2[[#This Row],[Primary Instructor]]),0,1)</f>
        <v>1</v>
      </c>
      <c r="AJ13" s="496">
        <f>IF(ISBLANK(Table2[[#This Row],[Instructor 2]]),0,1)</f>
        <v>0</v>
      </c>
      <c r="AK13" s="496">
        <f>Table2[[#This Row],[Course Length (Hours)]]/(Table2[[#This Row],[1 Instructor]]+Table2[[#This Row],[2 Instructors]])</f>
        <v>16</v>
      </c>
      <c r="AL13" s="318">
        <v>12</v>
      </c>
      <c r="AM13" s="496">
        <v>1</v>
      </c>
      <c r="AN13" s="496" t="str">
        <f>VLOOKUP(Table2[[#This Row],[Course Title]],'TSD-Data'!$A$1:$G$83,7,FALSE)</f>
        <v>N8</v>
      </c>
      <c r="AO13" s="500">
        <f>Table2[[#This Row],[Quotas]]-Table2[[#This Row],[Graduates]]-Table2[[#This Row],[Fail]]</f>
        <v>17</v>
      </c>
    </row>
    <row r="14" spans="2:41" s="202" customFormat="1" ht="15" customHeight="1" x14ac:dyDescent="0.25">
      <c r="B14" s="530"/>
      <c r="C14" s="538" t="s">
        <v>56</v>
      </c>
      <c r="D14" s="200" t="str">
        <f>VLOOKUP(Table2[[#This Row],[Course Title]],'TSD-Data'!$A$1:$E$83,2,FALSE)</f>
        <v>A-493-0550</v>
      </c>
      <c r="E14" s="200" t="str">
        <f>VLOOKUP(Table2[[#This Row],[Course Title]],'TSD-Data'!$A$1:$E$83,3,FALSE)</f>
        <v>09K5</v>
      </c>
      <c r="F14" s="530" t="s">
        <v>54</v>
      </c>
      <c r="G14" s="531">
        <v>45937</v>
      </c>
      <c r="H14" s="531">
        <v>45940</v>
      </c>
      <c r="I14" s="531" t="s">
        <v>42</v>
      </c>
      <c r="J14" s="532"/>
      <c r="K14" s="536">
        <v>1900.7916666666667</v>
      </c>
      <c r="L14" s="536">
        <v>0.66666666666666663</v>
      </c>
      <c r="M14" s="536">
        <v>8.3333333333333329E-2</v>
      </c>
      <c r="N14" s="536">
        <v>0</v>
      </c>
      <c r="O14" s="536">
        <v>0.54166666666666663</v>
      </c>
      <c r="P14" s="536">
        <v>0.33333333333333331</v>
      </c>
      <c r="Q14" s="535" t="s">
        <v>427</v>
      </c>
      <c r="R14" s="535"/>
      <c r="S14" s="535"/>
      <c r="T14" s="200">
        <f>VLOOKUP(Table2[[#This Row],[Course Title]],'TSD-Data'!$A$1:$E$83,4,FALSE)</f>
        <v>45</v>
      </c>
      <c r="U14" s="200">
        <f>VLOOKUP(Table2[[#This Row],[Course Title]],'TSD-Data'!$A$1:$F$83,6,FALSE)</f>
        <v>32</v>
      </c>
      <c r="V14" s="201">
        <f>VLOOKUP(Table2[[#This Row],[Course Title]],'TSD-Data'!$A$1:$F$83,5,FALSE)</f>
        <v>4</v>
      </c>
      <c r="W14" s="201">
        <v>180</v>
      </c>
      <c r="X14" s="200">
        <f>Table2[[#This Row],[Quotas]]-Table2[[#This Row],[Open Quotas]]</f>
        <v>24</v>
      </c>
      <c r="Y14" s="200">
        <v>0</v>
      </c>
      <c r="Z14" s="201">
        <v>18</v>
      </c>
      <c r="AA14" s="201">
        <v>0</v>
      </c>
      <c r="AB14" s="200">
        <v>0</v>
      </c>
      <c r="AC14" s="200">
        <v>0</v>
      </c>
      <c r="AD14" s="200">
        <v>0</v>
      </c>
      <c r="AE14" s="200" t="s">
        <v>428</v>
      </c>
      <c r="AF14" s="495">
        <f ca="1">Table2[[#This Row],[End Date]]+2-TODAY()</f>
        <v>-302</v>
      </c>
      <c r="AG14" s="496">
        <f>IF(ISBLANK(Table2[[#This Row],[Roster Received by]]),1,0)</f>
        <v>0</v>
      </c>
      <c r="AH14" s="496">
        <f ca="1">IF(Table2[[#This Row],[Start Date]]&gt;TODAY(),1,)</f>
        <v>0</v>
      </c>
      <c r="AI14" s="496">
        <f>IF(ISBLANK(Table2[[#This Row],[Primary Instructor]]),0,1)</f>
        <v>1</v>
      </c>
      <c r="AJ14" s="496">
        <f>IF(ISBLANK(Table2[[#This Row],[Instructor 2]]),0,1)</f>
        <v>0</v>
      </c>
      <c r="AK14" s="496">
        <f>Table2[[#This Row],[Course Length (Hours)]]/(Table2[[#This Row],[1 Instructor]]+Table2[[#This Row],[2 Instructors]])</f>
        <v>32</v>
      </c>
      <c r="AL14" s="318">
        <v>21</v>
      </c>
      <c r="AM14" s="496">
        <v>1</v>
      </c>
      <c r="AN14" s="496" t="str">
        <f>VLOOKUP(Table2[[#This Row],[Course Title]],'TSD-Data'!$A$1:$G$83,7,FALSE)</f>
        <v>N5</v>
      </c>
      <c r="AO14" s="500">
        <f>Table2[[#This Row],[Quotas]]-Table2[[#This Row],[Graduates]]-Table2[[#This Row],[Fail]]</f>
        <v>27</v>
      </c>
    </row>
    <row r="15" spans="2:41" s="202" customFormat="1" ht="15" customHeight="1" x14ac:dyDescent="0.25">
      <c r="B15" s="530"/>
      <c r="C15" s="538" t="s">
        <v>38</v>
      </c>
      <c r="D15" s="200" t="str">
        <f>VLOOKUP(Table2[[#This Row],[Course Title]],'TSD-Data'!$A$1:$E$83,2,FALSE)</f>
        <v>A-493-2099</v>
      </c>
      <c r="E15" s="200" t="str">
        <f>VLOOKUP(Table2[[#This Row],[Course Title]],'TSD-Data'!$A$1:$E$83,3,FALSE)</f>
        <v>438G</v>
      </c>
      <c r="F15" s="538" t="s">
        <v>61</v>
      </c>
      <c r="G15" s="531">
        <v>45938</v>
      </c>
      <c r="H15" s="531">
        <v>45939</v>
      </c>
      <c r="I15" s="531" t="s">
        <v>42</v>
      </c>
      <c r="J15" s="532">
        <v>0.33333333333333331</v>
      </c>
      <c r="K15" s="532"/>
      <c r="L15" s="531"/>
      <c r="M15" s="531"/>
      <c r="N15" s="531"/>
      <c r="O15" s="531"/>
      <c r="P15" s="531"/>
      <c r="Q15" s="535" t="s">
        <v>43</v>
      </c>
      <c r="R15" s="535"/>
      <c r="S15" s="535"/>
      <c r="T15" s="200">
        <f>VLOOKUP(Table2[[#This Row],[Course Title]],'TSD-Data'!$A$1:$E$83,4,FALSE)</f>
        <v>30</v>
      </c>
      <c r="U15" s="200">
        <f>VLOOKUP(Table2[[#This Row],[Course Title]],'TSD-Data'!$A$1:$F$83,6,FALSE)</f>
        <v>16</v>
      </c>
      <c r="V15" s="201">
        <f>VLOOKUP(Table2[[#This Row],[Course Title]],'TSD-Data'!$A$1:$F$83,5,FALSE)</f>
        <v>2</v>
      </c>
      <c r="W15" s="201">
        <v>0</v>
      </c>
      <c r="X15" s="200">
        <f>Table2[[#This Row],[Quotas]]-Table2[[#This Row],[Open Quotas]]</f>
        <v>11</v>
      </c>
      <c r="Y15" s="200">
        <v>0</v>
      </c>
      <c r="Z15" s="201">
        <v>9</v>
      </c>
      <c r="AA15" s="201">
        <v>0</v>
      </c>
      <c r="AB15" s="200">
        <v>0</v>
      </c>
      <c r="AC15" s="200">
        <v>1</v>
      </c>
      <c r="AD15" s="200">
        <v>0</v>
      </c>
      <c r="AE15" s="200" t="s">
        <v>428</v>
      </c>
      <c r="AF15" s="495">
        <f ca="1">Table2[[#This Row],[End Date]]+2-TODAY()</f>
        <v>-303</v>
      </c>
      <c r="AG15" s="496">
        <f>IF(ISBLANK(Table2[[#This Row],[Roster Received by]]),1,0)</f>
        <v>0</v>
      </c>
      <c r="AH15" s="496">
        <f ca="1">IF(Table2[[#This Row],[Start Date]]&gt;TODAY(),1,)</f>
        <v>0</v>
      </c>
      <c r="AI15" s="496">
        <f>IF(ISBLANK(Table2[[#This Row],[Primary Instructor]]),0,1)</f>
        <v>1</v>
      </c>
      <c r="AJ15" s="496">
        <f>IF(ISBLANK(Table2[[#This Row],[Instructor 2]]),0,1)</f>
        <v>0</v>
      </c>
      <c r="AK15" s="496">
        <f>Table2[[#This Row],[Course Length (Hours)]]/(Table2[[#This Row],[1 Instructor]]+Table2[[#This Row],[2 Instructors]])</f>
        <v>16</v>
      </c>
      <c r="AL15" s="318">
        <v>19</v>
      </c>
      <c r="AM15" s="496">
        <v>1</v>
      </c>
      <c r="AN15" s="496" t="str">
        <f>VLOOKUP(Table2[[#This Row],[Course Title]],'TSD-Data'!$A$1:$G$83,7,FALSE)</f>
        <v>N8</v>
      </c>
      <c r="AO15" s="500">
        <f>Table2[[#This Row],[Quotas]]-Table2[[#This Row],[Graduates]]-Table2[[#This Row],[Fail]]</f>
        <v>21</v>
      </c>
    </row>
    <row r="16" spans="2:41" s="202" customFormat="1" ht="15" customHeight="1" x14ac:dyDescent="0.25">
      <c r="B16" s="530"/>
      <c r="C16" s="538" t="s">
        <v>84</v>
      </c>
      <c r="D16" s="200" t="str">
        <f>VLOOKUP(Table2[[#This Row],[Course Title]],'TSD-Data'!$A$1:$E$83,2,FALSE)</f>
        <v>A-493-0083</v>
      </c>
      <c r="E16" s="200" t="str">
        <f>VLOOKUP(Table2[[#This Row],[Course Title]],'TSD-Data'!$A$1:$E$83,3,FALSE)</f>
        <v>339E</v>
      </c>
      <c r="F16" s="538" t="s">
        <v>54</v>
      </c>
      <c r="G16" s="531">
        <v>45939</v>
      </c>
      <c r="H16" s="531">
        <v>45939</v>
      </c>
      <c r="I16" s="531" t="s">
        <v>42</v>
      </c>
      <c r="J16" s="532"/>
      <c r="K16" s="532">
        <v>1100.0833333333333</v>
      </c>
      <c r="L16" s="532">
        <v>0.95833333333333337</v>
      </c>
      <c r="M16" s="536">
        <v>0.375</v>
      </c>
      <c r="N16" s="532">
        <v>0.33333333333333331</v>
      </c>
      <c r="O16" s="532">
        <v>0.83333333333333337</v>
      </c>
      <c r="P16" s="532">
        <v>0.625</v>
      </c>
      <c r="Q16" s="535" t="s">
        <v>48</v>
      </c>
      <c r="R16" s="535"/>
      <c r="S16" s="535"/>
      <c r="T16" s="200">
        <f>VLOOKUP(Table2[[#This Row],[Course Title]],'TSD-Data'!$A$1:$E$83,4,FALSE)</f>
        <v>30</v>
      </c>
      <c r="U16" s="200">
        <f>VLOOKUP(Table2[[#This Row],[Course Title]],'TSD-Data'!$A$1:$F$83,6,FALSE)</f>
        <v>8</v>
      </c>
      <c r="V16" s="201">
        <f>VLOOKUP(Table2[[#This Row],[Course Title]],'TSD-Data'!$A$1:$F$83,5,FALSE)</f>
        <v>1</v>
      </c>
      <c r="W16" s="201"/>
      <c r="X16" s="200">
        <f>Table2[[#This Row],[Quotas]]-Table2[[#This Row],[Open Quotas]]</f>
        <v>20</v>
      </c>
      <c r="Y16" s="200">
        <v>0</v>
      </c>
      <c r="Z16" s="201">
        <v>20</v>
      </c>
      <c r="AA16" s="201">
        <v>0</v>
      </c>
      <c r="AB16" s="200">
        <v>0</v>
      </c>
      <c r="AC16" s="200">
        <v>0</v>
      </c>
      <c r="AD16" s="200">
        <v>0</v>
      </c>
      <c r="AE16" s="200" t="s">
        <v>428</v>
      </c>
      <c r="AF16" s="495">
        <f ca="1">Table2[[#This Row],[End Date]]+2-TODAY()</f>
        <v>-303</v>
      </c>
      <c r="AG16" s="496">
        <f>IF(ISBLANK(Table2[[#This Row],[Roster Received by]]),1,0)</f>
        <v>0</v>
      </c>
      <c r="AH16" s="496">
        <f ca="1">IF(Table2[[#This Row],[Start Date]]&gt;TODAY(),1,)</f>
        <v>0</v>
      </c>
      <c r="AI16" s="496">
        <f>IF(ISBLANK(Table2[[#This Row],[Primary Instructor]]),0,1)</f>
        <v>1</v>
      </c>
      <c r="AJ16" s="496">
        <f>IF(ISBLANK(Table2[[#This Row],[Instructor 2]]),0,1)</f>
        <v>0</v>
      </c>
      <c r="AK16" s="496">
        <f>Table2[[#This Row],[Course Length (Hours)]]/(Table2[[#This Row],[1 Instructor]]+Table2[[#This Row],[2 Instructors]])</f>
        <v>8</v>
      </c>
      <c r="AL16" s="318">
        <v>10</v>
      </c>
      <c r="AM16" s="496">
        <v>1</v>
      </c>
      <c r="AN16" s="496" t="str">
        <f>VLOOKUP(Table2[[#This Row],[Course Title]],'TSD-Data'!$A$1:$G$83,7,FALSE)</f>
        <v>N4</v>
      </c>
      <c r="AO16" s="500">
        <f>Table2[[#This Row],[Quotas]]-Table2[[#This Row],[Graduates]]-Table2[[#This Row],[Fail]]</f>
        <v>10</v>
      </c>
    </row>
    <row r="17" spans="2:41" s="202" customFormat="1" ht="15" customHeight="1" x14ac:dyDescent="0.25">
      <c r="B17" s="530" t="s">
        <v>217</v>
      </c>
      <c r="C17" s="539" t="s">
        <v>218</v>
      </c>
      <c r="D17" s="200" t="str">
        <f>VLOOKUP(Table2[[#This Row],[Course Title]],'TSD-Data'!$A$1:$E$83,2,FALSE)</f>
        <v>Holiday</v>
      </c>
      <c r="E17" s="200" t="str">
        <f>VLOOKUP(Table2[[#This Row],[Course Title]],'TSD-Data'!$A$1:$E$83,3,FALSE)</f>
        <v>Holiday</v>
      </c>
      <c r="F17" s="539" t="s">
        <v>218</v>
      </c>
      <c r="G17" s="540">
        <v>45943</v>
      </c>
      <c r="H17" s="540">
        <v>45943</v>
      </c>
      <c r="I17" s="531" t="s">
        <v>434</v>
      </c>
      <c r="J17" s="541"/>
      <c r="K17" s="541"/>
      <c r="L17" s="541"/>
      <c r="M17" s="541"/>
      <c r="N17" s="541"/>
      <c r="O17" s="541"/>
      <c r="P17" s="541"/>
      <c r="Q17" s="542" t="s">
        <v>435</v>
      </c>
      <c r="R17" s="542"/>
      <c r="S17" s="542"/>
      <c r="T17" s="200">
        <f>VLOOKUP(Table2[[#This Row],[Course Title]],'TSD-Data'!$A$1:$E$83,4,FALSE)</f>
        <v>0</v>
      </c>
      <c r="U17" s="200">
        <f>VLOOKUP(Table2[[#This Row],[Course Title]],'TSD-Data'!$A$1:$F$83,6,FALSE)</f>
        <v>0</v>
      </c>
      <c r="V17" s="201">
        <f>VLOOKUP(Table2[[#This Row],[Course Title]],'TSD-Data'!$A$1:$F$83,5,FALSE)</f>
        <v>0</v>
      </c>
      <c r="W17" s="543">
        <v>0</v>
      </c>
      <c r="X17" s="200">
        <f>Table2[[#This Row],[Quotas]]-Table2[[#This Row],[Open Quotas]]</f>
        <v>0</v>
      </c>
      <c r="Y17" s="541">
        <v>0</v>
      </c>
      <c r="Z17" s="541">
        <v>0</v>
      </c>
      <c r="AA17" s="541">
        <v>0</v>
      </c>
      <c r="AB17" s="541">
        <v>0</v>
      </c>
      <c r="AC17" s="541">
        <v>0</v>
      </c>
      <c r="AD17" s="541">
        <v>0</v>
      </c>
      <c r="AE17" s="541" t="s">
        <v>436</v>
      </c>
      <c r="AF17" s="495">
        <f ca="1">Table2[[#This Row],[End Date]]+2-TODAY()</f>
        <v>-299</v>
      </c>
      <c r="AG17" s="496">
        <f>IF(ISBLANK(Table2[[#This Row],[Roster Received by]]),1,0)</f>
        <v>0</v>
      </c>
      <c r="AH17" s="496">
        <f ca="1">IF(Table2[[#This Row],[Start Date]]&gt;TODAY(),1,)</f>
        <v>0</v>
      </c>
      <c r="AI17" s="496">
        <f>IF(ISBLANK(Table2[[#This Row],[Primary Instructor]]),0,1)</f>
        <v>1</v>
      </c>
      <c r="AJ17" s="496">
        <f>IF(ISBLANK(Table2[[#This Row],[Instructor 2]]),0,1)</f>
        <v>0</v>
      </c>
      <c r="AK17" s="496">
        <f>Table2[[#This Row],[Course Length (Hours)]]/(Table2[[#This Row],[1 Instructor]]+Table2[[#This Row],[2 Instructors]])</f>
        <v>0</v>
      </c>
      <c r="AL17" s="320">
        <v>0</v>
      </c>
      <c r="AM17" s="496">
        <v>1</v>
      </c>
      <c r="AN17" s="496" t="str">
        <f>VLOOKUP(Table2[[#This Row],[Course Title]],'TSD-Data'!$A$1:$G$83,7,FALSE)</f>
        <v>TSD</v>
      </c>
      <c r="AO17" s="500">
        <f>Table2[[#This Row],[Quotas]]-Table2[[#This Row],[Graduates]]-Table2[[#This Row],[Fail]]</f>
        <v>0</v>
      </c>
    </row>
    <row r="18" spans="2:41" ht="15" customHeight="1" x14ac:dyDescent="0.25">
      <c r="B18" s="530"/>
      <c r="C18" s="539" t="s">
        <v>249</v>
      </c>
      <c r="D18" s="200" t="str">
        <f>VLOOKUP(Table2[[#This Row],[Course Title]],'TSD-Data'!$A$1:$E$83,2,FALSE)</f>
        <v>A-493-0331</v>
      </c>
      <c r="E18" s="200" t="str">
        <f>VLOOKUP(Table2[[#This Row],[Course Title]],'TSD-Data'!$A$1:$E$83,3,FALSE)</f>
        <v>10UG</v>
      </c>
      <c r="F18" s="538" t="s">
        <v>54</v>
      </c>
      <c r="G18" s="531">
        <v>45944</v>
      </c>
      <c r="H18" s="531">
        <v>45946</v>
      </c>
      <c r="I18" s="531" t="s">
        <v>42</v>
      </c>
      <c r="J18" s="532"/>
      <c r="K18" s="536">
        <v>0.5</v>
      </c>
      <c r="L18" s="536">
        <v>0.375</v>
      </c>
      <c r="M18" s="536">
        <v>0.79166666666666663</v>
      </c>
      <c r="N18" s="536">
        <v>0.75</v>
      </c>
      <c r="O18" s="536">
        <v>0.25</v>
      </c>
      <c r="P18" s="536">
        <v>4.1666666666666664E-2</v>
      </c>
      <c r="Q18" s="535" t="s">
        <v>437</v>
      </c>
      <c r="R18" s="535"/>
      <c r="S18" s="535"/>
      <c r="T18" s="200">
        <f>VLOOKUP(Table2[[#This Row],[Course Title]],'TSD-Data'!$A$1:$E$83,4,FALSE)</f>
        <v>45</v>
      </c>
      <c r="U18" s="200">
        <f>VLOOKUP(Table2[[#This Row],[Course Title]],'TSD-Data'!$A$1:$F$83,6,FALSE)</f>
        <v>24</v>
      </c>
      <c r="V18" s="201">
        <f>VLOOKUP(Table2[[#This Row],[Course Title]],'TSD-Data'!$A$1:$F$83,5,FALSE)</f>
        <v>3</v>
      </c>
      <c r="W18" s="201">
        <v>844</v>
      </c>
      <c r="X18" s="200">
        <f>Table2[[#This Row],[Quotas]]-Table2[[#This Row],[Open Quotas]]</f>
        <v>45</v>
      </c>
      <c r="Y18" s="200">
        <v>5</v>
      </c>
      <c r="Z18" s="201">
        <v>32</v>
      </c>
      <c r="AA18" s="201">
        <v>0</v>
      </c>
      <c r="AB18" s="200">
        <v>0</v>
      </c>
      <c r="AC18" s="200">
        <v>0</v>
      </c>
      <c r="AD18" s="200">
        <v>0</v>
      </c>
      <c r="AE18" s="200" t="s">
        <v>429</v>
      </c>
      <c r="AF18" s="495">
        <f ca="1">Table2[[#This Row],[End Date]]+2-TODAY()</f>
        <v>-296</v>
      </c>
      <c r="AG18" s="496">
        <f>IF(ISBLANK(Table2[[#This Row],[Roster Received by]]),1,0)</f>
        <v>0</v>
      </c>
      <c r="AH18" s="496">
        <f ca="1">IF(Table2[[#This Row],[Start Date]]&gt;TODAY(),1,)</f>
        <v>0</v>
      </c>
      <c r="AI18" s="496">
        <f>IF(ISBLANK(Table2[[#This Row],[Primary Instructor]]),0,1)</f>
        <v>1</v>
      </c>
      <c r="AJ18" s="496">
        <f>IF(ISBLANK(Table2[[#This Row],[Instructor 2]]),0,1)</f>
        <v>0</v>
      </c>
      <c r="AK18" s="496">
        <f>Table2[[#This Row],[Course Length (Hours)]]/(Table2[[#This Row],[1 Instructor]]+Table2[[#This Row],[2 Instructors]])</f>
        <v>24</v>
      </c>
      <c r="AL18" s="318">
        <v>0</v>
      </c>
      <c r="AM18" s="496">
        <v>1</v>
      </c>
      <c r="AN18" s="496" t="str">
        <f>VLOOKUP(Table2[[#This Row],[Course Title]],'TSD-Data'!$A$1:$G$83,7,FALSE)</f>
        <v>N3</v>
      </c>
      <c r="AO18" s="500">
        <f>Table2[[#This Row],[Quotas]]-Table2[[#This Row],[Graduates]]-Table2[[#This Row],[Fail]]</f>
        <v>13</v>
      </c>
    </row>
    <row r="19" spans="2:41" s="202" customFormat="1" ht="15" customHeight="1" x14ac:dyDescent="0.25">
      <c r="B19" s="530"/>
      <c r="C19" s="539" t="s">
        <v>154</v>
      </c>
      <c r="D19" s="200" t="str">
        <f>VLOOKUP(Table2[[#This Row],[Course Title]],'TSD-Data'!$A$1:$E$83,2,FALSE)</f>
        <v>A-493-0069</v>
      </c>
      <c r="E19" s="200" t="str">
        <f>VLOOKUP(Table2[[#This Row],[Course Title]],'TSD-Data'!$A$1:$E$83,3,FALSE)</f>
        <v>450U</v>
      </c>
      <c r="F19" s="530" t="s">
        <v>61</v>
      </c>
      <c r="G19" s="544">
        <v>45950</v>
      </c>
      <c r="H19" s="544">
        <v>45954</v>
      </c>
      <c r="I19" s="531" t="s">
        <v>42</v>
      </c>
      <c r="J19" s="532">
        <v>0.33333333333333331</v>
      </c>
      <c r="K19" s="534"/>
      <c r="L19" s="537"/>
      <c r="M19" s="537"/>
      <c r="N19" s="537"/>
      <c r="O19" s="537"/>
      <c r="P19" s="537"/>
      <c r="Q19" s="535" t="s">
        <v>67</v>
      </c>
      <c r="R19" s="535" t="s">
        <v>62</v>
      </c>
      <c r="S19" s="535"/>
      <c r="T19" s="200">
        <f>VLOOKUP(Table2[[#This Row],[Course Title]],'TSD-Data'!$A$1:$E$83,4,FALSE)</f>
        <v>25</v>
      </c>
      <c r="U19" s="200">
        <f>VLOOKUP(Table2[[#This Row],[Course Title]],'TSD-Data'!$A$1:$F$83,6,FALSE)</f>
        <v>40</v>
      </c>
      <c r="V19" s="201">
        <f>VLOOKUP(Table2[[#This Row],[Course Title]],'TSD-Data'!$A$1:$F$83,5,FALSE)</f>
        <v>5</v>
      </c>
      <c r="W19" s="201">
        <v>15</v>
      </c>
      <c r="X19" s="200">
        <f>Table2[[#This Row],[Quotas]]-Table2[[#This Row],[Open Quotas]]</f>
        <v>8</v>
      </c>
      <c r="Y19" s="200">
        <v>0</v>
      </c>
      <c r="Z19" s="201">
        <v>4</v>
      </c>
      <c r="AA19" s="201">
        <v>0</v>
      </c>
      <c r="AB19" s="200">
        <v>0</v>
      </c>
      <c r="AC19" s="200">
        <v>0</v>
      </c>
      <c r="AD19" s="200">
        <v>0</v>
      </c>
      <c r="AE19" s="200" t="s">
        <v>429</v>
      </c>
      <c r="AF19" s="495">
        <f ca="1">Table2[[#This Row],[End Date]]+2-TODAY()</f>
        <v>-288</v>
      </c>
      <c r="AG19" s="496">
        <f>IF(ISBLANK(Table2[[#This Row],[Roster Received by]]),1,0)</f>
        <v>0</v>
      </c>
      <c r="AH19" s="496">
        <f ca="1">IF(Table2[[#This Row],[Start Date]]&gt;TODAY(),1,)</f>
        <v>0</v>
      </c>
      <c r="AI19" s="496">
        <f>IF(ISBLANK(Table2[[#This Row],[Primary Instructor]]),0,1)</f>
        <v>1</v>
      </c>
      <c r="AJ19" s="496">
        <f>IF(ISBLANK(Table2[[#This Row],[Instructor 2]]),0,1)</f>
        <v>1</v>
      </c>
      <c r="AK19" s="496">
        <f>Table2[[#This Row],[Course Length (Hours)]]/(Table2[[#This Row],[1 Instructor]]+Table2[[#This Row],[2 Instructors]])</f>
        <v>20</v>
      </c>
      <c r="AL19" s="318">
        <v>17</v>
      </c>
      <c r="AM19" s="496">
        <v>1</v>
      </c>
      <c r="AN19" s="496" t="str">
        <f>VLOOKUP(Table2[[#This Row],[Course Title]],'TSD-Data'!$A$1:$G$83,7,FALSE)</f>
        <v>N3</v>
      </c>
      <c r="AO19" s="500">
        <f>Table2[[#This Row],[Quotas]]-Table2[[#This Row],[Graduates]]-Table2[[#This Row],[Fail]]</f>
        <v>21</v>
      </c>
    </row>
    <row r="20" spans="2:41" s="202" customFormat="1" ht="15" customHeight="1" x14ac:dyDescent="0.25">
      <c r="B20" s="530"/>
      <c r="C20" s="538" t="s">
        <v>276</v>
      </c>
      <c r="D20" s="200" t="str">
        <f>VLOOKUP(Table2[[#This Row],[Course Title]],'TSD-Data'!$A$1:$E$83,2,FALSE)</f>
        <v>A-493-0103</v>
      </c>
      <c r="E20" s="200" t="str">
        <f>VLOOKUP(Table2[[#This Row],[Course Title]],'TSD-Data'!$A$1:$E$83,3,FALSE)</f>
        <v>12JY</v>
      </c>
      <c r="F20" s="530" t="s">
        <v>358</v>
      </c>
      <c r="G20" s="531">
        <v>45950</v>
      </c>
      <c r="H20" s="531">
        <v>45954</v>
      </c>
      <c r="I20" s="531" t="s">
        <v>42</v>
      </c>
      <c r="J20" s="532">
        <v>0.33333333333333331</v>
      </c>
      <c r="K20" s="534"/>
      <c r="L20" s="537"/>
      <c r="M20" s="537"/>
      <c r="N20" s="537"/>
      <c r="O20" s="537"/>
      <c r="P20" s="537"/>
      <c r="Q20" s="535" t="s">
        <v>280</v>
      </c>
      <c r="R20" s="535"/>
      <c r="S20" s="535"/>
      <c r="T20" s="200">
        <f>VLOOKUP(Table2[[#This Row],[Course Title]],'TSD-Data'!$A$1:$E$83,4,FALSE)</f>
        <v>25</v>
      </c>
      <c r="U20" s="200">
        <f>VLOOKUP(Table2[[#This Row],[Course Title]],'TSD-Data'!$A$1:$F$83,6,FALSE)</f>
        <v>40</v>
      </c>
      <c r="V20" s="201">
        <f>VLOOKUP(Table2[[#This Row],[Course Title]],'TSD-Data'!$A$1:$F$83,5,FALSE)</f>
        <v>5</v>
      </c>
      <c r="W20" s="201">
        <v>512</v>
      </c>
      <c r="X20" s="200">
        <f>Table2[[#This Row],[Quotas]]-Table2[[#This Row],[Open Quotas]]</f>
        <v>25</v>
      </c>
      <c r="Y20" s="200">
        <v>2</v>
      </c>
      <c r="Z20" s="201">
        <v>20</v>
      </c>
      <c r="AA20" s="201">
        <v>0</v>
      </c>
      <c r="AB20" s="200">
        <v>0</v>
      </c>
      <c r="AC20" s="200">
        <v>6</v>
      </c>
      <c r="AD20" s="200">
        <v>0</v>
      </c>
      <c r="AE20" s="200" t="s">
        <v>431</v>
      </c>
      <c r="AF20" s="495">
        <f ca="1">Table2[[#This Row],[End Date]]+2-TODAY()</f>
        <v>-288</v>
      </c>
      <c r="AG20" s="496">
        <f>IF(ISBLANK(Table2[[#This Row],[Roster Received by]]),1,0)</f>
        <v>0</v>
      </c>
      <c r="AH20" s="496">
        <f ca="1">IF(Table2[[#This Row],[Start Date]]&gt;TODAY(),1,)</f>
        <v>0</v>
      </c>
      <c r="AI20" s="496">
        <f>IF(ISBLANK(Table2[[#This Row],[Primary Instructor]]),0,1)</f>
        <v>1</v>
      </c>
      <c r="AJ20" s="496">
        <f>IF(ISBLANK(Table2[[#This Row],[Instructor 2]]),0,1)</f>
        <v>0</v>
      </c>
      <c r="AK20" s="496">
        <f>Table2[[#This Row],[Course Length (Hours)]]/(Table2[[#This Row],[1 Instructor]]+Table2[[#This Row],[2 Instructors]])</f>
        <v>40</v>
      </c>
      <c r="AL20" s="318">
        <v>0</v>
      </c>
      <c r="AM20" s="496">
        <v>1</v>
      </c>
      <c r="AN20" s="496" t="str">
        <f>VLOOKUP(Table2[[#This Row],[Course Title]],'TSD-Data'!$A$1:$G$83,7,FALSE)</f>
        <v>N5</v>
      </c>
      <c r="AO20" s="500">
        <f>Table2[[#This Row],[Quotas]]-Table2[[#This Row],[Graduates]]-Table2[[#This Row],[Fail]]</f>
        <v>5</v>
      </c>
    </row>
    <row r="21" spans="2:41" s="202" customFormat="1" ht="15" customHeight="1" x14ac:dyDescent="0.25">
      <c r="B21" s="530"/>
      <c r="C21" s="530" t="s">
        <v>395</v>
      </c>
      <c r="D21" s="200" t="str">
        <f>VLOOKUP(Table2[[#This Row],[Course Title]],'TSD-Data'!$A$1:$E$83,2,FALSE)</f>
        <v>A-493-0030</v>
      </c>
      <c r="E21" s="200" t="str">
        <f>VLOOKUP(Table2[[#This Row],[Course Title]],'TSD-Data'!$A$1:$E$83,3,FALSE)</f>
        <v>286X</v>
      </c>
      <c r="F21" s="530" t="s">
        <v>130</v>
      </c>
      <c r="G21" s="531">
        <v>45950</v>
      </c>
      <c r="H21" s="531">
        <v>45954</v>
      </c>
      <c r="I21" s="531" t="s">
        <v>42</v>
      </c>
      <c r="J21" s="532">
        <v>0.33333333333333331</v>
      </c>
      <c r="K21" s="545"/>
      <c r="L21" s="531"/>
      <c r="M21" s="531"/>
      <c r="N21" s="531"/>
      <c r="O21" s="531"/>
      <c r="P21" s="531"/>
      <c r="Q21" s="535" t="s">
        <v>438</v>
      </c>
      <c r="R21" s="535"/>
      <c r="S21" s="535"/>
      <c r="T21" s="200">
        <f>VLOOKUP(Table2[[#This Row],[Course Title]],'TSD-Data'!$A$1:$E$83,4,FALSE)</f>
        <v>25</v>
      </c>
      <c r="U21" s="200">
        <f>VLOOKUP(Table2[[#This Row],[Course Title]],'TSD-Data'!$A$1:$F$83,6,FALSE)</f>
        <v>40</v>
      </c>
      <c r="V21" s="201">
        <f>VLOOKUP(Table2[[#This Row],[Course Title]],'TSD-Data'!$A$1:$F$83,5,FALSE)</f>
        <v>5</v>
      </c>
      <c r="W21" s="201">
        <v>195</v>
      </c>
      <c r="X21" s="200">
        <f>Table2[[#This Row],[Quotas]]-Table2[[#This Row],[Open Quotas]]</f>
        <v>11</v>
      </c>
      <c r="Y21" s="200">
        <v>0</v>
      </c>
      <c r="Z21" s="201">
        <v>4</v>
      </c>
      <c r="AA21" s="201">
        <v>0</v>
      </c>
      <c r="AB21" s="200">
        <v>0</v>
      </c>
      <c r="AC21" s="200">
        <v>0</v>
      </c>
      <c r="AD21" s="200">
        <v>0</v>
      </c>
      <c r="AE21" s="200" t="s">
        <v>429</v>
      </c>
      <c r="AF21" s="495">
        <f ca="1">Table2[[#This Row],[End Date]]+2-TODAY()</f>
        <v>-288</v>
      </c>
      <c r="AG21" s="496">
        <f>IF(ISBLANK(Table2[[#This Row],[Roster Received by]]),1,0)</f>
        <v>0</v>
      </c>
      <c r="AH21" s="496">
        <f ca="1">IF(Table2[[#This Row],[Start Date]]&gt;TODAY(),1,)</f>
        <v>0</v>
      </c>
      <c r="AI21" s="496">
        <f>IF(ISBLANK(Table2[[#This Row],[Primary Instructor]]),0,1)</f>
        <v>1</v>
      </c>
      <c r="AJ21" s="496">
        <f>IF(ISBLANK(Table2[[#This Row],[Instructor 2]]),0,1)</f>
        <v>0</v>
      </c>
      <c r="AK21" s="496">
        <f>Table2[[#This Row],[Course Length (Hours)]]/(Table2[[#This Row],[1 Instructor]]+Table2[[#This Row],[2 Instructors]])</f>
        <v>40</v>
      </c>
      <c r="AL21" s="318">
        <v>14</v>
      </c>
      <c r="AM21" s="496">
        <v>1</v>
      </c>
      <c r="AN21" s="496" t="str">
        <f>VLOOKUP(Table2[[#This Row],[Course Title]],'TSD-Data'!$A$1:$G$83,7,FALSE)</f>
        <v>N3</v>
      </c>
      <c r="AO21" s="500">
        <f>Table2[[#This Row],[Quotas]]-Table2[[#This Row],[Graduates]]-Table2[[#This Row],[Fail]]</f>
        <v>21</v>
      </c>
    </row>
    <row r="22" spans="2:41" s="202" customFormat="1" ht="15" customHeight="1" x14ac:dyDescent="0.25">
      <c r="B22" s="530"/>
      <c r="C22" s="530" t="s">
        <v>282</v>
      </c>
      <c r="D22" s="200" t="str">
        <f>VLOOKUP(Table2[[#This Row],[Course Title]],'TSD-Data'!$A$1:$E$83,2,FALSE)</f>
        <v xml:space="preserve">A-493-0075 </v>
      </c>
      <c r="E22" s="200" t="str">
        <f>VLOOKUP(Table2[[#This Row],[Course Title]],'TSD-Data'!$A$1:$E$83,3,FALSE)</f>
        <v>714U</v>
      </c>
      <c r="F22" s="530" t="s">
        <v>101</v>
      </c>
      <c r="G22" s="531">
        <v>45950</v>
      </c>
      <c r="H22" s="531">
        <v>45953</v>
      </c>
      <c r="I22" s="531" t="s">
        <v>42</v>
      </c>
      <c r="J22" s="532">
        <v>0.33333333333333331</v>
      </c>
      <c r="K22" s="532"/>
      <c r="L22" s="531"/>
      <c r="M22" s="531"/>
      <c r="N22" s="531"/>
      <c r="O22" s="531"/>
      <c r="P22" s="531"/>
      <c r="Q22" s="535" t="s">
        <v>280</v>
      </c>
      <c r="R22" s="535"/>
      <c r="S22" s="535"/>
      <c r="T22" s="200">
        <f>VLOOKUP(Table2[[#This Row],[Course Title]],'TSD-Data'!$A$1:$E$83,4,FALSE)</f>
        <v>30</v>
      </c>
      <c r="U22" s="200">
        <f>VLOOKUP(Table2[[#This Row],[Course Title]],'TSD-Data'!$A$1:$F$83,6,FALSE)</f>
        <v>32</v>
      </c>
      <c r="V22" s="201">
        <f>VLOOKUP(Table2[[#This Row],[Course Title]],'TSD-Data'!$A$1:$F$83,5,FALSE)</f>
        <v>4</v>
      </c>
      <c r="W22" s="201"/>
      <c r="X22" s="200">
        <f>Table2[[#This Row],[Quotas]]-Table2[[#This Row],[Open Quotas]]</f>
        <v>10</v>
      </c>
      <c r="Y22" s="200">
        <v>0</v>
      </c>
      <c r="Z22" s="201">
        <v>3</v>
      </c>
      <c r="AA22" s="201">
        <v>0</v>
      </c>
      <c r="AB22" s="200">
        <v>0</v>
      </c>
      <c r="AC22" s="200">
        <v>1</v>
      </c>
      <c r="AD22" s="200">
        <v>0</v>
      </c>
      <c r="AE22" s="200" t="s">
        <v>431</v>
      </c>
      <c r="AF22" s="495">
        <f ca="1">Table2[[#This Row],[End Date]]+2-TODAY()</f>
        <v>-289</v>
      </c>
      <c r="AG22" s="496">
        <f>IF(ISBLANK(Table2[[#This Row],[Roster Received by]]),1,0)</f>
        <v>0</v>
      </c>
      <c r="AH22" s="496">
        <f ca="1">IF(Table2[[#This Row],[Start Date]]&gt;TODAY(),1,)</f>
        <v>0</v>
      </c>
      <c r="AI22" s="496">
        <f>IF(ISBLANK(Table2[[#This Row],[Primary Instructor]]),0,1)</f>
        <v>1</v>
      </c>
      <c r="AJ22" s="496">
        <f>IF(ISBLANK(Table2[[#This Row],[Instructor 2]]),0,1)</f>
        <v>0</v>
      </c>
      <c r="AK22" s="496">
        <f>Table2[[#This Row],[Course Length (Hours)]]/(Table2[[#This Row],[1 Instructor]]+Table2[[#This Row],[2 Instructors]])</f>
        <v>32</v>
      </c>
      <c r="AL22" s="318">
        <v>20</v>
      </c>
      <c r="AM22" s="496">
        <v>1</v>
      </c>
      <c r="AN22" s="496" t="str">
        <f>VLOOKUP(Table2[[#This Row],[Course Title]],'TSD-Data'!$A$1:$G$83,7,FALSE)</f>
        <v>N5</v>
      </c>
      <c r="AO22" s="500">
        <f>Table2[[#This Row],[Quotas]]-Table2[[#This Row],[Graduates]]-Table2[[#This Row],[Fail]]</f>
        <v>27</v>
      </c>
    </row>
    <row r="23" spans="2:41" s="202" customFormat="1" ht="15" customHeight="1" x14ac:dyDescent="0.25">
      <c r="B23" s="155"/>
      <c r="C23" s="321" t="s">
        <v>49</v>
      </c>
      <c r="D23" s="200" t="str">
        <f>VLOOKUP(Table2[[#This Row],[Course Title]],'TSD-Data'!$A$1:$E$83,2,FALSE)</f>
        <v>A-493-0012</v>
      </c>
      <c r="E23" s="200">
        <f>VLOOKUP(Table2[[#This Row],[Course Title]],'TSD-Data'!$A$1:$E$83,3,FALSE)</f>
        <v>3682</v>
      </c>
      <c r="F23" s="321" t="s">
        <v>41</v>
      </c>
      <c r="G23" s="129">
        <v>45950</v>
      </c>
      <c r="H23" s="129">
        <v>45954</v>
      </c>
      <c r="I23" s="531" t="s">
        <v>42</v>
      </c>
      <c r="J23" s="532">
        <v>0.33333333333333331</v>
      </c>
      <c r="K23" s="532"/>
      <c r="L23" s="531"/>
      <c r="M23" s="531"/>
      <c r="N23" s="531"/>
      <c r="O23" s="531"/>
      <c r="P23" s="531"/>
      <c r="Q23" s="535" t="s">
        <v>439</v>
      </c>
      <c r="R23" s="535"/>
      <c r="S23" s="535"/>
      <c r="T23" s="200">
        <f>VLOOKUP(Table2[[#This Row],[Course Title]],'TSD-Data'!$A$1:$E$83,4,FALSE)</f>
        <v>40</v>
      </c>
      <c r="U23" s="200">
        <f>VLOOKUP(Table2[[#This Row],[Course Title]],'TSD-Data'!$A$1:$F$83,6,FALSE)</f>
        <v>40</v>
      </c>
      <c r="V23" s="201">
        <f>VLOOKUP(Table2[[#This Row],[Course Title]],'TSD-Data'!$A$1:$F$83,5,FALSE)</f>
        <v>5</v>
      </c>
      <c r="W23" s="200">
        <v>30</v>
      </c>
      <c r="X23" s="200">
        <f>Table2[[#This Row],[Quotas]]-Table2[[#This Row],[Open Quotas]]</f>
        <v>38</v>
      </c>
      <c r="Y23" s="200">
        <v>0</v>
      </c>
      <c r="Z23" s="201">
        <v>29</v>
      </c>
      <c r="AA23" s="201">
        <v>1</v>
      </c>
      <c r="AB23" s="200">
        <v>0</v>
      </c>
      <c r="AC23" s="200">
        <v>2</v>
      </c>
      <c r="AD23" s="200">
        <v>0</v>
      </c>
      <c r="AE23" s="200" t="s">
        <v>440</v>
      </c>
      <c r="AF23" s="495">
        <f ca="1">Table2[[#This Row],[End Date]]+2-TODAY()</f>
        <v>-288</v>
      </c>
      <c r="AG23" s="496">
        <f>IF(ISBLANK(Table2[[#This Row],[Roster Received by]]),1,0)</f>
        <v>0</v>
      </c>
      <c r="AH23" s="496">
        <f ca="1">IF(Table2[[#This Row],[Start Date]]&gt;TODAY(),1,)</f>
        <v>0</v>
      </c>
      <c r="AI23" s="496">
        <f>IF(ISBLANK(Table2[[#This Row],[Primary Instructor]]),0,1)</f>
        <v>1</v>
      </c>
      <c r="AJ23" s="496">
        <f>IF(ISBLANK(Table2[[#This Row],[Instructor 2]]),0,1)</f>
        <v>0</v>
      </c>
      <c r="AK23" s="496">
        <f>Table2[[#This Row],[Course Length (Hours)]]/(Table2[[#This Row],[1 Instructor]]+Table2[[#This Row],[2 Instructors]])</f>
        <v>40</v>
      </c>
      <c r="AL23" s="318">
        <v>2</v>
      </c>
      <c r="AM23" s="496">
        <v>1</v>
      </c>
      <c r="AN23" s="496" t="str">
        <f>VLOOKUP(Table2[[#This Row],[Course Title]],'TSD-Data'!$A$1:$G$83,7,FALSE)</f>
        <v>N4</v>
      </c>
      <c r="AO23" s="500">
        <f>Table2[[#This Row],[Quotas]]-Table2[[#This Row],[Graduates]]-Table2[[#This Row],[Fail]]</f>
        <v>10</v>
      </c>
    </row>
    <row r="24" spans="2:41" s="202" customFormat="1" ht="15" customHeight="1" x14ac:dyDescent="0.25">
      <c r="B24" s="530"/>
      <c r="C24" s="530" t="s">
        <v>213</v>
      </c>
      <c r="D24" s="200" t="str">
        <f>VLOOKUP(Table2[[#This Row],[Course Title]],'TSD-Data'!$A$1:$E$83,2,FALSE)</f>
        <v>A-322-2604</v>
      </c>
      <c r="E24" s="200" t="str">
        <f>VLOOKUP(Table2[[#This Row],[Course Title]],'TSD-Data'!$A$1:$E$83,3,FALSE)</f>
        <v>10ZZ</v>
      </c>
      <c r="F24" s="530" t="s">
        <v>54</v>
      </c>
      <c r="G24" s="531">
        <v>45950</v>
      </c>
      <c r="H24" s="531">
        <v>45952</v>
      </c>
      <c r="I24" s="531" t="s">
        <v>42</v>
      </c>
      <c r="J24" s="532"/>
      <c r="K24" s="536">
        <v>1900.7916666666667</v>
      </c>
      <c r="L24" s="536">
        <v>0.66666666666666663</v>
      </c>
      <c r="M24" s="536">
        <v>8.3333333333333329E-2</v>
      </c>
      <c r="N24" s="536">
        <v>0</v>
      </c>
      <c r="O24" s="536">
        <v>0.54166666666666663</v>
      </c>
      <c r="P24" s="536">
        <v>0.33333333333333331</v>
      </c>
      <c r="Q24" s="535" t="s">
        <v>432</v>
      </c>
      <c r="R24" s="535"/>
      <c r="S24" s="535"/>
      <c r="T24" s="200">
        <f>VLOOKUP(Table2[[#This Row],[Course Title]],'TSD-Data'!$A$1:$E$83,4,FALSE)</f>
        <v>45</v>
      </c>
      <c r="U24" s="200">
        <f>VLOOKUP(Table2[[#This Row],[Course Title]],'TSD-Data'!$A$1:$F$83,6,FALSE)</f>
        <v>24</v>
      </c>
      <c r="V24" s="201">
        <f>VLOOKUP(Table2[[#This Row],[Course Title]],'TSD-Data'!$A$1:$F$83,5,FALSE)</f>
        <v>3</v>
      </c>
      <c r="W24" s="201">
        <v>174</v>
      </c>
      <c r="X24" s="200">
        <f>Table2[[#This Row],[Quotas]]-Table2[[#This Row],[Open Quotas]]</f>
        <v>45</v>
      </c>
      <c r="Y24" s="200">
        <v>4</v>
      </c>
      <c r="Z24" s="201">
        <v>39</v>
      </c>
      <c r="AA24" s="201">
        <v>0</v>
      </c>
      <c r="AB24" s="200">
        <v>0</v>
      </c>
      <c r="AC24" s="200">
        <v>4</v>
      </c>
      <c r="AD24" s="200">
        <v>0</v>
      </c>
      <c r="AE24" s="200" t="s">
        <v>431</v>
      </c>
      <c r="AF24" s="495">
        <f ca="1">Table2[[#This Row],[End Date]]+2-TODAY()</f>
        <v>-290</v>
      </c>
      <c r="AG24" s="496">
        <f>IF(ISBLANK(Table2[[#This Row],[Roster Received by]]),1,0)</f>
        <v>0</v>
      </c>
      <c r="AH24" s="496">
        <f ca="1">IF(Table2[[#This Row],[Start Date]]&gt;TODAY(),1,)</f>
        <v>0</v>
      </c>
      <c r="AI24" s="496">
        <f>IF(ISBLANK(Table2[[#This Row],[Primary Instructor]]),0,1)</f>
        <v>1</v>
      </c>
      <c r="AJ24" s="496">
        <f>IF(ISBLANK(Table2[[#This Row],[Instructor 2]]),0,1)</f>
        <v>0</v>
      </c>
      <c r="AK24" s="496">
        <f>Table2[[#This Row],[Course Length (Hours)]]/(Table2[[#This Row],[1 Instructor]]+Table2[[#This Row],[2 Instructors]])</f>
        <v>24</v>
      </c>
      <c r="AL24" s="318">
        <v>0</v>
      </c>
      <c r="AM24" s="496">
        <v>1</v>
      </c>
      <c r="AN24" s="496" t="str">
        <f>VLOOKUP(Table2[[#This Row],[Course Title]],'TSD-Data'!$A$1:$G$83,7,FALSE)</f>
        <v>N8</v>
      </c>
      <c r="AO24" s="500">
        <f>Table2[[#This Row],[Quotas]]-Table2[[#This Row],[Graduates]]-Table2[[#This Row],[Fail]]</f>
        <v>6</v>
      </c>
    </row>
    <row r="25" spans="2:41" s="202" customFormat="1" ht="15" customHeight="1" x14ac:dyDescent="0.25">
      <c r="B25" s="530"/>
      <c r="C25" s="530" t="s">
        <v>401</v>
      </c>
      <c r="D25" s="200" t="str">
        <f>VLOOKUP(Table2[[#This Row],[Course Title]],'TSD-Data'!$A$1:$E$83,2,FALSE)</f>
        <v>A-493-3002</v>
      </c>
      <c r="E25" s="200" t="str">
        <f>VLOOKUP(Table2[[#This Row],[Course Title]],'TSD-Data'!$A$1:$E$83,3,FALSE)</f>
        <v>31V4</v>
      </c>
      <c r="F25" s="530" t="s">
        <v>54</v>
      </c>
      <c r="G25" s="531">
        <v>45950</v>
      </c>
      <c r="H25" s="531">
        <v>45950</v>
      </c>
      <c r="I25" s="531" t="s">
        <v>42</v>
      </c>
      <c r="J25" s="532"/>
      <c r="K25" s="536">
        <v>0.33333333333333331</v>
      </c>
      <c r="L25" s="532">
        <v>0.20833333333333334</v>
      </c>
      <c r="M25" s="532">
        <v>0.625</v>
      </c>
      <c r="N25" s="532">
        <v>0.58333333333333337</v>
      </c>
      <c r="O25" s="532">
        <v>0.125</v>
      </c>
      <c r="P25" s="532">
        <v>0.875</v>
      </c>
      <c r="Q25" s="535" t="s">
        <v>441</v>
      </c>
      <c r="R25" s="535"/>
      <c r="S25" s="535"/>
      <c r="T25" s="200">
        <f>VLOOKUP(Table2[[#This Row],[Course Title]],'TSD-Data'!$A$1:$E$83,4,FALSE)</f>
        <v>1000</v>
      </c>
      <c r="U25" s="200">
        <f>VLOOKUP(Table2[[#This Row],[Course Title]],'TSD-Data'!$A$1:$F$83,6,FALSE)</f>
        <v>8</v>
      </c>
      <c r="V25" s="201">
        <f>VLOOKUP(Table2[[#This Row],[Course Title]],'TSD-Data'!$A$1:$F$83,5,FALSE)</f>
        <v>1</v>
      </c>
      <c r="W25" s="201">
        <v>0</v>
      </c>
      <c r="X25" s="200">
        <f>Table2[[#This Row],[Quotas]]-Table2[[#This Row],[Open Quotas]]</f>
        <v>38</v>
      </c>
      <c r="Y25" s="200">
        <v>0</v>
      </c>
      <c r="Z25" s="201">
        <v>60</v>
      </c>
      <c r="AA25" s="201">
        <v>0</v>
      </c>
      <c r="AB25" s="200">
        <v>0</v>
      </c>
      <c r="AC25" s="200">
        <v>0</v>
      </c>
      <c r="AD25" s="200">
        <v>0</v>
      </c>
      <c r="AE25" s="200" t="s">
        <v>442</v>
      </c>
      <c r="AF25" s="495">
        <f ca="1">Table2[[#This Row],[End Date]]+2-TODAY()</f>
        <v>-292</v>
      </c>
      <c r="AG25" s="496">
        <f>IF(ISBLANK(Table2[[#This Row],[Roster Received by]]),1,0)</f>
        <v>0</v>
      </c>
      <c r="AH25" s="496">
        <f ca="1">IF(Table2[[#This Row],[Start Date]]&gt;TODAY(),1,)</f>
        <v>0</v>
      </c>
      <c r="AI25" s="496">
        <f>IF(ISBLANK(Table2[[#This Row],[Primary Instructor]]),0,1)</f>
        <v>1</v>
      </c>
      <c r="AJ25" s="496">
        <f>IF(ISBLANK(Table2[[#This Row],[Instructor 2]]),0,1)</f>
        <v>0</v>
      </c>
      <c r="AK25" s="496">
        <f>AJ296</f>
        <v>0</v>
      </c>
      <c r="AL25" s="318">
        <v>962</v>
      </c>
      <c r="AM25" s="496">
        <v>1</v>
      </c>
      <c r="AN25" s="496" t="str">
        <f>VLOOKUP(Table2[[#This Row],[Course Title]],'TSD-Data'!$A$1:$G$83,7,FALSE)</f>
        <v>N8-RMI</v>
      </c>
      <c r="AO25" s="500">
        <f>Table2[[#This Row],[Quotas]]-Table2[[#This Row],[Graduates]]-Table2[[#This Row],[Fail]]</f>
        <v>940</v>
      </c>
    </row>
    <row r="26" spans="2:41" ht="15" customHeight="1" x14ac:dyDescent="0.25">
      <c r="B26" s="530"/>
      <c r="C26" s="530" t="s">
        <v>407</v>
      </c>
      <c r="D26" s="200" t="str">
        <f>VLOOKUP(Table2[[#This Row],[Course Title]],'TSD-Data'!$A$1:$E$83,2,FALSE)</f>
        <v>A-493-3003</v>
      </c>
      <c r="E26" s="200" t="str">
        <f>VLOOKUP(Table2[[#This Row],[Course Title]],'TSD-Data'!$A$1:$E$83,3,FALSE)</f>
        <v>31V5</v>
      </c>
      <c r="F26" s="530" t="s">
        <v>54</v>
      </c>
      <c r="G26" s="531">
        <v>45950</v>
      </c>
      <c r="H26" s="531">
        <v>45952</v>
      </c>
      <c r="I26" s="531" t="s">
        <v>42</v>
      </c>
      <c r="J26" s="532"/>
      <c r="K26" s="536">
        <v>0.625</v>
      </c>
      <c r="L26" s="532">
        <v>0.5</v>
      </c>
      <c r="M26" s="532">
        <v>0.91666666666666663</v>
      </c>
      <c r="N26" s="532">
        <v>0.875</v>
      </c>
      <c r="O26" s="532">
        <v>0.41666666666666669</v>
      </c>
      <c r="P26" s="532">
        <v>0.16666666666666666</v>
      </c>
      <c r="Q26" s="535" t="s">
        <v>441</v>
      </c>
      <c r="R26" s="535"/>
      <c r="S26" s="535"/>
      <c r="T26" s="200">
        <f>VLOOKUP(Table2[[#This Row],[Course Title]],'TSD-Data'!$A$1:$E$83,4,FALSE)</f>
        <v>1000</v>
      </c>
      <c r="U26" s="200">
        <f>VLOOKUP(Table2[[#This Row],[Course Title]],'TSD-Data'!$A$1:$F$83,6,FALSE)</f>
        <v>2</v>
      </c>
      <c r="V26" s="201">
        <f>VLOOKUP(Table2[[#This Row],[Course Title]],'TSD-Data'!$A$1:$F$83,5,FALSE)</f>
        <v>0.25</v>
      </c>
      <c r="W26" s="201"/>
      <c r="X26" s="200">
        <f>Table2[[#This Row],[Quotas]]-Table2[[#This Row],[Open Quotas]]</f>
        <v>17</v>
      </c>
      <c r="Y26" s="200">
        <v>0</v>
      </c>
      <c r="Z26" s="201">
        <v>34</v>
      </c>
      <c r="AA26" s="201">
        <v>0</v>
      </c>
      <c r="AB26" s="200">
        <v>0</v>
      </c>
      <c r="AC26" s="200">
        <v>0</v>
      </c>
      <c r="AD26" s="200">
        <v>0</v>
      </c>
      <c r="AE26" s="200" t="s">
        <v>442</v>
      </c>
      <c r="AF26" s="495">
        <f ca="1">Table2[[#This Row],[End Date]]+2-TODAY()</f>
        <v>-290</v>
      </c>
      <c r="AG26" s="496">
        <f>IF(ISBLANK(Table2[[#This Row],[Roster Received by]]),1,0)</f>
        <v>0</v>
      </c>
      <c r="AH26" s="496">
        <f ca="1">IF(Table2[[#This Row],[Start Date]]&gt;TODAY(),1,)</f>
        <v>0</v>
      </c>
      <c r="AI26" s="496">
        <f>IF(ISBLANK(Table2[[#This Row],[Primary Instructor]]),0,1)</f>
        <v>1</v>
      </c>
      <c r="AJ26" s="496">
        <f>IF(ISBLANK(Table2[[#This Row],[Instructor 2]]),0,1)</f>
        <v>0</v>
      </c>
      <c r="AK26" s="496">
        <f>AJ297</f>
        <v>0</v>
      </c>
      <c r="AL26" s="318">
        <v>983</v>
      </c>
      <c r="AM26" s="496">
        <v>1</v>
      </c>
      <c r="AN26" s="496" t="str">
        <f>VLOOKUP(Table2[[#This Row],[Course Title]],'TSD-Data'!$A$1:$G$83,7,FALSE)</f>
        <v>N8-RMI</v>
      </c>
      <c r="AO26" s="500">
        <f>Table2[[#This Row],[Quotas]]-Table2[[#This Row],[Graduates]]-Table2[[#This Row],[Fail]]</f>
        <v>966</v>
      </c>
    </row>
    <row r="27" spans="2:41" ht="15" customHeight="1" x14ac:dyDescent="0.25">
      <c r="B27" s="530"/>
      <c r="C27" s="530" t="s">
        <v>410</v>
      </c>
      <c r="D27" s="200" t="str">
        <f>VLOOKUP(Table2[[#This Row],[Course Title]],'TSD-Data'!$A$1:$E$83,2,FALSE)</f>
        <v>A-493-3006</v>
      </c>
      <c r="E27" s="200" t="str">
        <f>VLOOKUP(Table2[[#This Row],[Course Title]],'TSD-Data'!$A$1:$E$83,3,FALSE)</f>
        <v>31V8</v>
      </c>
      <c r="F27" s="530" t="s">
        <v>54</v>
      </c>
      <c r="G27" s="531">
        <v>45950</v>
      </c>
      <c r="H27" s="531">
        <v>45950</v>
      </c>
      <c r="I27" s="531" t="s">
        <v>42</v>
      </c>
      <c r="J27" s="532"/>
      <c r="K27" s="533">
        <v>0.54166666666666663</v>
      </c>
      <c r="L27" s="534">
        <v>0.41666666666666669</v>
      </c>
      <c r="M27" s="534">
        <v>0.83333333333333337</v>
      </c>
      <c r="N27" s="534">
        <v>0.79166666666666663</v>
      </c>
      <c r="O27" s="534">
        <v>0.29166666666666669</v>
      </c>
      <c r="P27" s="534">
        <v>8.3333333333333329E-2</v>
      </c>
      <c r="Q27" s="535" t="s">
        <v>441</v>
      </c>
      <c r="R27" s="535"/>
      <c r="S27" s="535"/>
      <c r="T27" s="200">
        <f>VLOOKUP(Table2[[#This Row],[Course Title]],'TSD-Data'!$A$1:$E$83,4,FALSE)</f>
        <v>1000</v>
      </c>
      <c r="U27" s="200">
        <f>VLOOKUP(Table2[[#This Row],[Course Title]],'TSD-Data'!$A$1:$F$83,6,FALSE)</f>
        <v>2</v>
      </c>
      <c r="V27" s="201">
        <f>VLOOKUP(Table2[[#This Row],[Course Title]],'TSD-Data'!$A$1:$F$83,5,FALSE)</f>
        <v>0.1</v>
      </c>
      <c r="W27" s="201"/>
      <c r="X27" s="200">
        <f>Table2[[#This Row],[Quotas]]-Table2[[#This Row],[Open Quotas]]</f>
        <v>1</v>
      </c>
      <c r="Y27" s="200">
        <v>0</v>
      </c>
      <c r="Z27" s="201">
        <v>39</v>
      </c>
      <c r="AA27" s="201">
        <v>0</v>
      </c>
      <c r="AB27" s="200">
        <v>0</v>
      </c>
      <c r="AC27" s="200">
        <v>0</v>
      </c>
      <c r="AD27" s="200">
        <v>0</v>
      </c>
      <c r="AE27" s="200" t="s">
        <v>442</v>
      </c>
      <c r="AF27" s="495">
        <f ca="1">Table2[[#This Row],[End Date]]+2-TODAY()</f>
        <v>-292</v>
      </c>
      <c r="AG27" s="496">
        <f>IF(ISBLANK(Table2[[#This Row],[Roster Received by]]),1,0)</f>
        <v>0</v>
      </c>
      <c r="AH27" s="496">
        <f ca="1">IF(Table2[[#This Row],[Start Date]]&gt;TODAY(),1,)</f>
        <v>0</v>
      </c>
      <c r="AI27" s="496">
        <f>IF(ISBLANK(Table2[[#This Row],[Primary Instructor]]),0,1)</f>
        <v>1</v>
      </c>
      <c r="AJ27" s="496">
        <f>IF(ISBLANK(Table2[[#This Row],[Instructor 2]]),0,1)</f>
        <v>0</v>
      </c>
      <c r="AK27" s="496">
        <f>AJ298</f>
        <v>0</v>
      </c>
      <c r="AL27" s="318">
        <v>999</v>
      </c>
      <c r="AM27" s="496">
        <v>1</v>
      </c>
      <c r="AN27" s="496" t="str">
        <f>VLOOKUP(Table2[[#This Row],[Course Title]],'TSD-Data'!$A$1:$G$83,7,FALSE)</f>
        <v>N8-RMI</v>
      </c>
      <c r="AO27" s="500">
        <f>Table2[[#This Row],[Quotas]]-Table2[[#This Row],[Graduates]]-Table2[[#This Row],[Fail]]</f>
        <v>961</v>
      </c>
    </row>
    <row r="28" spans="2:41" s="202" customFormat="1" ht="15.6" customHeight="1" x14ac:dyDescent="0.25">
      <c r="B28" s="530"/>
      <c r="C28" s="538" t="s">
        <v>413</v>
      </c>
      <c r="D28" s="200" t="str">
        <f>VLOOKUP(Table2[[#This Row],[Course Title]],'TSD-Data'!$A$1:$E$83,2,FALSE)</f>
        <v>A-493-3007</v>
      </c>
      <c r="E28" s="200" t="str">
        <f>VLOOKUP(Table2[[#This Row],[Course Title]],'TSD-Data'!$A$1:$E$83,3,FALSE)</f>
        <v>31V9</v>
      </c>
      <c r="F28" s="530" t="s">
        <v>54</v>
      </c>
      <c r="G28" s="531">
        <v>45950</v>
      </c>
      <c r="H28" s="531">
        <v>45950</v>
      </c>
      <c r="I28" s="531" t="s">
        <v>42</v>
      </c>
      <c r="J28" s="532"/>
      <c r="K28" s="536">
        <v>0.58333333333333337</v>
      </c>
      <c r="L28" s="532">
        <v>0.45833333333333331</v>
      </c>
      <c r="M28" s="532">
        <v>0.83333333333333337</v>
      </c>
      <c r="N28" s="532">
        <v>0.79166666666666663</v>
      </c>
      <c r="O28" s="532">
        <v>0.33333333333333331</v>
      </c>
      <c r="P28" s="532">
        <v>8.3333333333333329E-2</v>
      </c>
      <c r="Q28" s="535" t="s">
        <v>441</v>
      </c>
      <c r="R28" s="535"/>
      <c r="S28" s="535"/>
      <c r="T28" s="200">
        <f>VLOOKUP(Table2[[#This Row],[Course Title]],'TSD-Data'!$A$1:$E$83,4,FALSE)</f>
        <v>1000</v>
      </c>
      <c r="U28" s="200">
        <f>VLOOKUP(Table2[[#This Row],[Course Title]],'TSD-Data'!$A$1:$F$83,6,FALSE)</f>
        <v>2.5</v>
      </c>
      <c r="V28" s="201">
        <f>VLOOKUP(Table2[[#This Row],[Course Title]],'TSD-Data'!$A$1:$F$83,5,FALSE)</f>
        <v>0.3</v>
      </c>
      <c r="W28" s="201"/>
      <c r="X28" s="200">
        <f>Table2[[#This Row],[Quotas]]-Table2[[#This Row],[Open Quotas]]</f>
        <v>1</v>
      </c>
      <c r="Y28" s="200">
        <v>0</v>
      </c>
      <c r="Z28" s="201">
        <v>43</v>
      </c>
      <c r="AA28" s="201">
        <v>0</v>
      </c>
      <c r="AB28" s="200">
        <v>0</v>
      </c>
      <c r="AC28" s="200">
        <v>0</v>
      </c>
      <c r="AD28" s="200">
        <v>0</v>
      </c>
      <c r="AE28" s="200" t="s">
        <v>442</v>
      </c>
      <c r="AF28" s="495">
        <f ca="1">Table2[[#This Row],[End Date]]+2-TODAY()</f>
        <v>-292</v>
      </c>
      <c r="AG28" s="496">
        <f>IF(ISBLANK(Table2[[#This Row],[Roster Received by]]),1,0)</f>
        <v>0</v>
      </c>
      <c r="AH28" s="496">
        <f ca="1">IF(Table2[[#This Row],[Start Date]]&gt;TODAY(),1,)</f>
        <v>0</v>
      </c>
      <c r="AI28" s="496">
        <f>IF(ISBLANK(Table2[[#This Row],[Primary Instructor]]),0,1)</f>
        <v>1</v>
      </c>
      <c r="AJ28" s="496">
        <f>IF(ISBLANK(Table2[[#This Row],[Instructor 2]]),0,1)</f>
        <v>0</v>
      </c>
      <c r="AK28" s="496">
        <f>AJ299</f>
        <v>0</v>
      </c>
      <c r="AL28" s="318">
        <v>999</v>
      </c>
      <c r="AM28" s="496">
        <v>1</v>
      </c>
      <c r="AN28" s="496" t="str">
        <f>VLOOKUP(Table2[[#This Row],[Course Title]],'TSD-Data'!$A$1:$G$83,7,FALSE)</f>
        <v>N8-RMI</v>
      </c>
      <c r="AO28" s="500">
        <f>Table2[[#This Row],[Quotas]]-Table2[[#This Row],[Graduates]]-Table2[[#This Row],[Fail]]</f>
        <v>957</v>
      </c>
    </row>
    <row r="29" spans="2:41" s="202" customFormat="1" ht="15" customHeight="1" x14ac:dyDescent="0.25">
      <c r="B29" s="530"/>
      <c r="C29" s="538" t="s">
        <v>414</v>
      </c>
      <c r="D29" s="200" t="str">
        <f>VLOOKUP(Table2[[#This Row],[Course Title]],'TSD-Data'!$A$1:$E$83,2,FALSE)</f>
        <v>A-4J-0019</v>
      </c>
      <c r="E29" s="200" t="str">
        <f>VLOOKUP(Table2[[#This Row],[Course Title]],'TSD-Data'!$A$1:$E$83,3,FALSE)</f>
        <v>28SL/285M</v>
      </c>
      <c r="F29" s="530" t="s">
        <v>443</v>
      </c>
      <c r="G29" s="531">
        <v>45950</v>
      </c>
      <c r="H29" s="531">
        <v>45954</v>
      </c>
      <c r="I29" s="531" t="s">
        <v>42</v>
      </c>
      <c r="J29" s="532">
        <v>0.3125</v>
      </c>
      <c r="K29" s="534"/>
      <c r="L29" s="537"/>
      <c r="M29" s="537"/>
      <c r="N29" s="537"/>
      <c r="O29" s="537"/>
      <c r="P29" s="537"/>
      <c r="Q29" s="535" t="s">
        <v>444</v>
      </c>
      <c r="R29" s="535" t="s">
        <v>445</v>
      </c>
      <c r="S29" s="535"/>
      <c r="T29" s="200">
        <f>VLOOKUP(Table2[[#This Row],[Course Title]],'TSD-Data'!$A$1:$E$83,4,FALSE)</f>
        <v>20</v>
      </c>
      <c r="U29" s="200">
        <f>VLOOKUP(Table2[[#This Row],[Course Title]],'TSD-Data'!$A$1:$F$83,6,FALSE)</f>
        <v>40</v>
      </c>
      <c r="V29" s="201">
        <f>VLOOKUP(Table2[[#This Row],[Course Title]],'TSD-Data'!$A$1:$F$83,5,FALSE)</f>
        <v>5</v>
      </c>
      <c r="W29" s="201">
        <v>148</v>
      </c>
      <c r="X29" s="200">
        <f>Table2[[#This Row],[Quotas]]-Table2[[#This Row],[Open Quotas]]</f>
        <v>20</v>
      </c>
      <c r="Y29" s="200">
        <v>0</v>
      </c>
      <c r="Z29" s="201">
        <v>16</v>
      </c>
      <c r="AA29" s="201">
        <v>0</v>
      </c>
      <c r="AB29" s="200">
        <v>0</v>
      </c>
      <c r="AC29" s="200">
        <v>1</v>
      </c>
      <c r="AD29" s="200">
        <v>0</v>
      </c>
      <c r="AE29" s="200" t="s">
        <v>431</v>
      </c>
      <c r="AF29" s="495">
        <f ca="1">Table2[[#This Row],[End Date]]+2-TODAY()</f>
        <v>-288</v>
      </c>
      <c r="AG29" s="496">
        <f>IF(ISBLANK(Table2[[#This Row],[Roster Received by]]),1,0)</f>
        <v>0</v>
      </c>
      <c r="AH29" s="496">
        <f ca="1">IF(Table2[[#This Row],[Start Date]]&gt;TODAY(),1,)</f>
        <v>0</v>
      </c>
      <c r="AI29" s="496">
        <f>IF(ISBLANK(Table2[[#This Row],[Primary Instructor]]),0,1)</f>
        <v>1</v>
      </c>
      <c r="AJ29" s="496">
        <f>IF(ISBLANK(Table2[[#This Row],[Instructor 2]]),0,1)</f>
        <v>1</v>
      </c>
      <c r="AK29" s="496">
        <f>Table2[[#This Row],[Course Length (Hours)]]/(Table2[[#This Row],[1 Instructor]]+Table2[[#This Row],[2 Instructors]])</f>
        <v>20</v>
      </c>
      <c r="AL29" s="318">
        <v>0</v>
      </c>
      <c r="AM29" s="496">
        <v>1</v>
      </c>
      <c r="AN29" s="496" t="str">
        <f>VLOOKUP(Table2[[#This Row],[Course Title]],'TSD-Data'!$A$1:$G$83,7,FALSE)</f>
        <v>N8</v>
      </c>
      <c r="AO29" s="500">
        <f>Table2[[#This Row],[Quotas]]-Table2[[#This Row],[Graduates]]-Table2[[#This Row],[Fail]]</f>
        <v>4</v>
      </c>
    </row>
    <row r="30" spans="2:41" s="202" customFormat="1" ht="15" customHeight="1" x14ac:dyDescent="0.25">
      <c r="B30" s="530"/>
      <c r="C30" s="538" t="s">
        <v>236</v>
      </c>
      <c r="D30" s="200" t="str">
        <f>VLOOKUP(Table2[[#This Row],[Course Title]],'TSD-Data'!$A$1:$E$83,2,FALSE)</f>
        <v>A-493-2098</v>
      </c>
      <c r="E30" s="200" t="str">
        <f>VLOOKUP(Table2[[#This Row],[Course Title]],'TSD-Data'!$A$1:$E$83,3,FALSE)</f>
        <v>09WW</v>
      </c>
      <c r="F30" s="530" t="s">
        <v>54</v>
      </c>
      <c r="G30" s="531">
        <v>45950</v>
      </c>
      <c r="H30" s="531">
        <v>45952</v>
      </c>
      <c r="I30" s="531" t="s">
        <v>42</v>
      </c>
      <c r="J30" s="532"/>
      <c r="K30" s="536">
        <v>0.5</v>
      </c>
      <c r="L30" s="536">
        <v>0.375</v>
      </c>
      <c r="M30" s="536">
        <v>0.79166666666666663</v>
      </c>
      <c r="N30" s="536">
        <v>0.75</v>
      </c>
      <c r="O30" s="536">
        <v>0.25</v>
      </c>
      <c r="P30" s="536">
        <v>4.1666666666666664E-2</v>
      </c>
      <c r="Q30" s="535" t="s">
        <v>43</v>
      </c>
      <c r="R30" s="535"/>
      <c r="S30" s="535"/>
      <c r="T30" s="200">
        <f>VLOOKUP(Table2[[#This Row],[Course Title]],'TSD-Data'!$A$1:$E$83,4,FALSE)</f>
        <v>100</v>
      </c>
      <c r="U30" s="200">
        <f>VLOOKUP(Table2[[#This Row],[Course Title]],'TSD-Data'!$A$1:$F$83,6,FALSE)</f>
        <v>16</v>
      </c>
      <c r="V30" s="201">
        <f>VLOOKUP(Table2[[#This Row],[Course Title]],'TSD-Data'!$A$1:$F$83,5,FALSE)</f>
        <v>3</v>
      </c>
      <c r="W30" s="201">
        <v>1882</v>
      </c>
      <c r="X30" s="200">
        <f>Table2[[#This Row],[Quotas]]-Table2[[#This Row],[Open Quotas]]</f>
        <v>100</v>
      </c>
      <c r="Y30" s="200">
        <v>5</v>
      </c>
      <c r="Z30" s="201">
        <v>84</v>
      </c>
      <c r="AA30" s="201">
        <v>2</v>
      </c>
      <c r="AB30" s="200">
        <v>0</v>
      </c>
      <c r="AC30" s="200">
        <v>1</v>
      </c>
      <c r="AD30" s="200">
        <v>0</v>
      </c>
      <c r="AE30" s="200" t="s">
        <v>428</v>
      </c>
      <c r="AF30" s="495">
        <f ca="1">Table2[[#This Row],[End Date]]+2-TODAY()</f>
        <v>-290</v>
      </c>
      <c r="AG30" s="496">
        <f>IF(ISBLANK(Table2[[#This Row],[Roster Received by]]),1,0)</f>
        <v>0</v>
      </c>
      <c r="AH30" s="496">
        <f ca="1">IF(Table2[[#This Row],[Start Date]]&gt;TODAY(),1,)</f>
        <v>0</v>
      </c>
      <c r="AI30" s="496">
        <f>IF(ISBLANK(Table2[[#This Row],[Primary Instructor]]),0,1)</f>
        <v>1</v>
      </c>
      <c r="AJ30" s="496">
        <f>IF(ISBLANK(Table2[[#This Row],[Instructor 2]]),0,1)</f>
        <v>0</v>
      </c>
      <c r="AK30" s="496">
        <f>Table2[[#This Row],[Course Length (Hours)]]/(Table2[[#This Row],[1 Instructor]]+Table2[[#This Row],[2 Instructors]])</f>
        <v>16</v>
      </c>
      <c r="AL30" s="318">
        <v>0</v>
      </c>
      <c r="AM30" s="496">
        <v>1</v>
      </c>
      <c r="AN30" s="496" t="str">
        <f>VLOOKUP(Table2[[#This Row],[Course Title]],'TSD-Data'!$A$1:$G$83,7,FALSE)</f>
        <v>N8</v>
      </c>
      <c r="AO30" s="500">
        <f>Table2[[#This Row],[Quotas]]-Table2[[#This Row],[Graduates]]-Table2[[#This Row],[Fail]]</f>
        <v>14</v>
      </c>
    </row>
    <row r="31" spans="2:41" s="202" customFormat="1" ht="15" customHeight="1" x14ac:dyDescent="0.25">
      <c r="B31" s="530"/>
      <c r="C31" s="538" t="s">
        <v>84</v>
      </c>
      <c r="D31" s="200" t="str">
        <f>VLOOKUP(Table2[[#This Row],[Course Title]],'TSD-Data'!$A$1:$E$83,2,FALSE)</f>
        <v>A-493-0083</v>
      </c>
      <c r="E31" s="200" t="str">
        <f>VLOOKUP(Table2[[#This Row],[Course Title]],'TSD-Data'!$A$1:$E$83,3,FALSE)</f>
        <v>339E</v>
      </c>
      <c r="F31" s="530" t="s">
        <v>54</v>
      </c>
      <c r="G31" s="531">
        <v>45951</v>
      </c>
      <c r="H31" s="531">
        <v>45951</v>
      </c>
      <c r="I31" s="531" t="s">
        <v>42</v>
      </c>
      <c r="J31" s="532"/>
      <c r="K31" s="532">
        <v>1100.3333333333333</v>
      </c>
      <c r="L31" s="532">
        <v>0.20833333333333334</v>
      </c>
      <c r="M31" s="541">
        <v>1600</v>
      </c>
      <c r="N31" s="541">
        <v>1400</v>
      </c>
      <c r="O31" s="532">
        <v>0.125</v>
      </c>
      <c r="P31" s="541">
        <v>2200</v>
      </c>
      <c r="Q31" s="535" t="s">
        <v>48</v>
      </c>
      <c r="R31" s="535"/>
      <c r="S31" s="535"/>
      <c r="T31" s="200">
        <f>VLOOKUP(Table2[[#This Row],[Course Title]],'TSD-Data'!$A$1:$E$83,4,FALSE)</f>
        <v>30</v>
      </c>
      <c r="U31" s="200">
        <f>VLOOKUP(Table2[[#This Row],[Course Title]],'TSD-Data'!$A$1:$F$83,6,FALSE)</f>
        <v>8</v>
      </c>
      <c r="V31" s="201">
        <f>VLOOKUP(Table2[[#This Row],[Course Title]],'TSD-Data'!$A$1:$F$83,5,FALSE)</f>
        <v>1</v>
      </c>
      <c r="W31" s="201"/>
      <c r="X31" s="200">
        <f>Table2[[#This Row],[Quotas]]-Table2[[#This Row],[Open Quotas]]</f>
        <v>6</v>
      </c>
      <c r="Y31" s="200">
        <v>0</v>
      </c>
      <c r="Z31" s="201">
        <v>9</v>
      </c>
      <c r="AA31" s="201">
        <v>0</v>
      </c>
      <c r="AB31" s="200">
        <v>0</v>
      </c>
      <c r="AC31" s="200">
        <v>1</v>
      </c>
      <c r="AD31" s="200">
        <v>0</v>
      </c>
      <c r="AE31" s="200" t="s">
        <v>428</v>
      </c>
      <c r="AF31" s="495">
        <f ca="1">Table2[[#This Row],[End Date]]+2-TODAY()</f>
        <v>-291</v>
      </c>
      <c r="AG31" s="496">
        <f>IF(ISBLANK(Table2[[#This Row],[Roster Received by]]),1,0)</f>
        <v>0</v>
      </c>
      <c r="AH31" s="496">
        <f ca="1">IF(Table2[[#This Row],[Start Date]]&gt;TODAY(),1,)</f>
        <v>0</v>
      </c>
      <c r="AI31" s="496">
        <f>IF(ISBLANK(Table2[[#This Row],[Primary Instructor]]),0,1)</f>
        <v>1</v>
      </c>
      <c r="AJ31" s="496">
        <f>IF(ISBLANK(Table2[[#This Row],[Instructor 2]]),0,1)</f>
        <v>0</v>
      </c>
      <c r="AK31" s="496">
        <f>Table2[[#This Row],[Course Length (Hours)]]/(Table2[[#This Row],[1 Instructor]]+Table2[[#This Row],[2 Instructors]])</f>
        <v>8</v>
      </c>
      <c r="AL31" s="318">
        <v>24</v>
      </c>
      <c r="AM31" s="496">
        <v>1</v>
      </c>
      <c r="AN31" s="496" t="str">
        <f>VLOOKUP(Table2[[#This Row],[Course Title]],'TSD-Data'!$A$1:$G$83,7,FALSE)</f>
        <v>N4</v>
      </c>
      <c r="AO31" s="500">
        <f>Table2[[#This Row],[Quotas]]-Table2[[#This Row],[Graduates]]-Table2[[#This Row],[Fail]]</f>
        <v>21</v>
      </c>
    </row>
    <row r="32" spans="2:41" s="202" customFormat="1" ht="15" customHeight="1" x14ac:dyDescent="0.25">
      <c r="B32" s="530"/>
      <c r="C32" s="538" t="s">
        <v>399</v>
      </c>
      <c r="D32" s="200" t="str">
        <f>VLOOKUP(Table2[[#This Row],[Course Title]],'TSD-Data'!$A$1:$E$83,2,FALSE)</f>
        <v>A-493-3011</v>
      </c>
      <c r="E32" s="200" t="str">
        <f>VLOOKUP(Table2[[#This Row],[Course Title]],'TSD-Data'!$A$1:$E$83,3,FALSE)</f>
        <v>31VD</v>
      </c>
      <c r="F32" s="530" t="s">
        <v>54</v>
      </c>
      <c r="G32" s="531">
        <v>45951</v>
      </c>
      <c r="H32" s="531">
        <v>45951</v>
      </c>
      <c r="I32" s="531" t="s">
        <v>42</v>
      </c>
      <c r="J32" s="532"/>
      <c r="K32" s="536">
        <v>0.54166666666666663</v>
      </c>
      <c r="L32" s="532">
        <v>0.41666666666666669</v>
      </c>
      <c r="M32" s="532">
        <v>0.83333333333333337</v>
      </c>
      <c r="N32" s="532">
        <v>0.79166666666666663</v>
      </c>
      <c r="O32" s="532">
        <v>0.29166666666666669</v>
      </c>
      <c r="P32" s="532">
        <v>8.3333333333333329E-2</v>
      </c>
      <c r="Q32" s="535" t="s">
        <v>441</v>
      </c>
      <c r="R32" s="535"/>
      <c r="S32" s="535"/>
      <c r="T32" s="200">
        <f>VLOOKUP(Table2[[#This Row],[Course Title]],'TSD-Data'!$A$1:$E$83,4,FALSE)</f>
        <v>1000</v>
      </c>
      <c r="U32" s="200">
        <f>VLOOKUP(Table2[[#This Row],[Course Title]],'TSD-Data'!$A$1:$F$83,6,FALSE)</f>
        <v>2.5</v>
      </c>
      <c r="V32" s="201">
        <f>VLOOKUP(Table2[[#This Row],[Course Title]],'TSD-Data'!$A$1:$F$83,5,FALSE)</f>
        <v>0.3</v>
      </c>
      <c r="W32" s="201">
        <v>0</v>
      </c>
      <c r="X32" s="200">
        <f>Table2[[#This Row],[Quotas]]-Table2[[#This Row],[Open Quotas]]</f>
        <v>25</v>
      </c>
      <c r="Y32" s="200">
        <v>0</v>
      </c>
      <c r="Z32" s="201">
        <v>69</v>
      </c>
      <c r="AA32" s="201">
        <v>0</v>
      </c>
      <c r="AB32" s="200">
        <v>0</v>
      </c>
      <c r="AC32" s="200">
        <v>0</v>
      </c>
      <c r="AD32" s="200">
        <v>0</v>
      </c>
      <c r="AE32" s="200" t="s">
        <v>442</v>
      </c>
      <c r="AF32" s="495">
        <f ca="1">Table2[[#This Row],[End Date]]+2-TODAY()</f>
        <v>-291</v>
      </c>
      <c r="AG32" s="496">
        <f>IF(ISBLANK(Table2[[#This Row],[Roster Received by]]),1,0)</f>
        <v>0</v>
      </c>
      <c r="AH32" s="496">
        <f ca="1">IF(Table2[[#This Row],[Start Date]]&gt;TODAY(),1,)</f>
        <v>0</v>
      </c>
      <c r="AI32" s="496">
        <f>IF(ISBLANK(Table2[[#This Row],[Primary Instructor]]),0,1)</f>
        <v>1</v>
      </c>
      <c r="AJ32" s="496">
        <f>IF(ISBLANK(Table2[[#This Row],[Instructor 2]]),0,1)</f>
        <v>0</v>
      </c>
      <c r="AK32" s="496">
        <f t="shared" ref="AK32:AK45" si="0">AJ303</f>
        <v>0</v>
      </c>
      <c r="AL32" s="318">
        <v>975</v>
      </c>
      <c r="AM32" s="496">
        <v>1</v>
      </c>
      <c r="AN32" s="496" t="str">
        <f>VLOOKUP(Table2[[#This Row],[Course Title]],'TSD-Data'!$A$1:$G$83,7,FALSE)</f>
        <v>N8-RMI</v>
      </c>
      <c r="AO32" s="500">
        <f>Table2[[#This Row],[Quotas]]-Table2[[#This Row],[Graduates]]-Table2[[#This Row],[Fail]]</f>
        <v>931</v>
      </c>
    </row>
    <row r="33" spans="2:41" s="202" customFormat="1" ht="15" customHeight="1" x14ac:dyDescent="0.25">
      <c r="B33" s="530"/>
      <c r="C33" s="538" t="s">
        <v>400</v>
      </c>
      <c r="D33" s="200" t="str">
        <f>VLOOKUP(Table2[[#This Row],[Course Title]],'TSD-Data'!$A$1:$E$83,2,FALSE)</f>
        <v>A-493-3010</v>
      </c>
      <c r="E33" s="200" t="str">
        <f>VLOOKUP(Table2[[#This Row],[Course Title]],'TSD-Data'!$A$1:$E$83,3,FALSE)</f>
        <v>31VC</v>
      </c>
      <c r="F33" s="530" t="s">
        <v>54</v>
      </c>
      <c r="G33" s="531">
        <v>45951</v>
      </c>
      <c r="H33" s="531">
        <v>45951</v>
      </c>
      <c r="I33" s="531" t="s">
        <v>42</v>
      </c>
      <c r="J33" s="532"/>
      <c r="K33" s="536">
        <v>0.33333333333333331</v>
      </c>
      <c r="L33" s="532">
        <v>0.20833333333333334</v>
      </c>
      <c r="M33" s="532">
        <v>0.625</v>
      </c>
      <c r="N33" s="532">
        <v>0.58333333333333337</v>
      </c>
      <c r="O33" s="532">
        <v>0.125</v>
      </c>
      <c r="P33" s="532">
        <v>0.875</v>
      </c>
      <c r="Q33" s="535" t="s">
        <v>441</v>
      </c>
      <c r="R33" s="535"/>
      <c r="S33" s="535"/>
      <c r="T33" s="200">
        <f>VLOOKUP(Table2[[#This Row],[Course Title]],'TSD-Data'!$A$1:$E$83,4,FALSE)</f>
        <v>1000</v>
      </c>
      <c r="U33" s="200">
        <f>VLOOKUP(Table2[[#This Row],[Course Title]],'TSD-Data'!$A$1:$F$83,6,FALSE)</f>
        <v>4</v>
      </c>
      <c r="V33" s="201">
        <f>VLOOKUP(Table2[[#This Row],[Course Title]],'TSD-Data'!$A$1:$F$83,5,FALSE)</f>
        <v>0.5</v>
      </c>
      <c r="W33" s="201">
        <v>0</v>
      </c>
      <c r="X33" s="200">
        <f>Table2[[#This Row],[Quotas]]-Table2[[#This Row],[Open Quotas]]</f>
        <v>52</v>
      </c>
      <c r="Y33" s="200">
        <v>0</v>
      </c>
      <c r="Z33" s="201">
        <v>67</v>
      </c>
      <c r="AA33" s="201">
        <v>0</v>
      </c>
      <c r="AB33" s="200">
        <v>0</v>
      </c>
      <c r="AC33" s="200">
        <v>0</v>
      </c>
      <c r="AD33" s="200">
        <v>0</v>
      </c>
      <c r="AE33" s="200" t="s">
        <v>442</v>
      </c>
      <c r="AF33" s="495">
        <f ca="1">Table2[[#This Row],[End Date]]+2-TODAY()</f>
        <v>-291</v>
      </c>
      <c r="AG33" s="496">
        <f>IF(ISBLANK(Table2[[#This Row],[Roster Received by]]),1,0)</f>
        <v>0</v>
      </c>
      <c r="AH33" s="496">
        <f ca="1">IF(Table2[[#This Row],[Start Date]]&gt;TODAY(),1,)</f>
        <v>0</v>
      </c>
      <c r="AI33" s="496">
        <f>IF(ISBLANK(Table2[[#This Row],[Primary Instructor]]),0,1)</f>
        <v>1</v>
      </c>
      <c r="AJ33" s="496">
        <f>IF(ISBLANK(Table2[[#This Row],[Instructor 2]]),0,1)</f>
        <v>0</v>
      </c>
      <c r="AK33" s="496">
        <f t="shared" si="0"/>
        <v>0</v>
      </c>
      <c r="AL33" s="318">
        <v>948</v>
      </c>
      <c r="AM33" s="496">
        <v>1</v>
      </c>
      <c r="AN33" s="496" t="str">
        <f>VLOOKUP(Table2[[#This Row],[Course Title]],'TSD-Data'!$A$1:$G$83,7,FALSE)</f>
        <v>N8-RMI</v>
      </c>
      <c r="AO33" s="500">
        <f>Table2[[#This Row],[Quotas]]-Table2[[#This Row],[Graduates]]-Table2[[#This Row],[Fail]]</f>
        <v>933</v>
      </c>
    </row>
    <row r="34" spans="2:41" s="202" customFormat="1" ht="15" customHeight="1" x14ac:dyDescent="0.25">
      <c r="B34" s="530"/>
      <c r="C34" s="538" t="s">
        <v>396</v>
      </c>
      <c r="D34" s="200" t="str">
        <f>VLOOKUP(Table2[[#This Row],[Course Title]],'TSD-Data'!$A$1:$E$83,2,FALSE)</f>
        <v>A-493-3018</v>
      </c>
      <c r="E34" s="200" t="str">
        <f>VLOOKUP(Table2[[#This Row],[Course Title]],'TSD-Data'!$A$1:$E$83,3,FALSE)</f>
        <v>31YM</v>
      </c>
      <c r="F34" s="530" t="s">
        <v>54</v>
      </c>
      <c r="G34" s="531">
        <v>45952</v>
      </c>
      <c r="H34" s="531">
        <v>45952</v>
      </c>
      <c r="I34" s="531" t="s">
        <v>42</v>
      </c>
      <c r="J34" s="532"/>
      <c r="K34" s="536">
        <v>0.60416666666666663</v>
      </c>
      <c r="L34" s="532">
        <v>0.47916666666666669</v>
      </c>
      <c r="M34" s="532">
        <v>0.89583333333333337</v>
      </c>
      <c r="N34" s="532">
        <v>0.85416666666666663</v>
      </c>
      <c r="O34" s="532">
        <v>0.39583333333333331</v>
      </c>
      <c r="P34" s="532">
        <v>0.14583333333333334</v>
      </c>
      <c r="Q34" s="535" t="s">
        <v>441</v>
      </c>
      <c r="R34" s="535"/>
      <c r="S34" s="535"/>
      <c r="T34" s="200">
        <f>VLOOKUP(Table2[[#This Row],[Course Title]],'TSD-Data'!$A$1:$E$83,4,FALSE)</f>
        <v>1000</v>
      </c>
      <c r="U34" s="200">
        <f>VLOOKUP(Table2[[#This Row],[Course Title]],'TSD-Data'!$A$1:$F$83,6,FALSE)</f>
        <v>2</v>
      </c>
      <c r="V34" s="201">
        <f>VLOOKUP(Table2[[#This Row],[Course Title]],'TSD-Data'!$A$1:$F$83,5,FALSE)</f>
        <v>0.25</v>
      </c>
      <c r="W34" s="201"/>
      <c r="X34" s="200">
        <f>Table2[[#This Row],[Quotas]]-Table2[[#This Row],[Open Quotas]]</f>
        <v>1</v>
      </c>
      <c r="Y34" s="200">
        <v>0</v>
      </c>
      <c r="Z34" s="201">
        <v>35</v>
      </c>
      <c r="AA34" s="201">
        <v>0</v>
      </c>
      <c r="AB34" s="200">
        <v>0</v>
      </c>
      <c r="AC34" s="200">
        <v>0</v>
      </c>
      <c r="AD34" s="200">
        <v>0</v>
      </c>
      <c r="AE34" s="200" t="s">
        <v>442</v>
      </c>
      <c r="AF34" s="495">
        <f ca="1">Table2[[#This Row],[End Date]]+2-TODAY()</f>
        <v>-290</v>
      </c>
      <c r="AG34" s="496">
        <f>IF(ISBLANK(Table2[[#This Row],[Roster Received by]]),1,0)</f>
        <v>0</v>
      </c>
      <c r="AH34" s="496">
        <f ca="1">IF(Table2[[#This Row],[Start Date]]&gt;TODAY(),1,)</f>
        <v>0</v>
      </c>
      <c r="AI34" s="496">
        <f>IF(ISBLANK(Table2[[#This Row],[Primary Instructor]]),0,1)</f>
        <v>1</v>
      </c>
      <c r="AJ34" s="496">
        <f>IF(ISBLANK(Table2[[#This Row],[Instructor 2]]),0,1)</f>
        <v>0</v>
      </c>
      <c r="AK34" s="496">
        <f t="shared" si="0"/>
        <v>0</v>
      </c>
      <c r="AL34" s="318">
        <v>999</v>
      </c>
      <c r="AM34" s="496">
        <v>1</v>
      </c>
      <c r="AN34" s="496" t="str">
        <f>VLOOKUP(Table2[[#This Row],[Course Title]],'TSD-Data'!$A$1:$G$83,7,FALSE)</f>
        <v>N8-RMI</v>
      </c>
      <c r="AO34" s="500">
        <f>Table2[[#This Row],[Quotas]]-Table2[[#This Row],[Graduates]]-Table2[[#This Row],[Fail]]</f>
        <v>965</v>
      </c>
    </row>
    <row r="35" spans="2:41" s="202" customFormat="1" ht="15" customHeight="1" x14ac:dyDescent="0.25">
      <c r="B35" s="530"/>
      <c r="C35" s="538" t="s">
        <v>398</v>
      </c>
      <c r="D35" s="200" t="str">
        <f>VLOOKUP(Table2[[#This Row],[Course Title]],'TSD-Data'!$A$1:$E$83,2,FALSE)</f>
        <v>A-493-3004</v>
      </c>
      <c r="E35" s="200" t="str">
        <f>VLOOKUP(Table2[[#This Row],[Course Title]],'TSD-Data'!$A$1:$E$83,3,FALSE)</f>
        <v>31V6</v>
      </c>
      <c r="F35" s="530" t="s">
        <v>54</v>
      </c>
      <c r="G35" s="531">
        <v>45952</v>
      </c>
      <c r="H35" s="531">
        <v>45952</v>
      </c>
      <c r="I35" s="531" t="s">
        <v>42</v>
      </c>
      <c r="J35" s="532"/>
      <c r="K35" s="536">
        <v>0.52083333333333337</v>
      </c>
      <c r="L35" s="532">
        <v>0.41666666666666669</v>
      </c>
      <c r="M35" s="532">
        <v>0.83333333333333337</v>
      </c>
      <c r="N35" s="532">
        <v>0.79166666666666663</v>
      </c>
      <c r="O35" s="532">
        <v>0.29166666666666669</v>
      </c>
      <c r="P35" s="532">
        <v>8.3333333333333329E-2</v>
      </c>
      <c r="Q35" s="535" t="s">
        <v>441</v>
      </c>
      <c r="R35" s="535"/>
      <c r="S35" s="535"/>
      <c r="T35" s="200">
        <f>VLOOKUP(Table2[[#This Row],[Course Title]],'TSD-Data'!$A$1:$E$83,4,FALSE)</f>
        <v>1000</v>
      </c>
      <c r="U35" s="200">
        <f>VLOOKUP(Table2[[#This Row],[Course Title]],'TSD-Data'!$A$1:$F$83,6,FALSE)</f>
        <v>2</v>
      </c>
      <c r="V35" s="201">
        <f>VLOOKUP(Table2[[#This Row],[Course Title]],'TSD-Data'!$A$1:$F$83,5,FALSE)</f>
        <v>0.25</v>
      </c>
      <c r="W35" s="201">
        <v>0</v>
      </c>
      <c r="X35" s="200">
        <f>Table2[[#This Row],[Quotas]]-Table2[[#This Row],[Open Quotas]]</f>
        <v>25</v>
      </c>
      <c r="Y35" s="200">
        <v>0</v>
      </c>
      <c r="Z35" s="201">
        <v>56</v>
      </c>
      <c r="AA35" s="201">
        <v>0</v>
      </c>
      <c r="AB35" s="200">
        <v>0</v>
      </c>
      <c r="AC35" s="200">
        <v>0</v>
      </c>
      <c r="AD35" s="200">
        <v>0</v>
      </c>
      <c r="AE35" s="200" t="s">
        <v>442</v>
      </c>
      <c r="AF35" s="495">
        <f ca="1">Table2[[#This Row],[End Date]]+2-TODAY()</f>
        <v>-290</v>
      </c>
      <c r="AG35" s="496">
        <f>IF(ISBLANK(Table2[[#This Row],[Roster Received by]]),1,0)</f>
        <v>0</v>
      </c>
      <c r="AH35" s="496">
        <f ca="1">IF(Table2[[#This Row],[Start Date]]&gt;TODAY(),1,)</f>
        <v>0</v>
      </c>
      <c r="AI35" s="496">
        <f>IF(ISBLANK(Table2[[#This Row],[Primary Instructor]]),0,1)</f>
        <v>1</v>
      </c>
      <c r="AJ35" s="496">
        <f>IF(ISBLANK(Table2[[#This Row],[Instructor 2]]),0,1)</f>
        <v>0</v>
      </c>
      <c r="AK35" s="496">
        <f t="shared" si="0"/>
        <v>0</v>
      </c>
      <c r="AL35" s="318">
        <v>975</v>
      </c>
      <c r="AM35" s="496">
        <v>1</v>
      </c>
      <c r="AN35" s="496" t="str">
        <f>VLOOKUP(Table2[[#This Row],[Course Title]],'TSD-Data'!$A$1:$G$83,7,FALSE)</f>
        <v>N8-RMI</v>
      </c>
      <c r="AO35" s="500">
        <f>Table2[[#This Row],[Quotas]]-Table2[[#This Row],[Graduates]]-Table2[[#This Row],[Fail]]</f>
        <v>944</v>
      </c>
    </row>
    <row r="36" spans="2:41" s="202" customFormat="1" ht="15" customHeight="1" x14ac:dyDescent="0.25">
      <c r="B36" s="530"/>
      <c r="C36" s="538" t="s">
        <v>409</v>
      </c>
      <c r="D36" s="200" t="str">
        <f>VLOOKUP(Table2[[#This Row],[Course Title]],'TSD-Data'!$A$1:$E$83,2,FALSE)</f>
        <v>A-493-3001</v>
      </c>
      <c r="E36" s="200" t="str">
        <f>VLOOKUP(Table2[[#This Row],[Course Title]],'TSD-Data'!$A$1:$E$83,3,FALSE)</f>
        <v>31V3</v>
      </c>
      <c r="F36" s="530" t="s">
        <v>54</v>
      </c>
      <c r="G36" s="531">
        <v>45952</v>
      </c>
      <c r="H36" s="531">
        <v>45952</v>
      </c>
      <c r="I36" s="531" t="s">
        <v>42</v>
      </c>
      <c r="J36" s="532"/>
      <c r="K36" s="536">
        <v>0.33333333333333331</v>
      </c>
      <c r="L36" s="532">
        <v>0.20833333333333334</v>
      </c>
      <c r="M36" s="532">
        <v>0.625</v>
      </c>
      <c r="N36" s="532">
        <v>0.58333333333333337</v>
      </c>
      <c r="O36" s="532">
        <v>0.125</v>
      </c>
      <c r="P36" s="532">
        <v>0.875</v>
      </c>
      <c r="Q36" s="535" t="s">
        <v>441</v>
      </c>
      <c r="R36" s="535"/>
      <c r="S36" s="535"/>
      <c r="T36" s="200">
        <f>VLOOKUP(Table2[[#This Row],[Course Title]],'TSD-Data'!$A$1:$E$83,4,FALSE)</f>
        <v>1000</v>
      </c>
      <c r="U36" s="200">
        <f>VLOOKUP(Table2[[#This Row],[Course Title]],'TSD-Data'!$A$1:$F$83,6,FALSE)</f>
        <v>2</v>
      </c>
      <c r="V36" s="201">
        <f>VLOOKUP(Table2[[#This Row],[Course Title]],'TSD-Data'!$A$1:$F$83,5,FALSE)</f>
        <v>0.25</v>
      </c>
      <c r="W36" s="201"/>
      <c r="X36" s="200">
        <f>Table2[[#This Row],[Quotas]]-Table2[[#This Row],[Open Quotas]]</f>
        <v>12</v>
      </c>
      <c r="Y36" s="200">
        <v>0</v>
      </c>
      <c r="Z36" s="201">
        <v>45</v>
      </c>
      <c r="AA36" s="201">
        <v>0</v>
      </c>
      <c r="AB36" s="200">
        <v>0</v>
      </c>
      <c r="AC36" s="200">
        <v>0</v>
      </c>
      <c r="AD36" s="200">
        <v>0</v>
      </c>
      <c r="AE36" s="200" t="s">
        <v>442</v>
      </c>
      <c r="AF36" s="495">
        <f ca="1">Table2[[#This Row],[End Date]]+2-TODAY()</f>
        <v>-290</v>
      </c>
      <c r="AG36" s="496">
        <f>IF(ISBLANK(Table2[[#This Row],[Roster Received by]]),1,0)</f>
        <v>0</v>
      </c>
      <c r="AH36" s="496">
        <f ca="1">IF(Table2[[#This Row],[Start Date]]&gt;TODAY(),1,)</f>
        <v>0</v>
      </c>
      <c r="AI36" s="496">
        <f>IF(ISBLANK(Table2[[#This Row],[Primary Instructor]]),0,1)</f>
        <v>1</v>
      </c>
      <c r="AJ36" s="496">
        <f>IF(ISBLANK(Table2[[#This Row],[Instructor 2]]),0,1)</f>
        <v>0</v>
      </c>
      <c r="AK36" s="496">
        <f t="shared" si="0"/>
        <v>0</v>
      </c>
      <c r="AL36" s="318">
        <v>988</v>
      </c>
      <c r="AM36" s="496">
        <v>1</v>
      </c>
      <c r="AN36" s="496" t="str">
        <f>VLOOKUP(Table2[[#This Row],[Course Title]],'TSD-Data'!$A$1:$G$83,7,FALSE)</f>
        <v>N8-RMI</v>
      </c>
      <c r="AO36" s="500">
        <f>Table2[[#This Row],[Quotas]]-Table2[[#This Row],[Graduates]]-Table2[[#This Row],[Fail]]</f>
        <v>955</v>
      </c>
    </row>
    <row r="37" spans="2:41" s="202" customFormat="1" ht="15" customHeight="1" x14ac:dyDescent="0.25">
      <c r="B37" s="530"/>
      <c r="C37" s="538" t="s">
        <v>403</v>
      </c>
      <c r="D37" s="200" t="str">
        <f>VLOOKUP(Table2[[#This Row],[Course Title]],'TSD-Data'!$A$1:$E$83,2,FALSE)</f>
        <v>A-493-3013</v>
      </c>
      <c r="E37" s="200" t="str">
        <f>VLOOKUP(Table2[[#This Row],[Course Title]],'TSD-Data'!$A$1:$E$83,3,FALSE)</f>
        <v>31YG</v>
      </c>
      <c r="F37" s="530" t="s">
        <v>54</v>
      </c>
      <c r="G37" s="531">
        <v>45953</v>
      </c>
      <c r="H37" s="531">
        <v>45953</v>
      </c>
      <c r="I37" s="531" t="s">
        <v>42</v>
      </c>
      <c r="J37" s="532"/>
      <c r="K37" s="532">
        <v>0.4375</v>
      </c>
      <c r="L37" s="532">
        <v>0.3125</v>
      </c>
      <c r="M37" s="532">
        <v>0.72916666666666663</v>
      </c>
      <c r="N37" s="532">
        <v>0.6875</v>
      </c>
      <c r="O37" s="532">
        <v>0.1875</v>
      </c>
      <c r="P37" s="532">
        <v>0.97916666666666663</v>
      </c>
      <c r="Q37" s="535" t="s">
        <v>441</v>
      </c>
      <c r="R37" s="535"/>
      <c r="S37" s="535"/>
      <c r="T37" s="200">
        <f>VLOOKUP(Table2[[#This Row],[Course Title]],'TSD-Data'!$A$1:$E$83,4,FALSE)</f>
        <v>1000</v>
      </c>
      <c r="U37" s="200">
        <f>VLOOKUP(Table2[[#This Row],[Course Title]],'TSD-Data'!$A$1:$F$83,6,FALSE)</f>
        <v>2</v>
      </c>
      <c r="V37" s="201">
        <f>VLOOKUP(Table2[[#This Row],[Course Title]],'TSD-Data'!$A$1:$F$83,5,FALSE)</f>
        <v>0.25</v>
      </c>
      <c r="W37" s="201"/>
      <c r="X37" s="200">
        <f>Table2[[#This Row],[Quotas]]-Table2[[#This Row],[Open Quotas]]</f>
        <v>1</v>
      </c>
      <c r="Y37" s="200">
        <v>0</v>
      </c>
      <c r="Z37" s="201">
        <v>37</v>
      </c>
      <c r="AA37" s="201">
        <v>0</v>
      </c>
      <c r="AB37" s="200">
        <v>0</v>
      </c>
      <c r="AC37" s="200">
        <v>0</v>
      </c>
      <c r="AD37" s="200">
        <v>0</v>
      </c>
      <c r="AE37" s="200" t="s">
        <v>442</v>
      </c>
      <c r="AF37" s="495">
        <f ca="1">Table2[[#This Row],[End Date]]+2-TODAY()</f>
        <v>-289</v>
      </c>
      <c r="AG37" s="496">
        <f>IF(ISBLANK(Table2[[#This Row],[Roster Received by]]),1,0)</f>
        <v>0</v>
      </c>
      <c r="AH37" s="496">
        <f ca="1">IF(Table2[[#This Row],[Start Date]]&gt;TODAY(),1,)</f>
        <v>0</v>
      </c>
      <c r="AI37" s="496">
        <f>IF(ISBLANK(Table2[[#This Row],[Primary Instructor]]),0,1)</f>
        <v>1</v>
      </c>
      <c r="AJ37" s="496">
        <f>IF(ISBLANK(Table2[[#This Row],[Instructor 2]]),0,1)</f>
        <v>0</v>
      </c>
      <c r="AK37" s="496">
        <f t="shared" si="0"/>
        <v>0</v>
      </c>
      <c r="AL37" s="318">
        <v>999</v>
      </c>
      <c r="AM37" s="496">
        <v>1</v>
      </c>
      <c r="AN37" s="496" t="str">
        <f>VLOOKUP(Table2[[#This Row],[Course Title]],'TSD-Data'!$A$1:$G$83,7,FALSE)</f>
        <v>N8-RMI</v>
      </c>
      <c r="AO37" s="500">
        <f>Table2[[#This Row],[Quotas]]-Table2[[#This Row],[Graduates]]-Table2[[#This Row],[Fail]]</f>
        <v>963</v>
      </c>
    </row>
    <row r="38" spans="2:41" s="202" customFormat="1" ht="15" customHeight="1" x14ac:dyDescent="0.25">
      <c r="B38" s="530"/>
      <c r="C38" s="538" t="s">
        <v>404</v>
      </c>
      <c r="D38" s="200" t="str">
        <f>VLOOKUP(Table2[[#This Row],[Course Title]],'TSD-Data'!$A$1:$E$83,2,FALSE)</f>
        <v>A-493-3014</v>
      </c>
      <c r="E38" s="200" t="str">
        <f>VLOOKUP(Table2[[#This Row],[Course Title]],'TSD-Data'!$A$1:$E$83,3,FALSE)</f>
        <v>31Yh</v>
      </c>
      <c r="F38" s="530" t="s">
        <v>54</v>
      </c>
      <c r="G38" s="531">
        <v>45953</v>
      </c>
      <c r="H38" s="531">
        <v>45953</v>
      </c>
      <c r="I38" s="531" t="s">
        <v>42</v>
      </c>
      <c r="J38" s="532"/>
      <c r="K38" s="536">
        <v>0.52083333333333337</v>
      </c>
      <c r="L38" s="546">
        <v>0.39583333333333331</v>
      </c>
      <c r="M38" s="536">
        <v>0.8125</v>
      </c>
      <c r="N38" s="536">
        <v>0.77083333333333337</v>
      </c>
      <c r="O38" s="536">
        <v>0.3125</v>
      </c>
      <c r="P38" s="536">
        <v>6.25E-2</v>
      </c>
      <c r="Q38" s="535" t="s">
        <v>441</v>
      </c>
      <c r="R38" s="535"/>
      <c r="S38" s="535"/>
      <c r="T38" s="200">
        <f>VLOOKUP(Table2[[#This Row],[Course Title]],'TSD-Data'!$A$1:$E$83,4,FALSE)</f>
        <v>1000</v>
      </c>
      <c r="U38" s="200">
        <f>VLOOKUP(Table2[[#This Row],[Course Title]],'TSD-Data'!$A$1:$F$83,6,FALSE)</f>
        <v>1.5</v>
      </c>
      <c r="V38" s="201">
        <f>VLOOKUP(Table2[[#This Row],[Course Title]],'TSD-Data'!$A$1:$F$83,5,FALSE)</f>
        <v>0.1</v>
      </c>
      <c r="W38" s="201"/>
      <c r="X38" s="200">
        <f>Table2[[#This Row],[Quotas]]-Table2[[#This Row],[Open Quotas]]</f>
        <v>1</v>
      </c>
      <c r="Y38" s="200">
        <v>0</v>
      </c>
      <c r="Z38" s="201">
        <v>43</v>
      </c>
      <c r="AA38" s="201">
        <v>0</v>
      </c>
      <c r="AB38" s="200">
        <v>0</v>
      </c>
      <c r="AC38" s="200">
        <v>0</v>
      </c>
      <c r="AD38" s="200">
        <v>0</v>
      </c>
      <c r="AE38" s="200" t="s">
        <v>442</v>
      </c>
      <c r="AF38" s="495">
        <f ca="1">Table2[[#This Row],[End Date]]+2-TODAY()</f>
        <v>-289</v>
      </c>
      <c r="AG38" s="496">
        <f>IF(ISBLANK(Table2[[#This Row],[Roster Received by]]),1,0)</f>
        <v>0</v>
      </c>
      <c r="AH38" s="496">
        <f ca="1">IF(Table2[[#This Row],[Start Date]]&gt;TODAY(),1,)</f>
        <v>0</v>
      </c>
      <c r="AI38" s="496">
        <f>IF(ISBLANK(Table2[[#This Row],[Primary Instructor]]),0,1)</f>
        <v>1</v>
      </c>
      <c r="AJ38" s="496">
        <f>IF(ISBLANK(Table2[[#This Row],[Instructor 2]]),0,1)</f>
        <v>0</v>
      </c>
      <c r="AK38" s="496">
        <f t="shared" si="0"/>
        <v>0</v>
      </c>
      <c r="AL38" s="318">
        <v>999</v>
      </c>
      <c r="AM38" s="496">
        <v>1</v>
      </c>
      <c r="AN38" s="496" t="str">
        <f>VLOOKUP(Table2[[#This Row],[Course Title]],'TSD-Data'!$A$1:$G$83,7,FALSE)</f>
        <v>N8-RMI</v>
      </c>
      <c r="AO38" s="500">
        <f>Table2[[#This Row],[Quotas]]-Table2[[#This Row],[Graduates]]-Table2[[#This Row],[Fail]]</f>
        <v>957</v>
      </c>
    </row>
    <row r="39" spans="2:41" s="202" customFormat="1" ht="15" customHeight="1" x14ac:dyDescent="0.25">
      <c r="B39" s="530"/>
      <c r="C39" s="538" t="s">
        <v>405</v>
      </c>
      <c r="D39" s="200" t="str">
        <f>VLOOKUP(Table2[[#This Row],[Course Title]],'TSD-Data'!$A$1:$E$83,2,FALSE)</f>
        <v>A-493-3015</v>
      </c>
      <c r="E39" s="200" t="str">
        <f>VLOOKUP(Table2[[#This Row],[Course Title]],'TSD-Data'!$A$1:$E$83,3,FALSE)</f>
        <v>31YJ</v>
      </c>
      <c r="F39" s="530" t="s">
        <v>54</v>
      </c>
      <c r="G39" s="531">
        <v>45953</v>
      </c>
      <c r="H39" s="531">
        <v>45953</v>
      </c>
      <c r="I39" s="531" t="s">
        <v>42</v>
      </c>
      <c r="J39" s="532"/>
      <c r="K39" s="536">
        <v>0.33333333333333331</v>
      </c>
      <c r="L39" s="532">
        <v>0.20833333333333334</v>
      </c>
      <c r="M39" s="532">
        <v>0.625</v>
      </c>
      <c r="N39" s="532">
        <v>0.58333333333333337</v>
      </c>
      <c r="O39" s="532">
        <v>0.125</v>
      </c>
      <c r="P39" s="532">
        <v>0.875</v>
      </c>
      <c r="Q39" s="535" t="s">
        <v>441</v>
      </c>
      <c r="R39" s="535"/>
      <c r="S39" s="535"/>
      <c r="T39" s="200">
        <f>VLOOKUP(Table2[[#This Row],[Course Title]],'TSD-Data'!$A$1:$E$83,4,FALSE)</f>
        <v>1000</v>
      </c>
      <c r="U39" s="200">
        <f>VLOOKUP(Table2[[#This Row],[Course Title]],'TSD-Data'!$A$1:$F$83,6,FALSE)</f>
        <v>1.5</v>
      </c>
      <c r="V39" s="201">
        <f>VLOOKUP(Table2[[#This Row],[Course Title]],'TSD-Data'!$A$1:$F$83,5,FALSE)</f>
        <v>0.1</v>
      </c>
      <c r="W39" s="201"/>
      <c r="X39" s="200">
        <f>Table2[[#This Row],[Quotas]]-Table2[[#This Row],[Open Quotas]]</f>
        <v>1</v>
      </c>
      <c r="Y39" s="200">
        <v>0</v>
      </c>
      <c r="Z39" s="201">
        <v>48</v>
      </c>
      <c r="AA39" s="201">
        <v>0</v>
      </c>
      <c r="AB39" s="200">
        <v>0</v>
      </c>
      <c r="AC39" s="200">
        <v>0</v>
      </c>
      <c r="AD39" s="200">
        <v>0</v>
      </c>
      <c r="AE39" s="200" t="s">
        <v>442</v>
      </c>
      <c r="AF39" s="495">
        <f ca="1">Table2[[#This Row],[End Date]]+2-TODAY()</f>
        <v>-289</v>
      </c>
      <c r="AG39" s="496">
        <f>IF(ISBLANK(Table2[[#This Row],[Roster Received by]]),1,0)</f>
        <v>0</v>
      </c>
      <c r="AH39" s="496">
        <f ca="1">IF(Table2[[#This Row],[Start Date]]&gt;TODAY(),1,)</f>
        <v>0</v>
      </c>
      <c r="AI39" s="496">
        <f>IF(ISBLANK(Table2[[#This Row],[Primary Instructor]]),0,1)</f>
        <v>1</v>
      </c>
      <c r="AJ39" s="496">
        <f>IF(ISBLANK(Table2[[#This Row],[Instructor 2]]),0,1)</f>
        <v>0</v>
      </c>
      <c r="AK39" s="496">
        <f t="shared" si="0"/>
        <v>0</v>
      </c>
      <c r="AL39" s="318">
        <v>999</v>
      </c>
      <c r="AM39" s="496">
        <v>1</v>
      </c>
      <c r="AN39" s="496" t="str">
        <f>VLOOKUP(Table2[[#This Row],[Course Title]],'TSD-Data'!$A$1:$G$83,7,FALSE)</f>
        <v>N8-RMI</v>
      </c>
      <c r="AO39" s="500">
        <f>Table2[[#This Row],[Quotas]]-Table2[[#This Row],[Graduates]]-Table2[[#This Row],[Fail]]</f>
        <v>952</v>
      </c>
    </row>
    <row r="40" spans="2:41" s="202" customFormat="1" ht="15" customHeight="1" x14ac:dyDescent="0.25">
      <c r="B40" s="530"/>
      <c r="C40" s="538" t="s">
        <v>406</v>
      </c>
      <c r="D40" s="200" t="str">
        <f>VLOOKUP(Table2[[#This Row],[Course Title]],'TSD-Data'!$A$1:$E$83,2,FALSE)</f>
        <v>A-493-3016</v>
      </c>
      <c r="E40" s="200" t="str">
        <f>VLOOKUP(Table2[[#This Row],[Course Title]],'TSD-Data'!$A$1:$E$83,3,FALSE)</f>
        <v>31Yk</v>
      </c>
      <c r="F40" s="530" t="s">
        <v>54</v>
      </c>
      <c r="G40" s="531">
        <v>45953</v>
      </c>
      <c r="H40" s="531">
        <v>45953</v>
      </c>
      <c r="I40" s="531" t="s">
        <v>42</v>
      </c>
      <c r="J40" s="532"/>
      <c r="K40" s="536">
        <v>0.5625</v>
      </c>
      <c r="L40" s="546">
        <v>0.4375</v>
      </c>
      <c r="M40" s="536">
        <v>0.85416666666666663</v>
      </c>
      <c r="N40" s="536">
        <v>0.8125</v>
      </c>
      <c r="O40" s="536">
        <v>0.35416666666666669</v>
      </c>
      <c r="P40" s="536">
        <v>0.10416666666666667</v>
      </c>
      <c r="Q40" s="535" t="s">
        <v>441</v>
      </c>
      <c r="R40" s="535"/>
      <c r="S40" s="535"/>
      <c r="T40" s="200">
        <f>VLOOKUP(Table2[[#This Row],[Course Title]],'TSD-Data'!$A$1:$E$83,4,FALSE)</f>
        <v>1000</v>
      </c>
      <c r="U40" s="200">
        <f>VLOOKUP(Table2[[#This Row],[Course Title]],'TSD-Data'!$A$1:$F$83,6,FALSE)</f>
        <v>1.5</v>
      </c>
      <c r="V40" s="201">
        <f>VLOOKUP(Table2[[#This Row],[Course Title]],'TSD-Data'!$A$1:$F$83,5,FALSE)</f>
        <v>0.1</v>
      </c>
      <c r="W40" s="201"/>
      <c r="X40" s="200">
        <f>Table2[[#This Row],[Quotas]]-Table2[[#This Row],[Open Quotas]]</f>
        <v>1</v>
      </c>
      <c r="Y40" s="200">
        <v>0</v>
      </c>
      <c r="Z40" s="201">
        <v>39</v>
      </c>
      <c r="AA40" s="201">
        <v>0</v>
      </c>
      <c r="AB40" s="200">
        <v>0</v>
      </c>
      <c r="AC40" s="200">
        <v>0</v>
      </c>
      <c r="AD40" s="200">
        <v>0</v>
      </c>
      <c r="AE40" s="200" t="s">
        <v>442</v>
      </c>
      <c r="AF40" s="495">
        <f ca="1">Table2[[#This Row],[End Date]]+2-TODAY()</f>
        <v>-289</v>
      </c>
      <c r="AG40" s="496">
        <f>IF(ISBLANK(Table2[[#This Row],[Roster Received by]]),1,0)</f>
        <v>0</v>
      </c>
      <c r="AH40" s="496">
        <f ca="1">IF(Table2[[#This Row],[Start Date]]&gt;TODAY(),1,)</f>
        <v>0</v>
      </c>
      <c r="AI40" s="496">
        <f>IF(ISBLANK(Table2[[#This Row],[Primary Instructor]]),0,1)</f>
        <v>1</v>
      </c>
      <c r="AJ40" s="496">
        <f>IF(ISBLANK(Table2[[#This Row],[Instructor 2]]),0,1)</f>
        <v>0</v>
      </c>
      <c r="AK40" s="496">
        <f t="shared" si="0"/>
        <v>0</v>
      </c>
      <c r="AL40" s="318">
        <v>999</v>
      </c>
      <c r="AM40" s="496">
        <v>1</v>
      </c>
      <c r="AN40" s="496" t="str">
        <f>VLOOKUP(Table2[[#This Row],[Course Title]],'TSD-Data'!$A$1:$G$83,7,FALSE)</f>
        <v>N8-RMI</v>
      </c>
      <c r="AO40" s="500">
        <f>Table2[[#This Row],[Quotas]]-Table2[[#This Row],[Graduates]]-Table2[[#This Row],[Fail]]</f>
        <v>961</v>
      </c>
    </row>
    <row r="41" spans="2:41" s="202" customFormat="1" ht="15" customHeight="1" x14ac:dyDescent="0.25">
      <c r="B41" s="530"/>
      <c r="C41" s="538" t="s">
        <v>411</v>
      </c>
      <c r="D41" s="200" t="str">
        <f>VLOOKUP(Table2[[#This Row],[Course Title]],'TSD-Data'!$A$1:$E$83,2,FALSE)</f>
        <v>A-493-3012</v>
      </c>
      <c r="E41" s="200" t="str">
        <f>VLOOKUP(Table2[[#This Row],[Course Title]],'TSD-Data'!$A$1:$E$83,3,FALSE)</f>
        <v>31YF</v>
      </c>
      <c r="F41" s="530" t="s">
        <v>54</v>
      </c>
      <c r="G41" s="531">
        <v>45953</v>
      </c>
      <c r="H41" s="531">
        <v>45953</v>
      </c>
      <c r="I41" s="531" t="s">
        <v>42</v>
      </c>
      <c r="J41" s="532"/>
      <c r="K41" s="536">
        <v>0.625</v>
      </c>
      <c r="L41" s="532">
        <v>0.5</v>
      </c>
      <c r="M41" s="532">
        <v>0.91666666666666663</v>
      </c>
      <c r="N41" s="532">
        <v>0.875</v>
      </c>
      <c r="O41" s="532">
        <v>0.41666666666666669</v>
      </c>
      <c r="P41" s="532">
        <v>0.16666666666666666</v>
      </c>
      <c r="Q41" s="535" t="s">
        <v>441</v>
      </c>
      <c r="R41" s="535"/>
      <c r="S41" s="535"/>
      <c r="T41" s="200">
        <f>VLOOKUP(Table2[[#This Row],[Course Title]],'TSD-Data'!$A$1:$E$83,4,FALSE)</f>
        <v>1000</v>
      </c>
      <c r="U41" s="200">
        <f>VLOOKUP(Table2[[#This Row],[Course Title]],'TSD-Data'!$A$1:$F$83,6,FALSE)</f>
        <v>1</v>
      </c>
      <c r="V41" s="201">
        <f>VLOOKUP(Table2[[#This Row],[Course Title]],'TSD-Data'!$A$1:$F$83,5,FALSE)</f>
        <v>0.1</v>
      </c>
      <c r="W41" s="201"/>
      <c r="X41" s="200">
        <f>Table2[[#This Row],[Quotas]]-Table2[[#This Row],[Open Quotas]]</f>
        <v>1</v>
      </c>
      <c r="Y41" s="200">
        <v>0</v>
      </c>
      <c r="Z41" s="201">
        <v>33</v>
      </c>
      <c r="AA41" s="201">
        <v>0</v>
      </c>
      <c r="AB41" s="200">
        <v>0</v>
      </c>
      <c r="AC41" s="200">
        <v>0</v>
      </c>
      <c r="AD41" s="200">
        <v>0</v>
      </c>
      <c r="AE41" s="200" t="s">
        <v>442</v>
      </c>
      <c r="AF41" s="495">
        <f ca="1">Table2[[#This Row],[End Date]]+2-TODAY()</f>
        <v>-289</v>
      </c>
      <c r="AG41" s="496">
        <f>IF(ISBLANK(Table2[[#This Row],[Roster Received by]]),1,0)</f>
        <v>0</v>
      </c>
      <c r="AH41" s="496">
        <f ca="1">IF(Table2[[#This Row],[Start Date]]&gt;TODAY(),1,)</f>
        <v>0</v>
      </c>
      <c r="AI41" s="496">
        <f>IF(ISBLANK(Table2[[#This Row],[Primary Instructor]]),0,1)</f>
        <v>1</v>
      </c>
      <c r="AJ41" s="496">
        <f>IF(ISBLANK(Table2[[#This Row],[Instructor 2]]),0,1)</f>
        <v>0</v>
      </c>
      <c r="AK41" s="496">
        <f t="shared" si="0"/>
        <v>0</v>
      </c>
      <c r="AL41" s="318">
        <v>999</v>
      </c>
      <c r="AM41" s="496">
        <v>1</v>
      </c>
      <c r="AN41" s="496" t="str">
        <f>VLOOKUP(Table2[[#This Row],[Course Title]],'TSD-Data'!$A$1:$G$83,7,FALSE)</f>
        <v>N8-RMI</v>
      </c>
      <c r="AO41" s="500">
        <f>Table2[[#This Row],[Quotas]]-Table2[[#This Row],[Graduates]]-Table2[[#This Row],[Fail]]</f>
        <v>967</v>
      </c>
    </row>
    <row r="42" spans="2:41" s="202" customFormat="1" ht="15" customHeight="1" x14ac:dyDescent="0.25">
      <c r="B42" s="530"/>
      <c r="C42" s="538" t="s">
        <v>397</v>
      </c>
      <c r="D42" s="200" t="str">
        <f>VLOOKUP(Table2[[#This Row],[Course Title]],'TSD-Data'!$A$1:$E$83,2,FALSE)</f>
        <v>A-493-3005</v>
      </c>
      <c r="E42" s="200" t="str">
        <f>VLOOKUP(Table2[[#This Row],[Course Title]],'TSD-Data'!$A$1:$E$83,3,FALSE)</f>
        <v>31V7</v>
      </c>
      <c r="F42" s="530" t="s">
        <v>54</v>
      </c>
      <c r="G42" s="531">
        <v>45954</v>
      </c>
      <c r="H42" s="531">
        <v>45954</v>
      </c>
      <c r="I42" s="531" t="s">
        <v>42</v>
      </c>
      <c r="J42" s="532"/>
      <c r="K42" s="532">
        <v>0.44791666666666669</v>
      </c>
      <c r="L42" s="532">
        <v>0.32291666666666669</v>
      </c>
      <c r="M42" s="532">
        <v>0.73958333333333337</v>
      </c>
      <c r="N42" s="532">
        <v>0.69791666666666663</v>
      </c>
      <c r="O42" s="532">
        <v>0.23958333333333334</v>
      </c>
      <c r="P42" s="532">
        <v>0.98958333333333337</v>
      </c>
      <c r="Q42" s="535" t="s">
        <v>441</v>
      </c>
      <c r="R42" s="535"/>
      <c r="S42" s="535"/>
      <c r="T42" s="200">
        <f>VLOOKUP(Table2[[#This Row],[Course Title]],'TSD-Data'!$A$1:$E$83,4,FALSE)</f>
        <v>1000</v>
      </c>
      <c r="U42" s="200">
        <f>VLOOKUP(Table2[[#This Row],[Course Title]],'TSD-Data'!$A$1:$F$83,6,FALSE)</f>
        <v>2</v>
      </c>
      <c r="V42" s="201">
        <f>VLOOKUP(Table2[[#This Row],[Course Title]],'TSD-Data'!$A$1:$F$83,5,FALSE)</f>
        <v>0.25</v>
      </c>
      <c r="W42" s="201"/>
      <c r="X42" s="200">
        <f>Table2[[#This Row],[Quotas]]-Table2[[#This Row],[Open Quotas]]</f>
        <v>22</v>
      </c>
      <c r="Y42" s="200">
        <v>0</v>
      </c>
      <c r="Z42" s="201">
        <v>48</v>
      </c>
      <c r="AA42" s="201">
        <v>0</v>
      </c>
      <c r="AB42" s="200">
        <v>0</v>
      </c>
      <c r="AC42" s="200">
        <v>0</v>
      </c>
      <c r="AD42" s="200">
        <v>0</v>
      </c>
      <c r="AE42" s="200" t="s">
        <v>442</v>
      </c>
      <c r="AF42" s="495">
        <f ca="1">Table2[[#This Row],[End Date]]+2-TODAY()</f>
        <v>-288</v>
      </c>
      <c r="AG42" s="496">
        <f>IF(ISBLANK(Table2[[#This Row],[Roster Received by]]),1,0)</f>
        <v>0</v>
      </c>
      <c r="AH42" s="496">
        <f ca="1">IF(Table2[[#This Row],[Start Date]]&gt;TODAY(),1,)</f>
        <v>0</v>
      </c>
      <c r="AI42" s="496">
        <f>IF(ISBLANK(Table2[[#This Row],[Primary Instructor]]),0,1)</f>
        <v>1</v>
      </c>
      <c r="AJ42" s="496">
        <f>IF(ISBLANK(Table2[[#This Row],[Instructor 2]]),0,1)</f>
        <v>0</v>
      </c>
      <c r="AK42" s="496">
        <f t="shared" si="0"/>
        <v>0</v>
      </c>
      <c r="AL42" s="318">
        <v>978</v>
      </c>
      <c r="AM42" s="496">
        <v>1</v>
      </c>
      <c r="AN42" s="496" t="str">
        <f>VLOOKUP(Table2[[#This Row],[Course Title]],'TSD-Data'!$A$1:$G$83,7,FALSE)</f>
        <v>N8-RMI</v>
      </c>
      <c r="AO42" s="500">
        <f>Table2[[#This Row],[Quotas]]-Table2[[#This Row],[Graduates]]-Table2[[#This Row],[Fail]]</f>
        <v>952</v>
      </c>
    </row>
    <row r="43" spans="2:41" s="202" customFormat="1" ht="15" customHeight="1" x14ac:dyDescent="0.25">
      <c r="B43" s="530"/>
      <c r="C43" s="538" t="s">
        <v>402</v>
      </c>
      <c r="D43" s="200" t="str">
        <f>VLOOKUP(Table2[[#This Row],[Course Title]],'TSD-Data'!$A$1:$E$83,2,FALSE)</f>
        <v>A-493-3017</v>
      </c>
      <c r="E43" s="200" t="str">
        <f>VLOOKUP(Table2[[#This Row],[Course Title]],'TSD-Data'!$A$1:$E$83,3,FALSE)</f>
        <v>31YL</v>
      </c>
      <c r="F43" s="530" t="s">
        <v>54</v>
      </c>
      <c r="G43" s="531">
        <v>45954</v>
      </c>
      <c r="H43" s="531">
        <v>45954</v>
      </c>
      <c r="I43" s="531" t="s">
        <v>42</v>
      </c>
      <c r="J43" s="532"/>
      <c r="K43" s="536">
        <v>0.52083333333333337</v>
      </c>
      <c r="L43" s="536">
        <v>0.39583333333333331</v>
      </c>
      <c r="M43" s="536">
        <v>0.8125</v>
      </c>
      <c r="N43" s="536">
        <v>0.77083333333333337</v>
      </c>
      <c r="O43" s="536">
        <v>0.3125</v>
      </c>
      <c r="P43" s="536">
        <v>6.25E-2</v>
      </c>
      <c r="Q43" s="535" t="s">
        <v>441</v>
      </c>
      <c r="R43" s="535"/>
      <c r="S43" s="535"/>
      <c r="T43" s="200">
        <f>VLOOKUP(Table2[[#This Row],[Course Title]],'TSD-Data'!$A$1:$E$83,4,FALSE)</f>
        <v>1000</v>
      </c>
      <c r="U43" s="200">
        <f>VLOOKUP(Table2[[#This Row],[Course Title]],'TSD-Data'!$A$1:$F$83,6,FALSE)</f>
        <v>1.5</v>
      </c>
      <c r="V43" s="201">
        <f>VLOOKUP(Table2[[#This Row],[Course Title]],'TSD-Data'!$A$1:$F$83,5,FALSE)</f>
        <v>0.1</v>
      </c>
      <c r="W43" s="201"/>
      <c r="X43" s="200">
        <f>Table2[[#This Row],[Quotas]]-Table2[[#This Row],[Open Quotas]]</f>
        <v>1</v>
      </c>
      <c r="Y43" s="200">
        <v>0</v>
      </c>
      <c r="Z43" s="201">
        <v>43</v>
      </c>
      <c r="AA43" s="201">
        <v>0</v>
      </c>
      <c r="AB43" s="200">
        <v>0</v>
      </c>
      <c r="AC43" s="200">
        <v>0</v>
      </c>
      <c r="AD43" s="200">
        <v>0</v>
      </c>
      <c r="AE43" s="200" t="s">
        <v>442</v>
      </c>
      <c r="AF43" s="495">
        <f ca="1">Table2[[#This Row],[End Date]]+2-TODAY()</f>
        <v>-288</v>
      </c>
      <c r="AG43" s="496">
        <f>IF(ISBLANK(Table2[[#This Row],[Roster Received by]]),1,0)</f>
        <v>0</v>
      </c>
      <c r="AH43" s="496">
        <f ca="1">IF(Table2[[#This Row],[Start Date]]&gt;TODAY(),1,)</f>
        <v>0</v>
      </c>
      <c r="AI43" s="496">
        <f>IF(ISBLANK(Table2[[#This Row],[Primary Instructor]]),0,1)</f>
        <v>1</v>
      </c>
      <c r="AJ43" s="496">
        <f>IF(ISBLANK(Table2[[#This Row],[Instructor 2]]),0,1)</f>
        <v>0</v>
      </c>
      <c r="AK43" s="496">
        <f t="shared" si="0"/>
        <v>0</v>
      </c>
      <c r="AL43" s="318">
        <v>999</v>
      </c>
      <c r="AM43" s="496">
        <v>1</v>
      </c>
      <c r="AN43" s="496" t="str">
        <f>VLOOKUP(Table2[[#This Row],[Course Title]],'TSD-Data'!$A$1:$G$83,7,FALSE)</f>
        <v>N8-RMI</v>
      </c>
      <c r="AO43" s="500">
        <f>Table2[[#This Row],[Quotas]]-Table2[[#This Row],[Graduates]]-Table2[[#This Row],[Fail]]</f>
        <v>957</v>
      </c>
    </row>
    <row r="44" spans="2:41" s="202" customFormat="1" ht="15" customHeight="1" x14ac:dyDescent="0.25">
      <c r="B44" s="530"/>
      <c r="C44" s="538" t="s">
        <v>408</v>
      </c>
      <c r="D44" s="200" t="str">
        <f>VLOOKUP(Table2[[#This Row],[Course Title]],'TSD-Data'!$A$1:$E$83,2,FALSE)</f>
        <v>A-493-3008</v>
      </c>
      <c r="E44" s="200" t="str">
        <f>VLOOKUP(Table2[[#This Row],[Course Title]],'TSD-Data'!$A$1:$E$83,3,FALSE)</f>
        <v>31VA</v>
      </c>
      <c r="F44" s="530" t="s">
        <v>54</v>
      </c>
      <c r="G44" s="531">
        <v>45954</v>
      </c>
      <c r="H44" s="531">
        <v>45954</v>
      </c>
      <c r="I44" s="531" t="s">
        <v>42</v>
      </c>
      <c r="J44" s="532"/>
      <c r="K44" s="536">
        <v>0.33333333333333331</v>
      </c>
      <c r="L44" s="532">
        <v>0.20833333333333334</v>
      </c>
      <c r="M44" s="532">
        <v>0.625</v>
      </c>
      <c r="N44" s="532">
        <v>0.58333333333333337</v>
      </c>
      <c r="O44" s="532">
        <v>0.125</v>
      </c>
      <c r="P44" s="532">
        <v>0.875</v>
      </c>
      <c r="Q44" s="535" t="s">
        <v>441</v>
      </c>
      <c r="R44" s="535"/>
      <c r="S44" s="535"/>
      <c r="T44" s="200">
        <f>VLOOKUP(Table2[[#This Row],[Course Title]],'TSD-Data'!$A$1:$E$83,4,FALSE)</f>
        <v>1000</v>
      </c>
      <c r="U44" s="200">
        <f>VLOOKUP(Table2[[#This Row],[Course Title]],'TSD-Data'!$A$1:$F$83,6,FALSE)</f>
        <v>1.5</v>
      </c>
      <c r="V44" s="201">
        <f>VLOOKUP(Table2[[#This Row],[Course Title]],'TSD-Data'!$A$1:$F$83,5,FALSE)</f>
        <v>0.1</v>
      </c>
      <c r="W44" s="201"/>
      <c r="X44" s="200">
        <f>Table2[[#This Row],[Quotas]]-Table2[[#This Row],[Open Quotas]]</f>
        <v>14</v>
      </c>
      <c r="Y44" s="200">
        <v>0</v>
      </c>
      <c r="Z44" s="201">
        <v>41</v>
      </c>
      <c r="AA44" s="201">
        <v>0</v>
      </c>
      <c r="AB44" s="200">
        <v>0</v>
      </c>
      <c r="AC44" s="200">
        <v>0</v>
      </c>
      <c r="AD44" s="200">
        <v>0</v>
      </c>
      <c r="AE44" s="200" t="s">
        <v>442</v>
      </c>
      <c r="AF44" s="495">
        <f ca="1">Table2[[#This Row],[End Date]]+2-TODAY()</f>
        <v>-288</v>
      </c>
      <c r="AG44" s="496">
        <f>IF(ISBLANK(Table2[[#This Row],[Roster Received by]]),1,0)</f>
        <v>0</v>
      </c>
      <c r="AH44" s="496">
        <f ca="1">IF(Table2[[#This Row],[Start Date]]&gt;TODAY(),1,)</f>
        <v>0</v>
      </c>
      <c r="AI44" s="496">
        <f>IF(ISBLANK(Table2[[#This Row],[Primary Instructor]]),0,1)</f>
        <v>1</v>
      </c>
      <c r="AJ44" s="496">
        <f>IF(ISBLANK(Table2[[#This Row],[Instructor 2]]),0,1)</f>
        <v>0</v>
      </c>
      <c r="AK44" s="496">
        <f t="shared" si="0"/>
        <v>0</v>
      </c>
      <c r="AL44" s="318">
        <v>986</v>
      </c>
      <c r="AM44" s="496">
        <v>1</v>
      </c>
      <c r="AN44" s="496" t="str">
        <f>VLOOKUP(Table2[[#This Row],[Course Title]],'TSD-Data'!$A$1:$G$83,7,FALSE)</f>
        <v>N8-RMI</v>
      </c>
      <c r="AO44" s="500">
        <f>Table2[[#This Row],[Quotas]]-Table2[[#This Row],[Graduates]]-Table2[[#This Row],[Fail]]</f>
        <v>959</v>
      </c>
    </row>
    <row r="45" spans="2:41" s="202" customFormat="1" ht="15" customHeight="1" x14ac:dyDescent="0.25">
      <c r="B45" s="530"/>
      <c r="C45" s="538" t="s">
        <v>412</v>
      </c>
      <c r="D45" s="200" t="str">
        <f>VLOOKUP(Table2[[#This Row],[Course Title]],'TSD-Data'!$A$1:$E$83,2,FALSE)</f>
        <v>A-493-3009</v>
      </c>
      <c r="E45" s="200" t="str">
        <f>VLOOKUP(Table2[[#This Row],[Course Title]],'TSD-Data'!$A$1:$E$83,3,FALSE)</f>
        <v>31VB</v>
      </c>
      <c r="F45" s="530" t="s">
        <v>54</v>
      </c>
      <c r="G45" s="531">
        <v>45954</v>
      </c>
      <c r="H45" s="531">
        <v>45954</v>
      </c>
      <c r="I45" s="531" t="s">
        <v>42</v>
      </c>
      <c r="J45" s="532"/>
      <c r="K45" s="534">
        <v>0.39583333333333331</v>
      </c>
      <c r="L45" s="534">
        <v>0.27083333333333331</v>
      </c>
      <c r="M45" s="534">
        <v>0.6875</v>
      </c>
      <c r="N45" s="534">
        <v>0.64583333333333337</v>
      </c>
      <c r="O45" s="534">
        <v>0.1875</v>
      </c>
      <c r="P45" s="534">
        <v>0.9375</v>
      </c>
      <c r="Q45" s="535" t="s">
        <v>441</v>
      </c>
      <c r="R45" s="535"/>
      <c r="S45" s="535"/>
      <c r="T45" s="200">
        <f>VLOOKUP(Table2[[#This Row],[Course Title]],'TSD-Data'!$A$1:$E$83,4,FALSE)</f>
        <v>1000</v>
      </c>
      <c r="U45" s="200">
        <f>VLOOKUP(Table2[[#This Row],[Course Title]],'TSD-Data'!$A$1:$F$83,6,FALSE)</f>
        <v>1.5</v>
      </c>
      <c r="V45" s="201">
        <f>VLOOKUP(Table2[[#This Row],[Course Title]],'TSD-Data'!$A$1:$F$83,5,FALSE)</f>
        <v>0.1</v>
      </c>
      <c r="W45" s="201"/>
      <c r="X45" s="200">
        <f>Table2[[#This Row],[Quotas]]-Table2[[#This Row],[Open Quotas]]</f>
        <v>44</v>
      </c>
      <c r="Y45" s="200">
        <v>0</v>
      </c>
      <c r="Z45" s="201">
        <v>65</v>
      </c>
      <c r="AA45" s="201">
        <v>0</v>
      </c>
      <c r="AB45" s="200">
        <v>0</v>
      </c>
      <c r="AC45" s="200">
        <v>0</v>
      </c>
      <c r="AD45" s="200">
        <v>0</v>
      </c>
      <c r="AE45" s="200" t="s">
        <v>442</v>
      </c>
      <c r="AF45" s="495">
        <f ca="1">Table2[[#This Row],[End Date]]+2-TODAY()</f>
        <v>-288</v>
      </c>
      <c r="AG45" s="496">
        <f>IF(ISBLANK(Table2[[#This Row],[Roster Received by]]),1,0)</f>
        <v>0</v>
      </c>
      <c r="AH45" s="496">
        <f ca="1">IF(Table2[[#This Row],[Start Date]]&gt;TODAY(),1,)</f>
        <v>0</v>
      </c>
      <c r="AI45" s="496">
        <f>IF(ISBLANK(Table2[[#This Row],[Primary Instructor]]),0,1)</f>
        <v>1</v>
      </c>
      <c r="AJ45" s="496">
        <f>IF(ISBLANK(Table2[[#This Row],[Instructor 2]]),0,1)</f>
        <v>0</v>
      </c>
      <c r="AK45" s="496">
        <f t="shared" si="0"/>
        <v>0</v>
      </c>
      <c r="AL45" s="318">
        <v>956</v>
      </c>
      <c r="AM45" s="496">
        <v>1</v>
      </c>
      <c r="AN45" s="496" t="str">
        <f>VLOOKUP(Table2[[#This Row],[Course Title]],'TSD-Data'!$A$1:$G$83,7,FALSE)</f>
        <v>N8-RMI</v>
      </c>
      <c r="AO45" s="500">
        <f>Table2[[#This Row],[Quotas]]-Table2[[#This Row],[Graduates]]-Table2[[#This Row],[Fail]]</f>
        <v>935</v>
      </c>
    </row>
    <row r="46" spans="2:41" s="202" customFormat="1" ht="15" customHeight="1" x14ac:dyDescent="0.25">
      <c r="B46" s="530"/>
      <c r="C46" s="539" t="s">
        <v>389</v>
      </c>
      <c r="D46" s="200" t="str">
        <f>VLOOKUP(Table2[[#This Row],[Course Title]],'TSD-Data'!$A$1:$E$83,2,FALSE)</f>
        <v>A-493-0014</v>
      </c>
      <c r="E46" s="200">
        <f>VLOOKUP(Table2[[#This Row],[Course Title]],'TSD-Data'!$A$1:$E$83,3,FALSE)</f>
        <v>3878</v>
      </c>
      <c r="F46" s="530" t="s">
        <v>61</v>
      </c>
      <c r="G46" s="544">
        <v>45957</v>
      </c>
      <c r="H46" s="544">
        <v>45959</v>
      </c>
      <c r="I46" s="531" t="s">
        <v>42</v>
      </c>
      <c r="J46" s="532">
        <v>0.33333333333333331</v>
      </c>
      <c r="K46" s="547"/>
      <c r="L46" s="537"/>
      <c r="M46" s="537"/>
      <c r="N46" s="537"/>
      <c r="O46" s="537"/>
      <c r="P46" s="537"/>
      <c r="Q46" s="535" t="s">
        <v>67</v>
      </c>
      <c r="R46" s="535" t="s">
        <v>62</v>
      </c>
      <c r="S46" s="535"/>
      <c r="T46" s="200">
        <f>VLOOKUP(Table2[[#This Row],[Course Title]],'TSD-Data'!$A$1:$E$83,4,FALSE)</f>
        <v>25</v>
      </c>
      <c r="U46" s="200">
        <f>VLOOKUP(Table2[[#This Row],[Course Title]],'TSD-Data'!$A$1:$F$83,6,FALSE)</f>
        <v>24</v>
      </c>
      <c r="V46" s="201">
        <f>VLOOKUP(Table2[[#This Row],[Course Title]],'TSD-Data'!$A$1:$F$83,5,FALSE)</f>
        <v>3</v>
      </c>
      <c r="W46" s="201">
        <v>149</v>
      </c>
      <c r="X46" s="200">
        <f>Table2[[#This Row],[Quotas]]-Table2[[#This Row],[Open Quotas]]</f>
        <v>15</v>
      </c>
      <c r="Y46" s="200">
        <v>0</v>
      </c>
      <c r="Z46" s="201">
        <v>11</v>
      </c>
      <c r="AA46" s="201">
        <v>0</v>
      </c>
      <c r="AB46" s="200">
        <v>0</v>
      </c>
      <c r="AC46" s="200">
        <v>1</v>
      </c>
      <c r="AD46" s="200">
        <v>0</v>
      </c>
      <c r="AE46" s="200" t="s">
        <v>429</v>
      </c>
      <c r="AF46" s="495">
        <f ca="1">Table2[[#This Row],[End Date]]+2-TODAY()</f>
        <v>-283</v>
      </c>
      <c r="AG46" s="496">
        <f>IF(ISBLANK(Table2[[#This Row],[Roster Received by]]),1,0)</f>
        <v>0</v>
      </c>
      <c r="AH46" s="496">
        <f ca="1">IF(Table2[[#This Row],[Start Date]]&gt;TODAY(),1,)</f>
        <v>0</v>
      </c>
      <c r="AI46" s="496">
        <f>IF(ISBLANK(Table2[[#This Row],[Primary Instructor]]),0,1)</f>
        <v>1</v>
      </c>
      <c r="AJ46" s="496">
        <f>IF(ISBLANK(Table2[[#This Row],[Instructor 2]]),0,1)</f>
        <v>1</v>
      </c>
      <c r="AK46" s="496">
        <f>Table2[[#This Row],[Course Length (Hours)]]/(Table2[[#This Row],[1 Instructor]]+Table2[[#This Row],[2 Instructors]])</f>
        <v>12</v>
      </c>
      <c r="AL46" s="318">
        <v>10</v>
      </c>
      <c r="AM46" s="496">
        <v>1</v>
      </c>
      <c r="AN46" s="496" t="str">
        <f>VLOOKUP(Table2[[#This Row],[Course Title]],'TSD-Data'!$A$1:$G$83,7,FALSE)</f>
        <v>N3</v>
      </c>
      <c r="AO46" s="500">
        <f>Table2[[#This Row],[Quotas]]-Table2[[#This Row],[Graduates]]-Table2[[#This Row],[Fail]]</f>
        <v>14</v>
      </c>
    </row>
    <row r="47" spans="2:41" s="202" customFormat="1" ht="15" customHeight="1" x14ac:dyDescent="0.25">
      <c r="B47" s="530"/>
      <c r="C47" s="538" t="s">
        <v>200</v>
      </c>
      <c r="D47" s="200" t="str">
        <f>VLOOKUP(Table2[[#This Row],[Course Title]],'TSD-Data'!$A$1:$E$83,2,FALSE)</f>
        <v>A-493-0665</v>
      </c>
      <c r="E47" s="200" t="str">
        <f>VLOOKUP(Table2[[#This Row],[Course Title]],'TSD-Data'!$A$1:$E$83,3,FALSE)</f>
        <v>10KW</v>
      </c>
      <c r="F47" s="530" t="s">
        <v>54</v>
      </c>
      <c r="G47" s="531">
        <v>45957</v>
      </c>
      <c r="H47" s="531">
        <v>45959</v>
      </c>
      <c r="I47" s="531" t="s">
        <v>42</v>
      </c>
      <c r="J47" s="532"/>
      <c r="K47" s="536">
        <v>0.33333333333333331</v>
      </c>
      <c r="L47" s="532">
        <v>0.20833333333333334</v>
      </c>
      <c r="M47" s="532">
        <v>0.625</v>
      </c>
      <c r="N47" s="532">
        <v>0.54166666666666663</v>
      </c>
      <c r="O47" s="532">
        <v>8.3333333333333329E-2</v>
      </c>
      <c r="P47" s="532">
        <v>0.875</v>
      </c>
      <c r="Q47" s="535" t="s">
        <v>79</v>
      </c>
      <c r="R47" s="535" t="s">
        <v>432</v>
      </c>
      <c r="S47" s="535"/>
      <c r="T47" s="200">
        <f>VLOOKUP(Table2[[#This Row],[Course Title]],'TSD-Data'!$A$1:$E$83,4,FALSE)</f>
        <v>45</v>
      </c>
      <c r="U47" s="200">
        <f>VLOOKUP(Table2[[#This Row],[Course Title]],'TSD-Data'!$A$1:$F$83,6,FALSE)</f>
        <v>24</v>
      </c>
      <c r="V47" s="201">
        <f>VLOOKUP(Table2[[#This Row],[Course Title]],'TSD-Data'!$A$1:$F$83,5,FALSE)</f>
        <v>3</v>
      </c>
      <c r="W47" s="201">
        <v>140</v>
      </c>
      <c r="X47" s="200">
        <f>Table2[[#This Row],[Quotas]]-Table2[[#This Row],[Open Quotas]]</f>
        <v>36</v>
      </c>
      <c r="Y47" s="200">
        <v>0</v>
      </c>
      <c r="Z47" s="201">
        <v>33</v>
      </c>
      <c r="AA47" s="201">
        <v>0</v>
      </c>
      <c r="AB47" s="200">
        <v>0</v>
      </c>
      <c r="AC47" s="200">
        <v>0</v>
      </c>
      <c r="AD47" s="200">
        <v>0</v>
      </c>
      <c r="AE47" s="200" t="s">
        <v>442</v>
      </c>
      <c r="AF47" s="495">
        <f ca="1">Table2[[#This Row],[End Date]]+2-TODAY()</f>
        <v>-283</v>
      </c>
      <c r="AG47" s="496">
        <f>IF(ISBLANK(Table2[[#This Row],[Roster Received by]]),1,0)</f>
        <v>0</v>
      </c>
      <c r="AH47" s="496">
        <f ca="1">IF(Table2[[#This Row],[Start Date]]&gt;TODAY(),1,)</f>
        <v>0</v>
      </c>
      <c r="AI47" s="496">
        <f>IF(ISBLANK(Table2[[#This Row],[Primary Instructor]]),0,1)</f>
        <v>1</v>
      </c>
      <c r="AJ47" s="496">
        <f>IF(ISBLANK(Table2[[#This Row],[Instructor 2]]),0,1)</f>
        <v>1</v>
      </c>
      <c r="AK47" s="496">
        <f>Table2[[#This Row],[Course Length (Hours)]]/(Table2[[#This Row],[1 Instructor]]+Table2[[#This Row],[2 Instructors]])</f>
        <v>12</v>
      </c>
      <c r="AL47" s="318">
        <v>9</v>
      </c>
      <c r="AM47" s="496">
        <v>1</v>
      </c>
      <c r="AN47" s="496" t="str">
        <f>VLOOKUP(Table2[[#This Row],[Course Title]],'TSD-Data'!$A$1:$G$83,7,FALSE)</f>
        <v>N8</v>
      </c>
      <c r="AO47" s="500">
        <f>Table2[[#This Row],[Quotas]]-Table2[[#This Row],[Graduates]]-Table2[[#This Row],[Fail]]</f>
        <v>12</v>
      </c>
    </row>
    <row r="48" spans="2:41" s="202" customFormat="1" ht="15" customHeight="1" x14ac:dyDescent="0.25">
      <c r="B48" s="530"/>
      <c r="C48" s="538" t="s">
        <v>276</v>
      </c>
      <c r="D48" s="200" t="str">
        <f>VLOOKUP(Table2[[#This Row],[Course Title]],'TSD-Data'!$A$1:$E$83,2,FALSE)</f>
        <v>A-493-0103</v>
      </c>
      <c r="E48" s="200" t="str">
        <f>VLOOKUP(Table2[[#This Row],[Course Title]],'TSD-Data'!$A$1:$E$83,3,FALSE)</f>
        <v>12JY</v>
      </c>
      <c r="F48" s="530" t="s">
        <v>130</v>
      </c>
      <c r="G48" s="531">
        <v>45957</v>
      </c>
      <c r="H48" s="531">
        <v>45961</v>
      </c>
      <c r="I48" s="531" t="s">
        <v>42</v>
      </c>
      <c r="J48" s="532">
        <v>0.33333333333333331</v>
      </c>
      <c r="K48" s="532"/>
      <c r="L48" s="531"/>
      <c r="M48" s="531"/>
      <c r="N48" s="531"/>
      <c r="O48" s="531"/>
      <c r="P48" s="531"/>
      <c r="Q48" s="535" t="s">
        <v>280</v>
      </c>
      <c r="R48" s="535"/>
      <c r="S48" s="535"/>
      <c r="T48" s="200">
        <f>VLOOKUP(Table2[[#This Row],[Course Title]],'TSD-Data'!$A$1:$E$83,4,FALSE)</f>
        <v>25</v>
      </c>
      <c r="U48" s="200">
        <f>VLOOKUP(Table2[[#This Row],[Course Title]],'TSD-Data'!$A$1:$F$83,6,FALSE)</f>
        <v>40</v>
      </c>
      <c r="V48" s="201">
        <f>VLOOKUP(Table2[[#This Row],[Course Title]],'TSD-Data'!$A$1:$F$83,5,FALSE)</f>
        <v>5</v>
      </c>
      <c r="W48" s="201">
        <v>512</v>
      </c>
      <c r="X48" s="200">
        <f>Table2[[#This Row],[Quotas]]-Table2[[#This Row],[Open Quotas]]</f>
        <v>25</v>
      </c>
      <c r="Y48" s="200">
        <v>4</v>
      </c>
      <c r="Z48" s="201">
        <v>22</v>
      </c>
      <c r="AA48" s="201">
        <v>0</v>
      </c>
      <c r="AB48" s="200">
        <v>0</v>
      </c>
      <c r="AC48" s="200">
        <v>4</v>
      </c>
      <c r="AD48" s="200">
        <v>0</v>
      </c>
      <c r="AE48" s="200" t="s">
        <v>431</v>
      </c>
      <c r="AF48" s="495">
        <f ca="1">Table2[[#This Row],[End Date]]+2-TODAY()</f>
        <v>-281</v>
      </c>
      <c r="AG48" s="496">
        <f>IF(ISBLANK(Table2[[#This Row],[Roster Received by]]),1,0)</f>
        <v>0</v>
      </c>
      <c r="AH48" s="496">
        <f ca="1">IF(Table2[[#This Row],[Start Date]]&gt;TODAY(),1,)</f>
        <v>0</v>
      </c>
      <c r="AI48" s="496">
        <f>IF(ISBLANK(Table2[[#This Row],[Primary Instructor]]),0,1)</f>
        <v>1</v>
      </c>
      <c r="AJ48" s="496">
        <f>IF(ISBLANK(Table2[[#This Row],[Instructor 2]]),0,1)</f>
        <v>0</v>
      </c>
      <c r="AK48" s="496">
        <f>Table2[[#This Row],[Course Length (Hours)]]/(Table2[[#This Row],[1 Instructor]]+Table2[[#This Row],[2 Instructors]])</f>
        <v>40</v>
      </c>
      <c r="AL48" s="318">
        <v>0</v>
      </c>
      <c r="AM48" s="496">
        <v>1</v>
      </c>
      <c r="AN48" s="496" t="str">
        <f>VLOOKUP(Table2[[#This Row],[Course Title]],'TSD-Data'!$A$1:$G$83,7,FALSE)</f>
        <v>N5</v>
      </c>
      <c r="AO48" s="500">
        <f>Table2[[#This Row],[Quotas]]-Table2[[#This Row],[Graduates]]-Table2[[#This Row],[Fail]]</f>
        <v>3</v>
      </c>
    </row>
    <row r="49" spans="2:54" s="202" customFormat="1" ht="15" customHeight="1" x14ac:dyDescent="0.25">
      <c r="B49" s="530"/>
      <c r="C49" s="538" t="s">
        <v>271</v>
      </c>
      <c r="D49" s="200" t="str">
        <f>VLOOKUP(Table2[[#This Row],[Course Title]],'TSD-Data'!$A$1:$E$83,2,FALSE)</f>
        <v>A-493-0061</v>
      </c>
      <c r="E49" s="200" t="str">
        <f>VLOOKUP(Table2[[#This Row],[Course Title]],'TSD-Data'!$A$1:$E$83,3,FALSE)</f>
        <v>288E</v>
      </c>
      <c r="F49" s="530" t="s">
        <v>54</v>
      </c>
      <c r="G49" s="531">
        <v>45957</v>
      </c>
      <c r="H49" s="531">
        <v>45960</v>
      </c>
      <c r="I49" s="531" t="s">
        <v>42</v>
      </c>
      <c r="J49" s="532"/>
      <c r="K49" s="536">
        <v>0.5</v>
      </c>
      <c r="L49" s="546">
        <v>0.375</v>
      </c>
      <c r="M49" s="536">
        <v>0.79166666666666663</v>
      </c>
      <c r="N49" s="536">
        <v>0.75</v>
      </c>
      <c r="O49" s="536">
        <v>0.25</v>
      </c>
      <c r="P49" s="536">
        <v>4.1666666666666664E-2</v>
      </c>
      <c r="Q49" s="535" t="s">
        <v>148</v>
      </c>
      <c r="R49" s="535"/>
      <c r="S49" s="535"/>
      <c r="T49" s="200">
        <f>VLOOKUP(Table2[[#This Row],[Course Title]],'TSD-Data'!$A$1:$E$83,4,FALSE)</f>
        <v>45</v>
      </c>
      <c r="U49" s="200">
        <f>VLOOKUP(Table2[[#This Row],[Course Title]],'TSD-Data'!$A$1:$F$83,6,FALSE)</f>
        <v>30</v>
      </c>
      <c r="V49" s="201">
        <f>VLOOKUP(Table2[[#This Row],[Course Title]],'TSD-Data'!$A$1:$F$83,5,FALSE)</f>
        <v>4</v>
      </c>
      <c r="W49" s="201">
        <v>620</v>
      </c>
      <c r="X49" s="200">
        <f>Table2[[#This Row],[Quotas]]-Table2[[#This Row],[Open Quotas]]</f>
        <v>32</v>
      </c>
      <c r="Y49" s="200">
        <v>0</v>
      </c>
      <c r="Z49" s="201">
        <v>26</v>
      </c>
      <c r="AA49" s="201">
        <v>0</v>
      </c>
      <c r="AB49" s="200">
        <v>0</v>
      </c>
      <c r="AC49" s="200">
        <v>1</v>
      </c>
      <c r="AD49" s="200">
        <v>0</v>
      </c>
      <c r="AE49" s="200" t="s">
        <v>431</v>
      </c>
      <c r="AF49" s="495">
        <f ca="1">Table2[[#This Row],[End Date]]+2-TODAY()</f>
        <v>-282</v>
      </c>
      <c r="AG49" s="496">
        <f>IF(ISBLANK(Table2[[#This Row],[Roster Received by]]),1,0)</f>
        <v>0</v>
      </c>
      <c r="AH49" s="496">
        <f ca="1">IF(Table2[[#This Row],[Start Date]]&gt;TODAY(),1,)</f>
        <v>0</v>
      </c>
      <c r="AI49" s="496">
        <f>IF(ISBLANK(Table2[[#This Row],[Primary Instructor]]),0,1)</f>
        <v>1</v>
      </c>
      <c r="AJ49" s="496">
        <f>IF(ISBLANK(Table2[[#This Row],[Instructor 2]]),0,1)</f>
        <v>0</v>
      </c>
      <c r="AK49" s="496">
        <f>Table2[[#This Row],[Course Length (Hours)]]/(Table2[[#This Row],[1 Instructor]]+Table2[[#This Row],[2 Instructors]])</f>
        <v>30</v>
      </c>
      <c r="AL49" s="318">
        <v>13</v>
      </c>
      <c r="AM49" s="496">
        <v>1</v>
      </c>
      <c r="AN49" s="496" t="str">
        <f>VLOOKUP(Table2[[#This Row],[Course Title]],'TSD-Data'!$A$1:$G$83,7,FALSE)</f>
        <v>N5</v>
      </c>
      <c r="AO49" s="500">
        <f>Table2[[#This Row],[Quotas]]-Table2[[#This Row],[Graduates]]-Table2[[#This Row],[Fail]]</f>
        <v>19</v>
      </c>
    </row>
    <row r="50" spans="2:54" s="202" customFormat="1" ht="15" customHeight="1" x14ac:dyDescent="0.25">
      <c r="B50" s="530"/>
      <c r="C50" s="530" t="s">
        <v>229</v>
      </c>
      <c r="D50" s="200" t="str">
        <f>VLOOKUP(Table2[[#This Row],[Course Title]],'TSD-Data'!$A$1:$E$83,2,FALSE)</f>
        <v>A-570-0100</v>
      </c>
      <c r="E50" s="200" t="str">
        <f>VLOOKUP(Table2[[#This Row],[Course Title]],'TSD-Data'!$A$1:$E$83,3,FALSE)</f>
        <v>18B7</v>
      </c>
      <c r="F50" s="530" t="s">
        <v>54</v>
      </c>
      <c r="G50" s="531">
        <v>45957</v>
      </c>
      <c r="H50" s="531">
        <v>45958</v>
      </c>
      <c r="I50" s="531" t="s">
        <v>42</v>
      </c>
      <c r="J50" s="532"/>
      <c r="K50" s="532">
        <v>0.5</v>
      </c>
      <c r="L50" s="536">
        <v>0.375</v>
      </c>
      <c r="M50" s="536">
        <v>0.79166666666666663</v>
      </c>
      <c r="N50" s="536">
        <v>0.75</v>
      </c>
      <c r="O50" s="536">
        <v>0.25</v>
      </c>
      <c r="P50" s="536">
        <v>4.1666666666666664E-2</v>
      </c>
      <c r="Q50" s="535" t="s">
        <v>432</v>
      </c>
      <c r="R50" s="535"/>
      <c r="S50" s="535"/>
      <c r="T50" s="200">
        <f>VLOOKUP(Table2[[#This Row],[Course Title]],'TSD-Data'!$A$1:$E$83,4,FALSE)</f>
        <v>45</v>
      </c>
      <c r="U50" s="200">
        <f>VLOOKUP(Table2[[#This Row],[Course Title]],'TSD-Data'!$A$1:$F$83,6,FALSE)</f>
        <v>16</v>
      </c>
      <c r="V50" s="201">
        <f>VLOOKUP(Table2[[#This Row],[Course Title]],'TSD-Data'!$A$1:$F$83,5,FALSE)</f>
        <v>2</v>
      </c>
      <c r="W50" s="201">
        <v>326</v>
      </c>
      <c r="X50" s="200">
        <f>Table2[[#This Row],[Quotas]]-Table2[[#This Row],[Open Quotas]]</f>
        <v>39</v>
      </c>
      <c r="Y50" s="200">
        <v>0</v>
      </c>
      <c r="Z50" s="201">
        <v>34</v>
      </c>
      <c r="AA50" s="201">
        <v>0</v>
      </c>
      <c r="AB50" s="200">
        <v>0</v>
      </c>
      <c r="AC50" s="200">
        <v>0</v>
      </c>
      <c r="AD50" s="200">
        <v>0</v>
      </c>
      <c r="AE50" s="200" t="s">
        <v>429</v>
      </c>
      <c r="AF50" s="495">
        <f ca="1">Table2[[#This Row],[End Date]]+2-TODAY()</f>
        <v>-284</v>
      </c>
      <c r="AG50" s="496">
        <f>IF(ISBLANK(Table2[[#This Row],[Roster Received by]]),1,0)</f>
        <v>0</v>
      </c>
      <c r="AH50" s="496">
        <f ca="1">IF(Table2[[#This Row],[Start Date]]&gt;TODAY(),1,)</f>
        <v>0</v>
      </c>
      <c r="AI50" s="496">
        <f>IF(ISBLANK(Table2[[#This Row],[Primary Instructor]]),0,1)</f>
        <v>1</v>
      </c>
      <c r="AJ50" s="496">
        <f>IF(ISBLANK(Table2[[#This Row],[Instructor 2]]),0,1)</f>
        <v>0</v>
      </c>
      <c r="AK50" s="496">
        <f>Table2[[#This Row],[Course Length (Hours)]]/(Table2[[#This Row],[1 Instructor]]+Table2[[#This Row],[2 Instructors]])</f>
        <v>16</v>
      </c>
      <c r="AL50" s="318">
        <v>6</v>
      </c>
      <c r="AM50" s="496">
        <v>1</v>
      </c>
      <c r="AN50" s="496" t="str">
        <f>VLOOKUP(Table2[[#This Row],[Course Title]],'TSD-Data'!$A$1:$G$83,7,FALSE)</f>
        <v>N8</v>
      </c>
      <c r="AO50" s="500">
        <f>Table2[[#This Row],[Quotas]]-Table2[[#This Row],[Graduates]]-Table2[[#This Row],[Fail]]</f>
        <v>11</v>
      </c>
    </row>
    <row r="51" spans="2:54" s="202" customFormat="1" ht="15" customHeight="1" x14ac:dyDescent="0.25">
      <c r="B51" s="530"/>
      <c r="C51" s="530" t="s">
        <v>77</v>
      </c>
      <c r="D51" s="200" t="str">
        <f>VLOOKUP(Table2[[#This Row],[Course Title]],'TSD-Data'!$A$1:$E$83,2,FALSE)</f>
        <v>A-493-0072</v>
      </c>
      <c r="E51" s="200" t="str">
        <f>VLOOKUP(Table2[[#This Row],[Course Title]],'TSD-Data'!$A$1:$E$83,3,FALSE)</f>
        <v>713U</v>
      </c>
      <c r="F51" s="530" t="s">
        <v>358</v>
      </c>
      <c r="G51" s="548">
        <v>45957</v>
      </c>
      <c r="H51" s="548">
        <v>45961</v>
      </c>
      <c r="I51" s="531" t="s">
        <v>42</v>
      </c>
      <c r="J51" s="532">
        <v>0.33333333333333331</v>
      </c>
      <c r="K51" s="532"/>
      <c r="L51" s="531"/>
      <c r="M51" s="531"/>
      <c r="N51" s="531"/>
      <c r="O51" s="531"/>
      <c r="P51" s="531"/>
      <c r="Q51" s="535" t="s">
        <v>82</v>
      </c>
      <c r="R51" s="535" t="s">
        <v>295</v>
      </c>
      <c r="S51" s="535"/>
      <c r="T51" s="200">
        <f>VLOOKUP(Table2[[#This Row],[Course Title]],'TSD-Data'!$A$1:$E$83,4,FALSE)</f>
        <v>30</v>
      </c>
      <c r="U51" s="200">
        <f>VLOOKUP(Table2[[#This Row],[Course Title]],'TSD-Data'!$A$1:$F$83,6,FALSE)</f>
        <v>40</v>
      </c>
      <c r="V51" s="201">
        <f>VLOOKUP(Table2[[#This Row],[Course Title]],'TSD-Data'!$A$1:$F$83,5,FALSE)</f>
        <v>5</v>
      </c>
      <c r="W51" s="201">
        <v>178</v>
      </c>
      <c r="X51" s="200">
        <f>Table2[[#This Row],[Quotas]]-Table2[[#This Row],[Open Quotas]]</f>
        <v>19</v>
      </c>
      <c r="Y51" s="200">
        <v>0</v>
      </c>
      <c r="Z51" s="201">
        <v>19</v>
      </c>
      <c r="AA51" s="201">
        <v>0</v>
      </c>
      <c r="AB51" s="200">
        <v>0</v>
      </c>
      <c r="AC51" s="200">
        <v>5</v>
      </c>
      <c r="AD51" s="200">
        <v>0</v>
      </c>
      <c r="AE51" s="200" t="s">
        <v>429</v>
      </c>
      <c r="AF51" s="495">
        <f ca="1">Table2[[#This Row],[End Date]]+2-TODAY()</f>
        <v>-281</v>
      </c>
      <c r="AG51" s="496">
        <f>IF(ISBLANK(Table2[[#This Row],[Roster Received by]]),1,0)</f>
        <v>0</v>
      </c>
      <c r="AH51" s="496">
        <f ca="1">IF(Table2[[#This Row],[Start Date]]&gt;TODAY(),1,)</f>
        <v>0</v>
      </c>
      <c r="AI51" s="496">
        <f>IF(ISBLANK(Table2[[#This Row],[Primary Instructor]]),0,1)</f>
        <v>1</v>
      </c>
      <c r="AJ51" s="496">
        <f>IF(ISBLANK(Table2[[#This Row],[Instructor 2]]),0,1)</f>
        <v>1</v>
      </c>
      <c r="AK51" s="496">
        <f>Table2[[#This Row],[Course Length (Hours)]]/(Table2[[#This Row],[1 Instructor]]+Table2[[#This Row],[2 Instructors]])</f>
        <v>20</v>
      </c>
      <c r="AL51" s="318">
        <v>11</v>
      </c>
      <c r="AM51" s="496">
        <v>1</v>
      </c>
      <c r="AN51" s="496" t="str">
        <f>VLOOKUP(Table2[[#This Row],[Course Title]],'TSD-Data'!$A$1:$G$83,7,FALSE)</f>
        <v>N3</v>
      </c>
      <c r="AO51" s="500">
        <f>Table2[[#This Row],[Quotas]]-Table2[[#This Row],[Graduates]]-Table2[[#This Row],[Fail]]</f>
        <v>11</v>
      </c>
    </row>
    <row r="52" spans="2:54" s="202" customFormat="1" ht="15" customHeight="1" x14ac:dyDescent="0.25">
      <c r="B52" s="530"/>
      <c r="C52" s="542" t="s">
        <v>249</v>
      </c>
      <c r="D52" s="200" t="str">
        <f>VLOOKUP(Table2[[#This Row],[Course Title]],'TSD-Data'!$A$1:$E$83,2,FALSE)</f>
        <v>A-493-0331</v>
      </c>
      <c r="E52" s="200" t="str">
        <f>VLOOKUP(Table2[[#This Row],[Course Title]],'TSD-Data'!$A$1:$E$83,3,FALSE)</f>
        <v>10UG</v>
      </c>
      <c r="F52" s="530" t="s">
        <v>54</v>
      </c>
      <c r="G52" s="548">
        <v>45958</v>
      </c>
      <c r="H52" s="548">
        <v>45960</v>
      </c>
      <c r="I52" s="531" t="s">
        <v>42</v>
      </c>
      <c r="J52" s="532"/>
      <c r="K52" s="536">
        <v>1900.7916666666667</v>
      </c>
      <c r="L52" s="536">
        <v>0.66666666666666663</v>
      </c>
      <c r="M52" s="536">
        <v>8.3333333333333329E-2</v>
      </c>
      <c r="N52" s="536">
        <v>0</v>
      </c>
      <c r="O52" s="536">
        <v>0.54166666666666663</v>
      </c>
      <c r="P52" s="536">
        <v>0.33333333333333331</v>
      </c>
      <c r="Q52" s="535" t="s">
        <v>437</v>
      </c>
      <c r="R52" s="535"/>
      <c r="S52" s="535"/>
      <c r="T52" s="200">
        <f>VLOOKUP(Table2[[#This Row],[Course Title]],'TSD-Data'!$A$1:$E$83,4,FALSE)</f>
        <v>45</v>
      </c>
      <c r="U52" s="200">
        <f>VLOOKUP(Table2[[#This Row],[Course Title]],'TSD-Data'!$A$1:$F$83,6,FALSE)</f>
        <v>24</v>
      </c>
      <c r="V52" s="201">
        <f>VLOOKUP(Table2[[#This Row],[Course Title]],'TSD-Data'!$A$1:$F$83,5,FALSE)</f>
        <v>3</v>
      </c>
      <c r="W52" s="201">
        <v>183</v>
      </c>
      <c r="X52" s="200">
        <f>Table2[[#This Row],[Quotas]]-Table2[[#This Row],[Open Quotas]]</f>
        <v>45</v>
      </c>
      <c r="Y52" s="200">
        <v>1</v>
      </c>
      <c r="Z52" s="201">
        <v>37</v>
      </c>
      <c r="AA52" s="201">
        <v>1</v>
      </c>
      <c r="AB52" s="200">
        <v>0</v>
      </c>
      <c r="AC52" s="200">
        <v>0</v>
      </c>
      <c r="AD52" s="200">
        <v>0</v>
      </c>
      <c r="AE52" s="200" t="s">
        <v>429</v>
      </c>
      <c r="AF52" s="495">
        <f ca="1">Table2[[#This Row],[End Date]]+2-TODAY()</f>
        <v>-282</v>
      </c>
      <c r="AG52" s="496">
        <f>IF(ISBLANK(Table2[[#This Row],[Roster Received by]]),1,0)</f>
        <v>0</v>
      </c>
      <c r="AH52" s="496">
        <f ca="1">IF(Table2[[#This Row],[Start Date]]&gt;TODAY(),1,)</f>
        <v>0</v>
      </c>
      <c r="AI52" s="496">
        <f>IF(ISBLANK(Table2[[#This Row],[Primary Instructor]]),0,1)</f>
        <v>1</v>
      </c>
      <c r="AJ52" s="496">
        <f>IF(ISBLANK(Table2[[#This Row],[Instructor 2]]),0,1)</f>
        <v>0</v>
      </c>
      <c r="AK52" s="496">
        <f>Table2[[#This Row],[Course Length (Hours)]]/(Table2[[#This Row],[1 Instructor]]+Table2[[#This Row],[2 Instructors]])</f>
        <v>24</v>
      </c>
      <c r="AL52" s="318">
        <v>0</v>
      </c>
      <c r="AM52" s="496">
        <v>1</v>
      </c>
      <c r="AN52" s="496" t="str">
        <f>VLOOKUP(Table2[[#This Row],[Course Title]],'TSD-Data'!$A$1:$G$83,7,FALSE)</f>
        <v>N3</v>
      </c>
      <c r="AO52" s="500">
        <f>Table2[[#This Row],[Quotas]]-Table2[[#This Row],[Graduates]]-Table2[[#This Row],[Fail]]</f>
        <v>7</v>
      </c>
    </row>
    <row r="53" spans="2:54" s="202" customFormat="1" ht="15" customHeight="1" x14ac:dyDescent="0.25">
      <c r="B53" s="530"/>
      <c r="C53" s="542" t="s">
        <v>391</v>
      </c>
      <c r="D53" s="200" t="str">
        <f>VLOOKUP(Table2[[#This Row],[Course Title]],'TSD-Data'!$A$1:$E$83,2,FALSE)</f>
        <v>A-493-0019</v>
      </c>
      <c r="E53" s="200">
        <f>VLOOKUP(Table2[[#This Row],[Course Title]],'TSD-Data'!$A$1:$E$83,3,FALSE)</f>
        <v>3882</v>
      </c>
      <c r="F53" s="530" t="s">
        <v>61</v>
      </c>
      <c r="G53" s="549">
        <v>45960</v>
      </c>
      <c r="H53" s="549">
        <v>45961</v>
      </c>
      <c r="I53" s="531" t="s">
        <v>42</v>
      </c>
      <c r="J53" s="532">
        <v>0.33333333333333331</v>
      </c>
      <c r="K53" s="532"/>
      <c r="L53" s="531"/>
      <c r="M53" s="531"/>
      <c r="N53" s="531"/>
      <c r="O53" s="531"/>
      <c r="P53" s="531"/>
      <c r="Q53" s="535" t="s">
        <v>67</v>
      </c>
      <c r="R53" s="535" t="s">
        <v>62</v>
      </c>
      <c r="S53" s="535"/>
      <c r="T53" s="200">
        <f>VLOOKUP(Table2[[#This Row],[Course Title]],'TSD-Data'!$A$1:$E$83,4,FALSE)</f>
        <v>25</v>
      </c>
      <c r="U53" s="200">
        <f>VLOOKUP(Table2[[#This Row],[Course Title]],'TSD-Data'!$A$1:$F$83,6,FALSE)</f>
        <v>16</v>
      </c>
      <c r="V53" s="201">
        <f>VLOOKUP(Table2[[#This Row],[Course Title]],'TSD-Data'!$A$1:$F$83,5,FALSE)</f>
        <v>2</v>
      </c>
      <c r="W53" s="201">
        <v>14</v>
      </c>
      <c r="X53" s="200">
        <f>Table2[[#This Row],[Quotas]]-Table2[[#This Row],[Open Quotas]]</f>
        <v>6</v>
      </c>
      <c r="Y53" s="200">
        <v>0</v>
      </c>
      <c r="Z53" s="201">
        <v>4</v>
      </c>
      <c r="AA53" s="201">
        <v>0</v>
      </c>
      <c r="AB53" s="200">
        <v>0</v>
      </c>
      <c r="AC53" s="200">
        <v>0</v>
      </c>
      <c r="AD53" s="200">
        <v>0</v>
      </c>
      <c r="AE53" s="200" t="s">
        <v>429</v>
      </c>
      <c r="AF53" s="495">
        <f ca="1">Table2[[#This Row],[End Date]]+2-TODAY()</f>
        <v>-281</v>
      </c>
      <c r="AG53" s="496">
        <f>IF(ISBLANK(Table2[[#This Row],[Roster Received by]]),1,0)</f>
        <v>0</v>
      </c>
      <c r="AH53" s="496">
        <f ca="1">IF(Table2[[#This Row],[Start Date]]&gt;TODAY(),1,)</f>
        <v>0</v>
      </c>
      <c r="AI53" s="496">
        <f>IF(ISBLANK(Table2[[#This Row],[Primary Instructor]]),0,1)</f>
        <v>1</v>
      </c>
      <c r="AJ53" s="496">
        <f>IF(ISBLANK(Table2[[#This Row],[Instructor 2]]),0,1)</f>
        <v>1</v>
      </c>
      <c r="AK53" s="496">
        <f>Table2[[#This Row],[Course Length (Hours)]]/(Table2[[#This Row],[1 Instructor]]+Table2[[#This Row],[2 Instructors]])</f>
        <v>8</v>
      </c>
      <c r="AL53" s="318">
        <v>19</v>
      </c>
      <c r="AM53" s="496">
        <v>1</v>
      </c>
      <c r="AN53" s="496" t="str">
        <f>VLOOKUP(Table2[[#This Row],[Course Title]],'TSD-Data'!$A$1:$G$83,7,FALSE)</f>
        <v>N3</v>
      </c>
      <c r="AO53" s="500">
        <f>Table2[[#This Row],[Quotas]]-Table2[[#This Row],[Graduates]]-Table2[[#This Row],[Fail]]</f>
        <v>21</v>
      </c>
    </row>
    <row r="54" spans="2:54" s="202" customFormat="1" ht="15" customHeight="1" x14ac:dyDescent="0.25">
      <c r="B54" s="530"/>
      <c r="C54" s="530" t="s">
        <v>276</v>
      </c>
      <c r="D54" s="200" t="str">
        <f>VLOOKUP(Table2[[#This Row],[Course Title]],'TSD-Data'!$A$1:$E$83,2,FALSE)</f>
        <v>A-493-0103</v>
      </c>
      <c r="E54" s="200" t="str">
        <f>VLOOKUP(Table2[[#This Row],[Course Title]],'TSD-Data'!$A$1:$E$83,3,FALSE)</f>
        <v>12JY</v>
      </c>
      <c r="F54" s="550" t="s">
        <v>121</v>
      </c>
      <c r="G54" s="548">
        <v>45964</v>
      </c>
      <c r="H54" s="548">
        <v>45968</v>
      </c>
      <c r="I54" s="531" t="s">
        <v>42</v>
      </c>
      <c r="J54" s="532">
        <v>0.33333333333333331</v>
      </c>
      <c r="K54" s="532"/>
      <c r="L54" s="551"/>
      <c r="M54" s="531"/>
      <c r="N54" s="531"/>
      <c r="O54" s="531"/>
      <c r="P54" s="531"/>
      <c r="Q54" s="535" t="s">
        <v>280</v>
      </c>
      <c r="R54" s="535"/>
      <c r="S54" s="535"/>
      <c r="T54" s="200">
        <f>VLOOKUP(Table2[[#This Row],[Course Title]],'TSD-Data'!$A$1:$E$83,4,FALSE)</f>
        <v>25</v>
      </c>
      <c r="U54" s="200">
        <f>VLOOKUP(Table2[[#This Row],[Course Title]],'TSD-Data'!$A$1:$F$83,6,FALSE)</f>
        <v>40</v>
      </c>
      <c r="V54" s="201">
        <f>VLOOKUP(Table2[[#This Row],[Course Title]],'TSD-Data'!$A$1:$F$83,5,FALSE)</f>
        <v>5</v>
      </c>
      <c r="W54" s="201">
        <v>225</v>
      </c>
      <c r="X54" s="200">
        <f>Table2[[#This Row],[Quotas]]-Table2[[#This Row],[Open Quotas]]</f>
        <v>21</v>
      </c>
      <c r="Y54" s="200">
        <v>0</v>
      </c>
      <c r="Z54" s="201">
        <v>7</v>
      </c>
      <c r="AA54" s="201">
        <v>0</v>
      </c>
      <c r="AB54" s="200">
        <v>0</v>
      </c>
      <c r="AC54" s="200">
        <v>1</v>
      </c>
      <c r="AD54" s="200">
        <v>0</v>
      </c>
      <c r="AE54" s="200" t="s">
        <v>431</v>
      </c>
      <c r="AF54" s="495">
        <f ca="1">Table2[[#This Row],[End Date]]+2-TODAY()</f>
        <v>-274</v>
      </c>
      <c r="AG54" s="496">
        <f>IF(ISBLANK(Table2[[#This Row],[Roster Received by]]),1,0)</f>
        <v>0</v>
      </c>
      <c r="AH54" s="496">
        <f ca="1">IF(Table2[[#This Row],[Start Date]]&gt;TODAY(),1,)</f>
        <v>0</v>
      </c>
      <c r="AI54" s="496">
        <f>IF(ISBLANK(Table2[[#This Row],[Primary Instructor]]),0,1)</f>
        <v>1</v>
      </c>
      <c r="AJ54" s="496">
        <f>IF(ISBLANK(Table2[[#This Row],[Instructor 2]]),0,1)</f>
        <v>0</v>
      </c>
      <c r="AK54" s="496">
        <f>Table2[[#This Row],[Course Length (Hours)]]/(Table2[[#This Row],[1 Instructor]]+Table2[[#This Row],[2 Instructors]])</f>
        <v>40</v>
      </c>
      <c r="AL54" s="318">
        <v>4</v>
      </c>
      <c r="AM54" s="496">
        <v>1</v>
      </c>
      <c r="AN54" s="496" t="str">
        <f>VLOOKUP(Table2[[#This Row],[Course Title]],'TSD-Data'!$A$1:$G$83,7,FALSE)</f>
        <v>N5</v>
      </c>
      <c r="AO54" s="500">
        <f>Table2[[#This Row],[Quotas]]-Table2[[#This Row],[Graduates]]-Table2[[#This Row],[Fail]]</f>
        <v>18</v>
      </c>
    </row>
    <row r="55" spans="2:54" s="202" customFormat="1" ht="15" customHeight="1" x14ac:dyDescent="0.25">
      <c r="B55" s="530"/>
      <c r="C55" s="530" t="s">
        <v>213</v>
      </c>
      <c r="D55" s="200" t="str">
        <f>VLOOKUP(Table2[[#This Row],[Course Title]],'TSD-Data'!$A$1:$E$83,2,FALSE)</f>
        <v>A-322-2604</v>
      </c>
      <c r="E55" s="200" t="str">
        <f>VLOOKUP(Table2[[#This Row],[Course Title]],'TSD-Data'!$A$1:$E$83,3,FALSE)</f>
        <v>10ZZ</v>
      </c>
      <c r="F55" s="530" t="s">
        <v>54</v>
      </c>
      <c r="G55" s="548">
        <v>45964</v>
      </c>
      <c r="H55" s="548">
        <v>45966</v>
      </c>
      <c r="I55" s="531" t="s">
        <v>42</v>
      </c>
      <c r="J55" s="532"/>
      <c r="K55" s="536">
        <v>0.5</v>
      </c>
      <c r="L55" s="536">
        <v>0.375</v>
      </c>
      <c r="M55" s="536">
        <v>0.83333333333333337</v>
      </c>
      <c r="N55" s="536">
        <v>0.75</v>
      </c>
      <c r="O55" s="536">
        <v>0.29166666666666669</v>
      </c>
      <c r="P55" s="536">
        <v>8.3333333333333329E-2</v>
      </c>
      <c r="Q55" s="535" t="s">
        <v>432</v>
      </c>
      <c r="R55" s="535"/>
      <c r="S55" s="535"/>
      <c r="T55" s="200">
        <f>VLOOKUP(Table2[[#This Row],[Course Title]],'TSD-Data'!$A$1:$E$83,4,FALSE)</f>
        <v>45</v>
      </c>
      <c r="U55" s="200">
        <f>VLOOKUP(Table2[[#This Row],[Course Title]],'TSD-Data'!$A$1:$F$83,6,FALSE)</f>
        <v>24</v>
      </c>
      <c r="V55" s="201">
        <f>VLOOKUP(Table2[[#This Row],[Course Title]],'TSD-Data'!$A$1:$F$83,5,FALSE)</f>
        <v>3</v>
      </c>
      <c r="W55" s="201">
        <v>621</v>
      </c>
      <c r="X55" s="200">
        <f>Table2[[#This Row],[Quotas]]-Table2[[#This Row],[Open Quotas]]</f>
        <v>43</v>
      </c>
      <c r="Y55" s="200">
        <v>0</v>
      </c>
      <c r="Z55" s="201">
        <v>33</v>
      </c>
      <c r="AA55" s="201">
        <v>0</v>
      </c>
      <c r="AB55" s="200">
        <v>0</v>
      </c>
      <c r="AC55" s="200">
        <v>1</v>
      </c>
      <c r="AD55" s="200">
        <v>0</v>
      </c>
      <c r="AE55" s="200" t="s">
        <v>431</v>
      </c>
      <c r="AF55" s="495">
        <f ca="1">Table2[[#This Row],[End Date]]+2-TODAY()</f>
        <v>-276</v>
      </c>
      <c r="AG55" s="496">
        <f>IF(ISBLANK(Table2[[#This Row],[Roster Received by]]),1,0)</f>
        <v>0</v>
      </c>
      <c r="AH55" s="496">
        <f ca="1">IF(Table2[[#This Row],[Start Date]]&gt;TODAY(),1,)</f>
        <v>0</v>
      </c>
      <c r="AI55" s="496">
        <f>IF(ISBLANK(Table2[[#This Row],[Primary Instructor]]),0,1)</f>
        <v>1</v>
      </c>
      <c r="AJ55" s="496">
        <f>IF(ISBLANK(Table2[[#This Row],[Instructor 2]]),0,1)</f>
        <v>0</v>
      </c>
      <c r="AK55" s="496">
        <f>Table2[[#This Row],[Course Length (Hours)]]/(Table2[[#This Row],[1 Instructor]]+Table2[[#This Row],[2 Instructors]])</f>
        <v>24</v>
      </c>
      <c r="AL55" s="318">
        <v>2</v>
      </c>
      <c r="AM55" s="496">
        <v>1</v>
      </c>
      <c r="AN55" s="496" t="str">
        <f>VLOOKUP(Table2[[#This Row],[Course Title]],'TSD-Data'!$A$1:$G$83,7,FALSE)</f>
        <v>N8</v>
      </c>
      <c r="AO55" s="500">
        <f>Table2[[#This Row],[Quotas]]-Table2[[#This Row],[Graduates]]-Table2[[#This Row],[Fail]]</f>
        <v>12</v>
      </c>
    </row>
    <row r="56" spans="2:54" s="202" customFormat="1" ht="30" customHeight="1" x14ac:dyDescent="0.25">
      <c r="B56" s="530"/>
      <c r="C56" s="552" t="s">
        <v>252</v>
      </c>
      <c r="D56" s="200" t="str">
        <f>VLOOKUP(Table2[[#This Row],[Course Title]],'TSD-Data'!$A$1:$E$83,2,FALSE)</f>
        <v>A-493-0335</v>
      </c>
      <c r="E56" s="200" t="str">
        <f>VLOOKUP(Table2[[#This Row],[Course Title]],'TSD-Data'!$A$1:$E$83,3,FALSE)</f>
        <v>09ND</v>
      </c>
      <c r="F56" s="530" t="s">
        <v>54</v>
      </c>
      <c r="G56" s="548">
        <v>45964</v>
      </c>
      <c r="H56" s="531">
        <v>45967</v>
      </c>
      <c r="I56" s="531" t="s">
        <v>42</v>
      </c>
      <c r="J56" s="532"/>
      <c r="K56" s="536">
        <v>0.5</v>
      </c>
      <c r="L56" s="546">
        <v>0.375</v>
      </c>
      <c r="M56" s="536">
        <v>0.83333333333333337</v>
      </c>
      <c r="N56" s="536">
        <v>0.75</v>
      </c>
      <c r="O56" s="536">
        <v>0.29166666666666669</v>
      </c>
      <c r="P56" s="536">
        <v>8.3333333333333329E-2</v>
      </c>
      <c r="Q56" s="535" t="s">
        <v>67</v>
      </c>
      <c r="R56" s="535"/>
      <c r="S56" s="535"/>
      <c r="T56" s="200">
        <f>VLOOKUP(Table2[[#This Row],[Course Title]],'TSD-Data'!$A$1:$E$83,4,FALSE)</f>
        <v>45</v>
      </c>
      <c r="U56" s="200">
        <f>VLOOKUP(Table2[[#This Row],[Course Title]],'TSD-Data'!$A$1:$F$83,6,FALSE)</f>
        <v>32</v>
      </c>
      <c r="V56" s="201">
        <f>VLOOKUP(Table2[[#This Row],[Course Title]],'TSD-Data'!$A$1:$F$83,5,FALSE)</f>
        <v>4</v>
      </c>
      <c r="W56" s="201">
        <v>537</v>
      </c>
      <c r="X56" s="200">
        <f>Table2[[#This Row],[Quotas]]-Table2[[#This Row],[Open Quotas]]</f>
        <v>28</v>
      </c>
      <c r="Y56" s="200">
        <v>0</v>
      </c>
      <c r="Z56" s="201">
        <v>19</v>
      </c>
      <c r="AA56" s="201">
        <v>0</v>
      </c>
      <c r="AB56" s="200">
        <v>0</v>
      </c>
      <c r="AC56" s="200">
        <v>0</v>
      </c>
      <c r="AD56" s="200">
        <v>0</v>
      </c>
      <c r="AE56" s="200" t="s">
        <v>429</v>
      </c>
      <c r="AF56" s="495">
        <f ca="1">Table2[[#This Row],[End Date]]+2-TODAY()</f>
        <v>-275</v>
      </c>
      <c r="AG56" s="496">
        <f>IF(ISBLANK(Table2[[#This Row],[Roster Received by]]),1,0)</f>
        <v>0</v>
      </c>
      <c r="AH56" s="496">
        <f ca="1">IF(Table2[[#This Row],[Start Date]]&gt;TODAY(),1,)</f>
        <v>0</v>
      </c>
      <c r="AI56" s="496">
        <f>IF(ISBLANK(Table2[[#This Row],[Primary Instructor]]),0,1)</f>
        <v>1</v>
      </c>
      <c r="AJ56" s="496">
        <f>IF(ISBLANK(Table2[[#This Row],[Instructor 2]]),0,1)</f>
        <v>0</v>
      </c>
      <c r="AK56" s="496">
        <f>Table2[[#This Row],[Course Length (Hours)]]/(Table2[[#This Row],[1 Instructor]]+Table2[[#This Row],[2 Instructors]])</f>
        <v>32</v>
      </c>
      <c r="AL56" s="318">
        <v>17</v>
      </c>
      <c r="AM56" s="496">
        <v>1</v>
      </c>
      <c r="AN56" s="496" t="str">
        <f>VLOOKUP(Table2[[#This Row],[Course Title]],'TSD-Data'!$A$1:$G$83,7,FALSE)</f>
        <v>N3</v>
      </c>
      <c r="AO56" s="500">
        <f>Table2[[#This Row],[Quotas]]-Table2[[#This Row],[Graduates]]-Table2[[#This Row],[Fail]]</f>
        <v>26</v>
      </c>
    </row>
    <row r="57" spans="2:54" s="202" customFormat="1" ht="15" customHeight="1" x14ac:dyDescent="0.25">
      <c r="B57" s="530"/>
      <c r="C57" s="552" t="s">
        <v>56</v>
      </c>
      <c r="D57" s="200" t="str">
        <f>VLOOKUP(Table2[[#This Row],[Course Title]],'TSD-Data'!$A$1:$E$83,2,FALSE)</f>
        <v>A-493-0550</v>
      </c>
      <c r="E57" s="200" t="str">
        <f>VLOOKUP(Table2[[#This Row],[Course Title]],'TSD-Data'!$A$1:$E$83,3,FALSE)</f>
        <v>09K5</v>
      </c>
      <c r="F57" s="530" t="s">
        <v>54</v>
      </c>
      <c r="G57" s="531">
        <v>45964</v>
      </c>
      <c r="H57" s="531">
        <v>45967</v>
      </c>
      <c r="I57" s="531" t="s">
        <v>42</v>
      </c>
      <c r="J57" s="532"/>
      <c r="K57" s="532">
        <v>0.33333333333333331</v>
      </c>
      <c r="L57" s="532">
        <v>0.20833333333333334</v>
      </c>
      <c r="M57" s="541">
        <v>1600</v>
      </c>
      <c r="N57" s="541">
        <v>1400</v>
      </c>
      <c r="O57" s="532">
        <v>0.125</v>
      </c>
      <c r="P57" s="541">
        <v>2200</v>
      </c>
      <c r="Q57" s="535" t="s">
        <v>427</v>
      </c>
      <c r="R57" s="535"/>
      <c r="S57" s="535"/>
      <c r="T57" s="200">
        <f>VLOOKUP(Table2[[#This Row],[Course Title]],'TSD-Data'!$A$1:$E$83,4,FALSE)</f>
        <v>45</v>
      </c>
      <c r="U57" s="200">
        <f>VLOOKUP(Table2[[#This Row],[Course Title]],'TSD-Data'!$A$1:$F$83,6,FALSE)</f>
        <v>32</v>
      </c>
      <c r="V57" s="201">
        <f>VLOOKUP(Table2[[#This Row],[Course Title]],'TSD-Data'!$A$1:$F$83,5,FALSE)</f>
        <v>4</v>
      </c>
      <c r="W57" s="201">
        <v>455</v>
      </c>
      <c r="X57" s="200">
        <f>Table2[[#This Row],[Quotas]]-Table2[[#This Row],[Open Quotas]]</f>
        <v>40</v>
      </c>
      <c r="Y57" s="200">
        <v>2</v>
      </c>
      <c r="Z57" s="201">
        <v>32</v>
      </c>
      <c r="AA57" s="201">
        <v>1</v>
      </c>
      <c r="AB57" s="200">
        <v>0</v>
      </c>
      <c r="AC57" s="200">
        <v>1</v>
      </c>
      <c r="AD57" s="200">
        <v>0</v>
      </c>
      <c r="AE57" s="200" t="s">
        <v>431</v>
      </c>
      <c r="AF57" s="495">
        <f ca="1">Table2[[#This Row],[End Date]]+2-TODAY()</f>
        <v>-275</v>
      </c>
      <c r="AG57" s="496">
        <f>IF(ISBLANK(Table2[[#This Row],[Roster Received by]]),1,0)</f>
        <v>0</v>
      </c>
      <c r="AH57" s="496">
        <f ca="1">IF(Table2[[#This Row],[Start Date]]&gt;TODAY(),1,)</f>
        <v>0</v>
      </c>
      <c r="AI57" s="496">
        <f>IF(ISBLANK(Table2[[#This Row],[Primary Instructor]]),0,1)</f>
        <v>1</v>
      </c>
      <c r="AJ57" s="496">
        <f>IF(ISBLANK(Table2[[#This Row],[Instructor 2]]),0,1)</f>
        <v>0</v>
      </c>
      <c r="AK57" s="496">
        <f>Table2[[#This Row],[Course Length (Hours)]]/(Table2[[#This Row],[1 Instructor]]+Table2[[#This Row],[2 Instructors]])</f>
        <v>32</v>
      </c>
      <c r="AL57" s="318">
        <v>5</v>
      </c>
      <c r="AM57" s="496">
        <v>1</v>
      </c>
      <c r="AN57" s="496" t="str">
        <f>VLOOKUP(Table2[[#This Row],[Course Title]],'TSD-Data'!$A$1:$G$83,7,FALSE)</f>
        <v>N5</v>
      </c>
      <c r="AO57" s="500">
        <f>Table2[[#This Row],[Quotas]]-Table2[[#This Row],[Graduates]]-Table2[[#This Row],[Fail]]</f>
        <v>12</v>
      </c>
    </row>
    <row r="58" spans="2:54" s="202" customFormat="1" ht="15" customHeight="1" x14ac:dyDescent="0.25">
      <c r="B58" s="530"/>
      <c r="C58" s="552" t="s">
        <v>53</v>
      </c>
      <c r="D58" s="200" t="str">
        <f>VLOOKUP(Table2[[#This Row],[Course Title]],'TSD-Data'!$A$1:$E$83,2,FALSE)</f>
        <v>A-493-0078</v>
      </c>
      <c r="E58" s="200">
        <f>VLOOKUP(Table2[[#This Row],[Course Title]],'TSD-Data'!$A$1:$E$83,3,FALSE)</f>
        <v>1228</v>
      </c>
      <c r="F58" s="530" t="s">
        <v>54</v>
      </c>
      <c r="G58" s="531">
        <v>45964</v>
      </c>
      <c r="H58" s="531">
        <v>45968</v>
      </c>
      <c r="I58" s="531" t="s">
        <v>42</v>
      </c>
      <c r="J58" s="532"/>
      <c r="K58" s="536">
        <v>0.5</v>
      </c>
      <c r="L58" s="536">
        <v>0.375</v>
      </c>
      <c r="M58" s="536">
        <v>0.83333333333333337</v>
      </c>
      <c r="N58" s="536">
        <v>0.75</v>
      </c>
      <c r="O58" s="536">
        <v>0.29166666666666669</v>
      </c>
      <c r="P58" s="536">
        <v>8.3333333333333329E-2</v>
      </c>
      <c r="Q58" s="535" t="s">
        <v>55</v>
      </c>
      <c r="R58" s="535"/>
      <c r="S58" s="535"/>
      <c r="T58" s="200">
        <f>VLOOKUP(Table2[[#This Row],[Course Title]],'TSD-Data'!$A$1:$E$83,4,FALSE)</f>
        <v>45</v>
      </c>
      <c r="U58" s="200">
        <f>VLOOKUP(Table2[[#This Row],[Course Title]],'TSD-Data'!$A$1:$F$83,6,FALSE)</f>
        <v>32</v>
      </c>
      <c r="V58" s="201">
        <f>VLOOKUP(Table2[[#This Row],[Course Title]],'TSD-Data'!$A$1:$F$83,5,FALSE)</f>
        <v>4</v>
      </c>
      <c r="W58" s="201">
        <v>568</v>
      </c>
      <c r="X58" s="200">
        <f>Table2[[#This Row],[Quotas]]-Table2[[#This Row],[Open Quotas]]</f>
        <v>39</v>
      </c>
      <c r="Y58" s="200">
        <v>0</v>
      </c>
      <c r="Z58" s="201">
        <v>34</v>
      </c>
      <c r="AA58" s="201">
        <v>2</v>
      </c>
      <c r="AB58" s="200">
        <v>0</v>
      </c>
      <c r="AC58" s="200">
        <v>0</v>
      </c>
      <c r="AD58" s="200">
        <v>0</v>
      </c>
      <c r="AE58" s="200" t="s">
        <v>431</v>
      </c>
      <c r="AF58" s="495">
        <f ca="1">Table2[[#This Row],[End Date]]+2-TODAY()</f>
        <v>-274</v>
      </c>
      <c r="AG58" s="496">
        <f>IF(ISBLANK(Table2[[#This Row],[Roster Received by]]),1,0)</f>
        <v>0</v>
      </c>
      <c r="AH58" s="496">
        <f ca="1">IF(Table2[[#This Row],[Start Date]]&gt;TODAY(),1,)</f>
        <v>0</v>
      </c>
      <c r="AI58" s="496">
        <f>IF(ISBLANK(Table2[[#This Row],[Primary Instructor]]),0,1)</f>
        <v>1</v>
      </c>
      <c r="AJ58" s="496">
        <f>IF(ISBLANK(Table2[[#This Row],[Instructor 2]]),0,1)</f>
        <v>0</v>
      </c>
      <c r="AK58" s="496">
        <f>Table2[[#This Row],[Course Length (Hours)]]/(Table2[[#This Row],[1 Instructor]]+Table2[[#This Row],[2 Instructors]])</f>
        <v>32</v>
      </c>
      <c r="AL58" s="318">
        <v>6</v>
      </c>
      <c r="AM58" s="496">
        <v>1</v>
      </c>
      <c r="AN58" s="496" t="str">
        <f>VLOOKUP(Table2[[#This Row],[Course Title]],'TSD-Data'!$A$1:$G$83,7,FALSE)</f>
        <v>N5</v>
      </c>
      <c r="AO58" s="500">
        <f>Table2[[#This Row],[Quotas]]-Table2[[#This Row],[Graduates]]-Table2[[#This Row],[Fail]]</f>
        <v>9</v>
      </c>
    </row>
    <row r="59" spans="2:54" s="202" customFormat="1" x14ac:dyDescent="0.25">
      <c r="B59" s="530"/>
      <c r="C59" s="552" t="s">
        <v>401</v>
      </c>
      <c r="D59" s="200" t="str">
        <f>VLOOKUP(Table2[[#This Row],[Course Title]],'TSD-Data'!$A$1:$E$83,2,FALSE)</f>
        <v>A-493-3002</v>
      </c>
      <c r="E59" s="200" t="str">
        <f>VLOOKUP(Table2[[#This Row],[Course Title]],'TSD-Data'!$A$1:$E$83,3,FALSE)</f>
        <v>31V4</v>
      </c>
      <c r="F59" s="530" t="s">
        <v>54</v>
      </c>
      <c r="G59" s="531">
        <v>45964</v>
      </c>
      <c r="H59" s="531">
        <v>45964</v>
      </c>
      <c r="I59" s="531" t="s">
        <v>42</v>
      </c>
      <c r="J59" s="532"/>
      <c r="K59" s="532">
        <v>0.45833333333333331</v>
      </c>
      <c r="L59" s="532">
        <v>0.33333333333333331</v>
      </c>
      <c r="M59" s="532">
        <v>0.79166666666666663</v>
      </c>
      <c r="N59" s="532">
        <v>0.70833333333333337</v>
      </c>
      <c r="O59" s="532">
        <v>0.25</v>
      </c>
      <c r="P59" s="532">
        <v>4.1666666666666664E-2</v>
      </c>
      <c r="Q59" s="535" t="s">
        <v>441</v>
      </c>
      <c r="R59" s="535"/>
      <c r="S59" s="535"/>
      <c r="T59" s="200">
        <f>VLOOKUP(Table2[[#This Row],[Course Title]],'TSD-Data'!$A$1:$E$83,4,FALSE)</f>
        <v>1000</v>
      </c>
      <c r="U59" s="200">
        <f>VLOOKUP(Table2[[#This Row],[Course Title]],'TSD-Data'!$A$1:$F$83,6,FALSE)</f>
        <v>8</v>
      </c>
      <c r="V59" s="201">
        <f>VLOOKUP(Table2[[#This Row],[Course Title]],'TSD-Data'!$A$1:$F$83,5,FALSE)</f>
        <v>1</v>
      </c>
      <c r="W59" s="201">
        <v>0</v>
      </c>
      <c r="X59" s="200">
        <f>Table2[[#This Row],[Quotas]]-Table2[[#This Row],[Open Quotas]]</f>
        <v>13</v>
      </c>
      <c r="Y59" s="200">
        <v>0</v>
      </c>
      <c r="Z59" s="201">
        <v>51</v>
      </c>
      <c r="AA59" s="201">
        <v>0</v>
      </c>
      <c r="AB59" s="200">
        <v>0</v>
      </c>
      <c r="AC59" s="200">
        <v>0</v>
      </c>
      <c r="AD59" s="200">
        <v>0</v>
      </c>
      <c r="AE59" s="200" t="s">
        <v>442</v>
      </c>
      <c r="AF59" s="495">
        <f ca="1">Table2[[#This Row],[End Date]]+2-TODAY()</f>
        <v>-278</v>
      </c>
      <c r="AG59" s="496">
        <f>IF(ISBLANK(Table2[[#This Row],[Roster Received by]]),1,0)</f>
        <v>0</v>
      </c>
      <c r="AH59" s="496">
        <f ca="1">IF(Table2[[#This Row],[Start Date]]&gt;TODAY(),1,)</f>
        <v>0</v>
      </c>
      <c r="AI59" s="496">
        <f>IF(ISBLANK(Table2[[#This Row],[Primary Instructor]]),0,1)</f>
        <v>1</v>
      </c>
      <c r="AJ59" s="496">
        <f>IF(ISBLANK(Table2[[#This Row],[Instructor 2]]),0,1)</f>
        <v>0</v>
      </c>
      <c r="AK59" s="496">
        <f>AJ328</f>
        <v>0</v>
      </c>
      <c r="AL59" s="318">
        <v>987</v>
      </c>
      <c r="AM59" s="496">
        <v>1</v>
      </c>
      <c r="AN59" s="496" t="str">
        <f>VLOOKUP(Table2[[#This Row],[Course Title]],'TSD-Data'!$A$1:$G$83,7,FALSE)</f>
        <v>N8-RMI</v>
      </c>
      <c r="AO59" s="500">
        <f>Table2[[#This Row],[Quotas]]-Table2[[#This Row],[Graduates]]-Table2[[#This Row],[Fail]]</f>
        <v>949</v>
      </c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</row>
    <row r="60" spans="2:54" ht="15" customHeight="1" x14ac:dyDescent="0.25">
      <c r="B60" s="530"/>
      <c r="C60" s="552" t="s">
        <v>407</v>
      </c>
      <c r="D60" s="200" t="str">
        <f>VLOOKUP(Table2[[#This Row],[Course Title]],'TSD-Data'!$A$1:$E$83,2,FALSE)</f>
        <v>A-493-3003</v>
      </c>
      <c r="E60" s="200" t="str">
        <f>VLOOKUP(Table2[[#This Row],[Course Title]],'TSD-Data'!$A$1:$E$83,3,FALSE)</f>
        <v>31V5</v>
      </c>
      <c r="F60" s="530" t="s">
        <v>54</v>
      </c>
      <c r="G60" s="531">
        <v>45964</v>
      </c>
      <c r="H60" s="531">
        <v>45964</v>
      </c>
      <c r="I60" s="531" t="s">
        <v>42</v>
      </c>
      <c r="J60" s="532"/>
      <c r="K60" s="536">
        <v>0.625</v>
      </c>
      <c r="L60" s="553">
        <v>0.5</v>
      </c>
      <c r="M60" s="532">
        <v>0.95833333333333337</v>
      </c>
      <c r="N60" s="532">
        <v>0.875</v>
      </c>
      <c r="O60" s="532">
        <v>4.1666666666666664E-2</v>
      </c>
      <c r="P60" s="532">
        <v>0.20833333333333334</v>
      </c>
      <c r="Q60" s="535" t="s">
        <v>441</v>
      </c>
      <c r="R60" s="535"/>
      <c r="S60" s="535"/>
      <c r="T60" s="200">
        <f>VLOOKUP(Table2[[#This Row],[Course Title]],'TSD-Data'!$A$1:$E$83,4,FALSE)</f>
        <v>1000</v>
      </c>
      <c r="U60" s="200">
        <f>VLOOKUP(Table2[[#This Row],[Course Title]],'TSD-Data'!$A$1:$F$83,6,FALSE)</f>
        <v>2</v>
      </c>
      <c r="V60" s="201">
        <f>VLOOKUP(Table2[[#This Row],[Course Title]],'TSD-Data'!$A$1:$F$83,5,FALSE)</f>
        <v>0.25</v>
      </c>
      <c r="W60" s="201"/>
      <c r="X60" s="200">
        <f>Table2[[#This Row],[Quotas]]-Table2[[#This Row],[Open Quotas]]</f>
        <v>5</v>
      </c>
      <c r="Y60" s="200">
        <v>0</v>
      </c>
      <c r="Z60" s="201">
        <v>28</v>
      </c>
      <c r="AA60" s="201">
        <v>0</v>
      </c>
      <c r="AB60" s="200">
        <v>0</v>
      </c>
      <c r="AC60" s="200">
        <v>0</v>
      </c>
      <c r="AD60" s="200">
        <v>0</v>
      </c>
      <c r="AE60" s="200" t="s">
        <v>442</v>
      </c>
      <c r="AF60" s="495">
        <f ca="1">Table2[[#This Row],[End Date]]+2-TODAY()</f>
        <v>-278</v>
      </c>
      <c r="AG60" s="496">
        <f>IF(ISBLANK(Table2[[#This Row],[Roster Received by]]),1,0)</f>
        <v>0</v>
      </c>
      <c r="AH60" s="496">
        <f ca="1">IF(Table2[[#This Row],[Start Date]]&gt;TODAY(),1,)</f>
        <v>0</v>
      </c>
      <c r="AI60" s="496">
        <f>IF(ISBLANK(Table2[[#This Row],[Primary Instructor]]),0,1)</f>
        <v>1</v>
      </c>
      <c r="AJ60" s="496">
        <f>IF(ISBLANK(Table2[[#This Row],[Instructor 2]]),0,1)</f>
        <v>0</v>
      </c>
      <c r="AK60" s="496">
        <f>AJ329</f>
        <v>0</v>
      </c>
      <c r="AL60" s="318">
        <v>995</v>
      </c>
      <c r="AM60" s="496">
        <v>1</v>
      </c>
      <c r="AN60" s="496" t="str">
        <f>VLOOKUP(Table2[[#This Row],[Course Title]],'TSD-Data'!$A$1:$G$83,7,FALSE)</f>
        <v>N8-RMI</v>
      </c>
      <c r="AO60" s="500">
        <f>Table2[[#This Row],[Quotas]]-Table2[[#This Row],[Graduates]]-Table2[[#This Row],[Fail]]</f>
        <v>972</v>
      </c>
    </row>
    <row r="61" spans="2:54" s="202" customFormat="1" ht="15" customHeight="1" x14ac:dyDescent="0.25">
      <c r="B61" s="530"/>
      <c r="C61" s="552" t="s">
        <v>410</v>
      </c>
      <c r="D61" s="200" t="str">
        <f>VLOOKUP(Table2[[#This Row],[Course Title]],'TSD-Data'!$A$1:$E$83,2,FALSE)</f>
        <v>A-493-3006</v>
      </c>
      <c r="E61" s="200" t="str">
        <f>VLOOKUP(Table2[[#This Row],[Course Title]],'TSD-Data'!$A$1:$E$83,3,FALSE)</f>
        <v>31V8</v>
      </c>
      <c r="F61" s="530" t="s">
        <v>54</v>
      </c>
      <c r="G61" s="531">
        <v>45964</v>
      </c>
      <c r="H61" s="531">
        <v>45964</v>
      </c>
      <c r="I61" s="531" t="s">
        <v>42</v>
      </c>
      <c r="J61" s="532"/>
      <c r="K61" s="532">
        <v>0.75</v>
      </c>
      <c r="L61" s="532">
        <v>0.625</v>
      </c>
      <c r="M61" s="532">
        <v>8.3333333333333329E-2</v>
      </c>
      <c r="N61" s="532">
        <v>0</v>
      </c>
      <c r="O61" s="532">
        <v>0.54166666666666663</v>
      </c>
      <c r="P61" s="532">
        <v>0.33333333333333331</v>
      </c>
      <c r="Q61" s="535" t="s">
        <v>441</v>
      </c>
      <c r="R61" s="535"/>
      <c r="S61" s="535"/>
      <c r="T61" s="200">
        <f>VLOOKUP(Table2[[#This Row],[Course Title]],'TSD-Data'!$A$1:$E$83,4,FALSE)</f>
        <v>1000</v>
      </c>
      <c r="U61" s="200">
        <f>VLOOKUP(Table2[[#This Row],[Course Title]],'TSD-Data'!$A$1:$F$83,6,FALSE)</f>
        <v>2</v>
      </c>
      <c r="V61" s="201">
        <f>VLOOKUP(Table2[[#This Row],[Course Title]],'TSD-Data'!$A$1:$F$83,5,FALSE)</f>
        <v>0.1</v>
      </c>
      <c r="W61" s="201"/>
      <c r="X61" s="200">
        <f>Table2[[#This Row],[Quotas]]-Table2[[#This Row],[Open Quotas]]</f>
        <v>1</v>
      </c>
      <c r="Y61" s="200">
        <v>0</v>
      </c>
      <c r="Z61" s="201">
        <v>28</v>
      </c>
      <c r="AA61" s="201">
        <v>0</v>
      </c>
      <c r="AB61" s="200">
        <v>0</v>
      </c>
      <c r="AC61" s="200">
        <v>0</v>
      </c>
      <c r="AD61" s="200">
        <v>0</v>
      </c>
      <c r="AE61" s="200" t="s">
        <v>442</v>
      </c>
      <c r="AF61" s="495">
        <f ca="1">Table2[[#This Row],[End Date]]+2-TODAY()</f>
        <v>-278</v>
      </c>
      <c r="AG61" s="496">
        <f>IF(ISBLANK(Table2[[#This Row],[Roster Received by]]),1,0)</f>
        <v>0</v>
      </c>
      <c r="AH61" s="496">
        <f ca="1">IF(Table2[[#This Row],[Start Date]]&gt;TODAY(),1,)</f>
        <v>0</v>
      </c>
      <c r="AI61" s="496">
        <f>IF(ISBLANK(Table2[[#This Row],[Primary Instructor]]),0,1)</f>
        <v>1</v>
      </c>
      <c r="AJ61" s="496">
        <f>IF(ISBLANK(Table2[[#This Row],[Instructor 2]]),0,1)</f>
        <v>0</v>
      </c>
      <c r="AK61" s="496">
        <f>AJ330</f>
        <v>0</v>
      </c>
      <c r="AL61" s="318">
        <v>999</v>
      </c>
      <c r="AM61" s="496">
        <v>1</v>
      </c>
      <c r="AN61" s="496" t="str">
        <f>VLOOKUP(Table2[[#This Row],[Course Title]],'TSD-Data'!$A$1:$G$83,7,FALSE)</f>
        <v>N8-RMI</v>
      </c>
      <c r="AO61" s="500">
        <f>Table2[[#This Row],[Quotas]]-Table2[[#This Row],[Graduates]]-Table2[[#This Row],[Fail]]</f>
        <v>972</v>
      </c>
    </row>
    <row r="62" spans="2:54" ht="15" customHeight="1" x14ac:dyDescent="0.25">
      <c r="B62" s="530"/>
      <c r="C62" s="552" t="s">
        <v>413</v>
      </c>
      <c r="D62" s="200" t="str">
        <f>VLOOKUP(Table2[[#This Row],[Course Title]],'TSD-Data'!$A$1:$E$83,2,FALSE)</f>
        <v>A-493-3007</v>
      </c>
      <c r="E62" s="200" t="str">
        <f>VLOOKUP(Table2[[#This Row],[Course Title]],'TSD-Data'!$A$1:$E$83,3,FALSE)</f>
        <v>31V9</v>
      </c>
      <c r="F62" s="530" t="s">
        <v>54</v>
      </c>
      <c r="G62" s="531">
        <v>45964</v>
      </c>
      <c r="H62" s="531">
        <v>45964</v>
      </c>
      <c r="I62" s="531" t="s">
        <v>42</v>
      </c>
      <c r="J62" s="532"/>
      <c r="K62" s="532">
        <v>0.79166666666666663</v>
      </c>
      <c r="L62" s="532">
        <v>0.66666666666666663</v>
      </c>
      <c r="M62" s="532">
        <v>0.125</v>
      </c>
      <c r="N62" s="532">
        <v>4.1666666666666664E-2</v>
      </c>
      <c r="O62" s="532">
        <v>0.625</v>
      </c>
      <c r="P62" s="532">
        <v>0.375</v>
      </c>
      <c r="Q62" s="535" t="s">
        <v>441</v>
      </c>
      <c r="R62" s="535"/>
      <c r="S62" s="535"/>
      <c r="T62" s="200">
        <f>VLOOKUP(Table2[[#This Row],[Course Title]],'TSD-Data'!$A$1:$E$83,4,FALSE)</f>
        <v>1000</v>
      </c>
      <c r="U62" s="200">
        <f>VLOOKUP(Table2[[#This Row],[Course Title]],'TSD-Data'!$A$1:$F$83,6,FALSE)</f>
        <v>2.5</v>
      </c>
      <c r="V62" s="201">
        <f>VLOOKUP(Table2[[#This Row],[Course Title]],'TSD-Data'!$A$1:$F$83,5,FALSE)</f>
        <v>0.3</v>
      </c>
      <c r="W62" s="201"/>
      <c r="X62" s="200">
        <f>Table2[[#This Row],[Quotas]]-Table2[[#This Row],[Open Quotas]]</f>
        <v>1</v>
      </c>
      <c r="Y62" s="200">
        <v>0</v>
      </c>
      <c r="Z62" s="201">
        <v>25</v>
      </c>
      <c r="AA62" s="201">
        <v>0</v>
      </c>
      <c r="AB62" s="200">
        <v>0</v>
      </c>
      <c r="AC62" s="200">
        <v>0</v>
      </c>
      <c r="AD62" s="200">
        <v>0</v>
      </c>
      <c r="AE62" s="200" t="s">
        <v>442</v>
      </c>
      <c r="AF62" s="495">
        <f ca="1">Table2[[#This Row],[End Date]]+2-TODAY()</f>
        <v>-278</v>
      </c>
      <c r="AG62" s="496">
        <f>IF(ISBLANK(Table2[[#This Row],[Roster Received by]]),1,0)</f>
        <v>0</v>
      </c>
      <c r="AH62" s="496">
        <f ca="1">IF(Table2[[#This Row],[Start Date]]&gt;TODAY(),1,)</f>
        <v>0</v>
      </c>
      <c r="AI62" s="496">
        <f>IF(ISBLANK(Table2[[#This Row],[Primary Instructor]]),0,1)</f>
        <v>1</v>
      </c>
      <c r="AJ62" s="496">
        <f>IF(ISBLANK(Table2[[#This Row],[Instructor 2]]),0,1)</f>
        <v>0</v>
      </c>
      <c r="AK62" s="496">
        <f>AJ331</f>
        <v>0</v>
      </c>
      <c r="AL62" s="318">
        <v>999</v>
      </c>
      <c r="AM62" s="496">
        <v>1</v>
      </c>
      <c r="AN62" s="496" t="str">
        <f>VLOOKUP(Table2[[#This Row],[Course Title]],'TSD-Data'!$A$1:$G$83,7,FALSE)</f>
        <v>N8-RMI</v>
      </c>
      <c r="AO62" s="500">
        <f>Table2[[#This Row],[Quotas]]-Table2[[#This Row],[Graduates]]-Table2[[#This Row],[Fail]]</f>
        <v>975</v>
      </c>
    </row>
    <row r="63" spans="2:54" s="202" customFormat="1" ht="30" customHeight="1" x14ac:dyDescent="0.25">
      <c r="B63" s="530"/>
      <c r="C63" s="552" t="s">
        <v>236</v>
      </c>
      <c r="D63" s="200" t="str">
        <f>VLOOKUP(Table2[[#This Row],[Course Title]],'TSD-Data'!$A$1:$E$83,2,FALSE)</f>
        <v>A-493-2098</v>
      </c>
      <c r="E63" s="200" t="str">
        <f>VLOOKUP(Table2[[#This Row],[Course Title]],'TSD-Data'!$A$1:$E$83,3,FALSE)</f>
        <v>09WW</v>
      </c>
      <c r="F63" s="530" t="s">
        <v>54</v>
      </c>
      <c r="G63" s="531">
        <v>45964</v>
      </c>
      <c r="H63" s="531">
        <v>45966</v>
      </c>
      <c r="I63" s="531" t="s">
        <v>42</v>
      </c>
      <c r="J63" s="532"/>
      <c r="K63" s="532">
        <v>0.79166666666666663</v>
      </c>
      <c r="L63" s="536">
        <v>0.66666666666666663</v>
      </c>
      <c r="M63" s="536">
        <v>0.125</v>
      </c>
      <c r="N63" s="536">
        <v>4.1666666666666664E-2</v>
      </c>
      <c r="O63" s="536">
        <v>0.58333333333333337</v>
      </c>
      <c r="P63" s="536">
        <v>0.375</v>
      </c>
      <c r="Q63" s="535" t="s">
        <v>433</v>
      </c>
      <c r="R63" s="535"/>
      <c r="S63" s="535"/>
      <c r="T63" s="200">
        <f>VLOOKUP(Table2[[#This Row],[Course Title]],'TSD-Data'!$A$1:$E$83,4,FALSE)</f>
        <v>100</v>
      </c>
      <c r="U63" s="200">
        <f>VLOOKUP(Table2[[#This Row],[Course Title]],'TSD-Data'!$A$1:$F$83,6,FALSE)</f>
        <v>16</v>
      </c>
      <c r="V63" s="201">
        <f>VLOOKUP(Table2[[#This Row],[Course Title]],'TSD-Data'!$A$1:$F$83,5,FALSE)</f>
        <v>3</v>
      </c>
      <c r="W63" s="201">
        <v>1882</v>
      </c>
      <c r="X63" s="200">
        <f>Table2[[#This Row],[Quotas]]-Table2[[#This Row],[Open Quotas]]</f>
        <v>100</v>
      </c>
      <c r="Y63" s="200">
        <v>5</v>
      </c>
      <c r="Z63" s="201">
        <v>74</v>
      </c>
      <c r="AA63" s="201">
        <v>2</v>
      </c>
      <c r="AB63" s="200">
        <v>0</v>
      </c>
      <c r="AC63" s="200">
        <v>0</v>
      </c>
      <c r="AD63" s="200">
        <v>0</v>
      </c>
      <c r="AE63" s="200" t="s">
        <v>428</v>
      </c>
      <c r="AF63" s="495">
        <f ca="1">Table2[[#This Row],[End Date]]+2-TODAY()</f>
        <v>-276</v>
      </c>
      <c r="AG63" s="496">
        <f>IF(ISBLANK(Table2[[#This Row],[Roster Received by]]),1,0)</f>
        <v>0</v>
      </c>
      <c r="AH63" s="496">
        <f ca="1">IF(Table2[[#This Row],[Start Date]]&gt;TODAY(),1,)</f>
        <v>0</v>
      </c>
      <c r="AI63" s="496">
        <f>IF(ISBLANK(Table2[[#This Row],[Primary Instructor]]),0,1)</f>
        <v>1</v>
      </c>
      <c r="AJ63" s="496">
        <f>IF(ISBLANK(Table2[[#This Row],[Instructor 2]]),0,1)</f>
        <v>0</v>
      </c>
      <c r="AK63" s="496">
        <f>Table2[[#This Row],[Course Length (Hours)]]/(Table2[[#This Row],[1 Instructor]]+Table2[[#This Row],[2 Instructors]])</f>
        <v>16</v>
      </c>
      <c r="AL63" s="318">
        <v>0</v>
      </c>
      <c r="AM63" s="496">
        <v>1</v>
      </c>
      <c r="AN63" s="496" t="str">
        <f>VLOOKUP(Table2[[#This Row],[Course Title]],'TSD-Data'!$A$1:$G$83,7,FALSE)</f>
        <v>N8</v>
      </c>
      <c r="AO63" s="500">
        <f>Table2[[#This Row],[Quotas]]-Table2[[#This Row],[Graduates]]-Table2[[#This Row],[Fail]]</f>
        <v>24</v>
      </c>
    </row>
    <row r="64" spans="2:54" s="202" customFormat="1" ht="15" customHeight="1" x14ac:dyDescent="0.25">
      <c r="B64" s="530"/>
      <c r="C64" s="552" t="s">
        <v>239</v>
      </c>
      <c r="D64" s="200" t="str">
        <f>VLOOKUP(Table2[[#This Row],[Course Title]],'TSD-Data'!$A$1:$E$83,2,FALSE)</f>
        <v>F-4J-0023</v>
      </c>
      <c r="E64" s="200" t="str">
        <f>VLOOKUP(Table2[[#This Row],[Course Title]],'TSD-Data'!$A$1:$E$83,3,FALSE)</f>
        <v>11A2</v>
      </c>
      <c r="F64" s="530" t="s">
        <v>54</v>
      </c>
      <c r="G64" s="531">
        <v>45964</v>
      </c>
      <c r="H64" s="531">
        <v>45965</v>
      </c>
      <c r="I64" s="531" t="s">
        <v>42</v>
      </c>
      <c r="J64" s="532"/>
      <c r="K64" s="532">
        <v>0.33333333333333331</v>
      </c>
      <c r="L64" s="532">
        <v>0.20833333333333334</v>
      </c>
      <c r="M64" s="541">
        <v>1600</v>
      </c>
      <c r="N64" s="541">
        <v>1400</v>
      </c>
      <c r="O64" s="532">
        <v>0.125</v>
      </c>
      <c r="P64" s="541">
        <v>2200</v>
      </c>
      <c r="Q64" s="535" t="s">
        <v>433</v>
      </c>
      <c r="R64" s="535"/>
      <c r="S64" s="535"/>
      <c r="T64" s="200">
        <f>VLOOKUP(Table2[[#This Row],[Course Title]],'TSD-Data'!$A$1:$E$83,4,FALSE)</f>
        <v>45</v>
      </c>
      <c r="U64" s="200">
        <f>VLOOKUP(Table2[[#This Row],[Course Title]],'TSD-Data'!$A$1:$F$83,6,FALSE)</f>
        <v>16</v>
      </c>
      <c r="V64" s="201">
        <f>VLOOKUP(Table2[[#This Row],[Course Title]],'TSD-Data'!$A$1:$F$83,5,FALSE)</f>
        <v>2</v>
      </c>
      <c r="W64" s="201">
        <v>28</v>
      </c>
      <c r="X64" s="200">
        <f>Table2[[#This Row],[Quotas]]-Table2[[#This Row],[Open Quotas]]</f>
        <v>21</v>
      </c>
      <c r="Y64" s="200">
        <v>0</v>
      </c>
      <c r="Z64" s="201">
        <v>19</v>
      </c>
      <c r="AA64" s="201">
        <v>1</v>
      </c>
      <c r="AB64" s="200">
        <v>0</v>
      </c>
      <c r="AC64" s="200">
        <v>0</v>
      </c>
      <c r="AD64" s="200">
        <v>0</v>
      </c>
      <c r="AE64" s="200" t="s">
        <v>429</v>
      </c>
      <c r="AF64" s="495">
        <f ca="1">Table2[[#This Row],[End Date]]+2-TODAY()</f>
        <v>-277</v>
      </c>
      <c r="AG64" s="496">
        <f>IF(ISBLANK(Table2[[#This Row],[Roster Received by]]),1,0)</f>
        <v>0</v>
      </c>
      <c r="AH64" s="496">
        <f ca="1">IF(Table2[[#This Row],[Start Date]]&gt;TODAY(),1,)</f>
        <v>0</v>
      </c>
      <c r="AI64" s="496">
        <f>IF(ISBLANK(Table2[[#This Row],[Primary Instructor]]),0,1)</f>
        <v>1</v>
      </c>
      <c r="AJ64" s="496">
        <f>IF(ISBLANK(Table2[[#This Row],[Instructor 2]]),0,1)</f>
        <v>0</v>
      </c>
      <c r="AK64" s="496">
        <f>Table2[[#This Row],[Course Length (Hours)]]/(Table2[[#This Row],[1 Instructor]]+Table2[[#This Row],[2 Instructors]])</f>
        <v>16</v>
      </c>
      <c r="AL64" s="318">
        <v>24</v>
      </c>
      <c r="AM64" s="496">
        <v>1</v>
      </c>
      <c r="AN64" s="496" t="str">
        <f>VLOOKUP(Table2[[#This Row],[Course Title]],'TSD-Data'!$A$1:$G$83,7,FALSE)</f>
        <v>N8</v>
      </c>
      <c r="AO64" s="500">
        <f>Table2[[#This Row],[Quotas]]-Table2[[#This Row],[Graduates]]-Table2[[#This Row],[Fail]]</f>
        <v>25</v>
      </c>
    </row>
    <row r="65" spans="2:41" ht="15" customHeight="1" x14ac:dyDescent="0.25">
      <c r="B65" s="530"/>
      <c r="C65" s="552" t="s">
        <v>399</v>
      </c>
      <c r="D65" s="200" t="str">
        <f>VLOOKUP(Table2[[#This Row],[Course Title]],'TSD-Data'!$A$1:$E$83,2,FALSE)</f>
        <v>A-493-3011</v>
      </c>
      <c r="E65" s="200" t="str">
        <f>VLOOKUP(Table2[[#This Row],[Course Title]],'TSD-Data'!$A$1:$E$83,3,FALSE)</f>
        <v>31VD</v>
      </c>
      <c r="F65" s="530" t="s">
        <v>54</v>
      </c>
      <c r="G65" s="531">
        <v>45965</v>
      </c>
      <c r="H65" s="531">
        <v>45965</v>
      </c>
      <c r="I65" s="531" t="s">
        <v>42</v>
      </c>
      <c r="J65" s="532"/>
      <c r="K65" s="532">
        <v>0.75</v>
      </c>
      <c r="L65" s="532">
        <v>0.625</v>
      </c>
      <c r="M65" s="532">
        <v>8.3333333333333329E-2</v>
      </c>
      <c r="N65" s="532">
        <v>0</v>
      </c>
      <c r="O65" s="532">
        <v>0.54166666666666663</v>
      </c>
      <c r="P65" s="532">
        <v>0.33333333333333331</v>
      </c>
      <c r="Q65" s="535" t="s">
        <v>441</v>
      </c>
      <c r="R65" s="535"/>
      <c r="S65" s="535"/>
      <c r="T65" s="200">
        <f>VLOOKUP(Table2[[#This Row],[Course Title]],'TSD-Data'!$A$1:$E$83,4,FALSE)</f>
        <v>1000</v>
      </c>
      <c r="U65" s="200">
        <f>VLOOKUP(Table2[[#This Row],[Course Title]],'TSD-Data'!$A$1:$F$83,6,FALSE)</f>
        <v>2.5</v>
      </c>
      <c r="V65" s="201">
        <f>VLOOKUP(Table2[[#This Row],[Course Title]],'TSD-Data'!$A$1:$F$83,5,FALSE)</f>
        <v>0.3</v>
      </c>
      <c r="W65" s="201">
        <v>0</v>
      </c>
      <c r="X65" s="200">
        <f>Table2[[#This Row],[Quotas]]-Table2[[#This Row],[Open Quotas]]</f>
        <v>8</v>
      </c>
      <c r="Y65" s="200">
        <v>0</v>
      </c>
      <c r="Z65" s="201">
        <v>37</v>
      </c>
      <c r="AA65" s="201">
        <v>0</v>
      </c>
      <c r="AB65" s="200">
        <v>0</v>
      </c>
      <c r="AC65" s="200">
        <v>0</v>
      </c>
      <c r="AD65" s="200">
        <v>0</v>
      </c>
      <c r="AE65" s="200" t="s">
        <v>442</v>
      </c>
      <c r="AF65" s="495">
        <f ca="1">Table2[[#This Row],[End Date]]+2-TODAY()</f>
        <v>-277</v>
      </c>
      <c r="AG65" s="496">
        <f>IF(ISBLANK(Table2[[#This Row],[Roster Received by]]),1,0)</f>
        <v>0</v>
      </c>
      <c r="AH65" s="496">
        <f ca="1">IF(Table2[[#This Row],[Start Date]]&gt;TODAY(),1,)</f>
        <v>0</v>
      </c>
      <c r="AI65" s="496">
        <f>IF(ISBLANK(Table2[[#This Row],[Primary Instructor]]),0,1)</f>
        <v>1</v>
      </c>
      <c r="AJ65" s="496">
        <f>IF(ISBLANK(Table2[[#This Row],[Instructor 2]]),0,1)</f>
        <v>0</v>
      </c>
      <c r="AK65" s="496">
        <f t="shared" ref="AK65:AK71" si="1">AJ334</f>
        <v>0</v>
      </c>
      <c r="AL65" s="318">
        <v>992</v>
      </c>
      <c r="AM65" s="496">
        <v>1</v>
      </c>
      <c r="AN65" s="496" t="str">
        <f>VLOOKUP(Table2[[#This Row],[Course Title]],'TSD-Data'!$A$1:$G$83,7,FALSE)</f>
        <v>N8-RMI</v>
      </c>
      <c r="AO65" s="500">
        <f>Table2[[#This Row],[Quotas]]-Table2[[#This Row],[Graduates]]-Table2[[#This Row],[Fail]]</f>
        <v>963</v>
      </c>
    </row>
    <row r="66" spans="2:41" s="202" customFormat="1" ht="15" customHeight="1" x14ac:dyDescent="0.25">
      <c r="B66" s="530"/>
      <c r="C66" s="552" t="s">
        <v>400</v>
      </c>
      <c r="D66" s="200" t="str">
        <f>VLOOKUP(Table2[[#This Row],[Course Title]],'TSD-Data'!$A$1:$E$83,2,FALSE)</f>
        <v>A-493-3010</v>
      </c>
      <c r="E66" s="200" t="str">
        <f>VLOOKUP(Table2[[#This Row],[Course Title]],'TSD-Data'!$A$1:$E$83,3,FALSE)</f>
        <v>31VC</v>
      </c>
      <c r="F66" s="530" t="s">
        <v>54</v>
      </c>
      <c r="G66" s="531">
        <v>45965</v>
      </c>
      <c r="H66" s="531">
        <v>45965</v>
      </c>
      <c r="I66" s="531" t="s">
        <v>42</v>
      </c>
      <c r="J66" s="532"/>
      <c r="K66" s="532">
        <v>0.45833333333333331</v>
      </c>
      <c r="L66" s="532">
        <v>0.33333333333333331</v>
      </c>
      <c r="M66" s="532">
        <v>0.79166666666666663</v>
      </c>
      <c r="N66" s="532">
        <v>0.70833333333333337</v>
      </c>
      <c r="O66" s="532">
        <v>0.29166666666666669</v>
      </c>
      <c r="P66" s="532">
        <v>4.1666666666666664E-2</v>
      </c>
      <c r="Q66" s="535" t="s">
        <v>441</v>
      </c>
      <c r="R66" s="535"/>
      <c r="S66" s="535"/>
      <c r="T66" s="200">
        <f>VLOOKUP(Table2[[#This Row],[Course Title]],'TSD-Data'!$A$1:$E$83,4,FALSE)</f>
        <v>1000</v>
      </c>
      <c r="U66" s="200">
        <f>VLOOKUP(Table2[[#This Row],[Course Title]],'TSD-Data'!$A$1:$F$83,6,FALSE)</f>
        <v>4</v>
      </c>
      <c r="V66" s="201">
        <f>VLOOKUP(Table2[[#This Row],[Course Title]],'TSD-Data'!$A$1:$F$83,5,FALSE)</f>
        <v>0.5</v>
      </c>
      <c r="W66" s="201">
        <v>0</v>
      </c>
      <c r="X66" s="200">
        <f>Table2[[#This Row],[Quotas]]-Table2[[#This Row],[Open Quotas]]</f>
        <v>20</v>
      </c>
      <c r="Y66" s="200">
        <v>0</v>
      </c>
      <c r="Z66" s="201">
        <v>51</v>
      </c>
      <c r="AA66" s="201">
        <v>0</v>
      </c>
      <c r="AB66" s="200">
        <v>0</v>
      </c>
      <c r="AC66" s="200">
        <v>0</v>
      </c>
      <c r="AD66" s="200">
        <v>0</v>
      </c>
      <c r="AE66" s="200" t="s">
        <v>442</v>
      </c>
      <c r="AF66" s="495">
        <f ca="1">Table2[[#This Row],[End Date]]+2-TODAY()</f>
        <v>-277</v>
      </c>
      <c r="AG66" s="496">
        <f>IF(ISBLANK(Table2[[#This Row],[Roster Received by]]),1,0)</f>
        <v>0</v>
      </c>
      <c r="AH66" s="496">
        <f ca="1">IF(Table2[[#This Row],[Start Date]]&gt;TODAY(),1,)</f>
        <v>0</v>
      </c>
      <c r="AI66" s="496">
        <f>IF(ISBLANK(Table2[[#This Row],[Primary Instructor]]),0,1)</f>
        <v>1</v>
      </c>
      <c r="AJ66" s="496">
        <f>IF(ISBLANK(Table2[[#This Row],[Instructor 2]]),0,1)</f>
        <v>0</v>
      </c>
      <c r="AK66" s="496">
        <f t="shared" si="1"/>
        <v>0</v>
      </c>
      <c r="AL66" s="318">
        <v>980</v>
      </c>
      <c r="AM66" s="496">
        <v>1</v>
      </c>
      <c r="AN66" s="496" t="str">
        <f>VLOOKUP(Table2[[#This Row],[Course Title]],'TSD-Data'!$A$1:$G$83,7,FALSE)</f>
        <v>N8-RMI</v>
      </c>
      <c r="AO66" s="500">
        <f>Table2[[#This Row],[Quotas]]-Table2[[#This Row],[Graduates]]-Table2[[#This Row],[Fail]]</f>
        <v>949</v>
      </c>
    </row>
    <row r="67" spans="2:41" s="202" customFormat="1" ht="15" customHeight="1" x14ac:dyDescent="0.25">
      <c r="B67" s="530"/>
      <c r="C67" s="552" t="s">
        <v>396</v>
      </c>
      <c r="D67" s="200" t="str">
        <f>VLOOKUP(Table2[[#This Row],[Course Title]],'TSD-Data'!$A$1:$E$83,2,FALSE)</f>
        <v>A-493-3018</v>
      </c>
      <c r="E67" s="200" t="str">
        <f>VLOOKUP(Table2[[#This Row],[Course Title]],'TSD-Data'!$A$1:$E$83,3,FALSE)</f>
        <v>31YM</v>
      </c>
      <c r="F67" s="530" t="s">
        <v>54</v>
      </c>
      <c r="G67" s="531">
        <v>45966</v>
      </c>
      <c r="H67" s="531">
        <v>45966</v>
      </c>
      <c r="I67" s="531" t="s">
        <v>42</v>
      </c>
      <c r="J67" s="532"/>
      <c r="K67" s="532">
        <v>0.72916666666666663</v>
      </c>
      <c r="L67" s="532">
        <v>0.60416666666666663</v>
      </c>
      <c r="M67" s="532">
        <v>6.25E-2</v>
      </c>
      <c r="N67" s="532">
        <v>0.97916666666666663</v>
      </c>
      <c r="O67" s="532">
        <v>0.5625</v>
      </c>
      <c r="P67" s="532">
        <v>0.3125</v>
      </c>
      <c r="Q67" s="535" t="s">
        <v>441</v>
      </c>
      <c r="R67" s="535"/>
      <c r="S67" s="535"/>
      <c r="T67" s="200">
        <f>VLOOKUP(Table2[[#This Row],[Course Title]],'TSD-Data'!$A$1:$E$83,4,FALSE)</f>
        <v>1000</v>
      </c>
      <c r="U67" s="200">
        <f>VLOOKUP(Table2[[#This Row],[Course Title]],'TSD-Data'!$A$1:$F$83,6,FALSE)</f>
        <v>2</v>
      </c>
      <c r="V67" s="201">
        <f>VLOOKUP(Table2[[#This Row],[Course Title]],'TSD-Data'!$A$1:$F$83,5,FALSE)</f>
        <v>0.25</v>
      </c>
      <c r="W67" s="201"/>
      <c r="X67" s="200">
        <f>Table2[[#This Row],[Quotas]]-Table2[[#This Row],[Open Quotas]]</f>
        <v>1</v>
      </c>
      <c r="Y67" s="200">
        <v>0</v>
      </c>
      <c r="Z67" s="201">
        <v>29</v>
      </c>
      <c r="AA67" s="201">
        <v>0</v>
      </c>
      <c r="AB67" s="200">
        <v>0</v>
      </c>
      <c r="AC67" s="200">
        <v>0</v>
      </c>
      <c r="AD67" s="200">
        <v>0</v>
      </c>
      <c r="AE67" s="200" t="s">
        <v>442</v>
      </c>
      <c r="AF67" s="495">
        <f ca="1">Table2[[#This Row],[End Date]]+2-TODAY()</f>
        <v>-276</v>
      </c>
      <c r="AG67" s="496">
        <f>IF(ISBLANK(Table2[[#This Row],[Roster Received by]]),1,0)</f>
        <v>0</v>
      </c>
      <c r="AH67" s="496">
        <f ca="1">IF(Table2[[#This Row],[Start Date]]&gt;TODAY(),1,)</f>
        <v>0</v>
      </c>
      <c r="AI67" s="496">
        <f>IF(ISBLANK(Table2[[#This Row],[Primary Instructor]]),0,1)</f>
        <v>1</v>
      </c>
      <c r="AJ67" s="496">
        <f>IF(ISBLANK(Table2[[#This Row],[Instructor 2]]),0,1)</f>
        <v>0</v>
      </c>
      <c r="AK67" s="496">
        <f t="shared" si="1"/>
        <v>0</v>
      </c>
      <c r="AL67" s="318">
        <v>999</v>
      </c>
      <c r="AM67" s="496">
        <v>1</v>
      </c>
      <c r="AN67" s="496" t="str">
        <f>VLOOKUP(Table2[[#This Row],[Course Title]],'TSD-Data'!$A$1:$G$83,7,FALSE)</f>
        <v>N8-RMI</v>
      </c>
      <c r="AO67" s="500">
        <f>Table2[[#This Row],[Quotas]]-Table2[[#This Row],[Graduates]]-Table2[[#This Row],[Fail]]</f>
        <v>971</v>
      </c>
    </row>
    <row r="68" spans="2:41" s="202" customFormat="1" x14ac:dyDescent="0.25">
      <c r="B68" s="530"/>
      <c r="C68" s="552" t="s">
        <v>398</v>
      </c>
      <c r="D68" s="200" t="str">
        <f>VLOOKUP(Table2[[#This Row],[Course Title]],'TSD-Data'!$A$1:$E$83,2,FALSE)</f>
        <v>A-493-3004</v>
      </c>
      <c r="E68" s="200" t="str">
        <f>VLOOKUP(Table2[[#This Row],[Course Title]],'TSD-Data'!$A$1:$E$83,3,FALSE)</f>
        <v>31V6</v>
      </c>
      <c r="F68" s="530" t="s">
        <v>54</v>
      </c>
      <c r="G68" s="531">
        <v>45966</v>
      </c>
      <c r="H68" s="531">
        <v>45966</v>
      </c>
      <c r="I68" s="531" t="s">
        <v>42</v>
      </c>
      <c r="J68" s="532"/>
      <c r="K68" s="536">
        <v>0.64583333333333337</v>
      </c>
      <c r="L68" s="553">
        <v>0.52083333333333337</v>
      </c>
      <c r="M68" s="532">
        <v>0.97916666666666663</v>
      </c>
      <c r="N68" s="532">
        <v>0.89583333333333337</v>
      </c>
      <c r="O68" s="532">
        <v>0.4375</v>
      </c>
      <c r="P68" s="532">
        <v>0.22916666666666666</v>
      </c>
      <c r="Q68" s="535" t="s">
        <v>441</v>
      </c>
      <c r="R68" s="535"/>
      <c r="S68" s="535"/>
      <c r="T68" s="200">
        <f>VLOOKUP(Table2[[#This Row],[Course Title]],'TSD-Data'!$A$1:$E$83,4,FALSE)</f>
        <v>1000</v>
      </c>
      <c r="U68" s="200">
        <f>VLOOKUP(Table2[[#This Row],[Course Title]],'TSD-Data'!$A$1:$F$83,6,FALSE)</f>
        <v>2</v>
      </c>
      <c r="V68" s="201">
        <f>VLOOKUP(Table2[[#This Row],[Course Title]],'TSD-Data'!$A$1:$F$83,5,FALSE)</f>
        <v>0.25</v>
      </c>
      <c r="W68" s="201">
        <v>0</v>
      </c>
      <c r="X68" s="200">
        <f>Table2[[#This Row],[Quotas]]-Table2[[#This Row],[Open Quotas]]</f>
        <v>6</v>
      </c>
      <c r="Y68" s="200">
        <v>0</v>
      </c>
      <c r="Z68" s="201">
        <v>36</v>
      </c>
      <c r="AA68" s="201">
        <v>0</v>
      </c>
      <c r="AB68" s="200">
        <v>0</v>
      </c>
      <c r="AC68" s="200">
        <v>0</v>
      </c>
      <c r="AD68" s="200">
        <v>0</v>
      </c>
      <c r="AE68" s="200" t="s">
        <v>442</v>
      </c>
      <c r="AF68" s="495">
        <f ca="1">Table2[[#This Row],[End Date]]+2-TODAY()</f>
        <v>-276</v>
      </c>
      <c r="AG68" s="496">
        <f>IF(ISBLANK(Table2[[#This Row],[Roster Received by]]),1,0)</f>
        <v>0</v>
      </c>
      <c r="AH68" s="496">
        <f ca="1">IF(Table2[[#This Row],[Start Date]]&gt;TODAY(),1,)</f>
        <v>0</v>
      </c>
      <c r="AI68" s="496">
        <f>IF(ISBLANK(Table2[[#This Row],[Primary Instructor]]),0,1)</f>
        <v>1</v>
      </c>
      <c r="AJ68" s="496">
        <f>IF(ISBLANK(Table2[[#This Row],[Instructor 2]]),0,1)</f>
        <v>0</v>
      </c>
      <c r="AK68" s="496">
        <f t="shared" si="1"/>
        <v>0</v>
      </c>
      <c r="AL68" s="318">
        <v>994</v>
      </c>
      <c r="AM68" s="496">
        <v>1</v>
      </c>
      <c r="AN68" s="496" t="str">
        <f>VLOOKUP(Table2[[#This Row],[Course Title]],'TSD-Data'!$A$1:$G$83,7,FALSE)</f>
        <v>N8-RMI</v>
      </c>
      <c r="AO68" s="500">
        <f>Table2[[#This Row],[Quotas]]-Table2[[#This Row],[Graduates]]-Table2[[#This Row],[Fail]]</f>
        <v>964</v>
      </c>
    </row>
    <row r="69" spans="2:41" s="202" customFormat="1" ht="15" customHeight="1" x14ac:dyDescent="0.25">
      <c r="B69" s="530"/>
      <c r="C69" s="552" t="s">
        <v>409</v>
      </c>
      <c r="D69" s="200" t="str">
        <f>VLOOKUP(Table2[[#This Row],[Course Title]],'TSD-Data'!$A$1:$E$83,2,FALSE)</f>
        <v>A-493-3001</v>
      </c>
      <c r="E69" s="200" t="str">
        <f>VLOOKUP(Table2[[#This Row],[Course Title]],'TSD-Data'!$A$1:$E$83,3,FALSE)</f>
        <v>31V3</v>
      </c>
      <c r="F69" s="530" t="s">
        <v>54</v>
      </c>
      <c r="G69" s="531">
        <v>45966</v>
      </c>
      <c r="H69" s="531">
        <v>45966</v>
      </c>
      <c r="I69" s="531" t="s">
        <v>42</v>
      </c>
      <c r="J69" s="532"/>
      <c r="K69" s="532">
        <v>0.45833333333333331</v>
      </c>
      <c r="L69" s="532">
        <v>0.33333333333333331</v>
      </c>
      <c r="M69" s="532">
        <v>0.79166666666666663</v>
      </c>
      <c r="N69" s="532">
        <v>0.70833333333333337</v>
      </c>
      <c r="O69" s="532">
        <v>0.29166666666666669</v>
      </c>
      <c r="P69" s="532">
        <v>4.1666666666666664E-2</v>
      </c>
      <c r="Q69" s="535" t="s">
        <v>441</v>
      </c>
      <c r="R69" s="535"/>
      <c r="S69" s="535"/>
      <c r="T69" s="200">
        <f>VLOOKUP(Table2[[#This Row],[Course Title]],'TSD-Data'!$A$1:$E$83,4,FALSE)</f>
        <v>1000</v>
      </c>
      <c r="U69" s="200">
        <f>VLOOKUP(Table2[[#This Row],[Course Title]],'TSD-Data'!$A$1:$F$83,6,FALSE)</f>
        <v>2</v>
      </c>
      <c r="V69" s="201">
        <f>VLOOKUP(Table2[[#This Row],[Course Title]],'TSD-Data'!$A$1:$F$83,5,FALSE)</f>
        <v>0.25</v>
      </c>
      <c r="W69" s="201"/>
      <c r="X69" s="200">
        <f>Table2[[#This Row],[Quotas]]-Table2[[#This Row],[Open Quotas]]</f>
        <v>12</v>
      </c>
      <c r="Y69" s="200">
        <v>0</v>
      </c>
      <c r="Z69" s="201">
        <v>35</v>
      </c>
      <c r="AA69" s="201">
        <v>0</v>
      </c>
      <c r="AB69" s="200">
        <v>0</v>
      </c>
      <c r="AC69" s="200">
        <v>0</v>
      </c>
      <c r="AD69" s="200">
        <v>0</v>
      </c>
      <c r="AE69" s="200" t="s">
        <v>442</v>
      </c>
      <c r="AF69" s="495">
        <f ca="1">Table2[[#This Row],[End Date]]+2-TODAY()</f>
        <v>-276</v>
      </c>
      <c r="AG69" s="496">
        <f>IF(ISBLANK(Table2[[#This Row],[Roster Received by]]),1,0)</f>
        <v>0</v>
      </c>
      <c r="AH69" s="496">
        <f ca="1">IF(Table2[[#This Row],[Start Date]]&gt;TODAY(),1,)</f>
        <v>0</v>
      </c>
      <c r="AI69" s="496">
        <f>IF(ISBLANK(Table2[[#This Row],[Primary Instructor]]),0,1)</f>
        <v>1</v>
      </c>
      <c r="AJ69" s="496">
        <f>IF(ISBLANK(Table2[[#This Row],[Instructor 2]]),0,1)</f>
        <v>0</v>
      </c>
      <c r="AK69" s="496">
        <f t="shared" si="1"/>
        <v>0</v>
      </c>
      <c r="AL69" s="318">
        <v>988</v>
      </c>
      <c r="AM69" s="496">
        <v>1</v>
      </c>
      <c r="AN69" s="496" t="str">
        <f>VLOOKUP(Table2[[#This Row],[Course Title]],'TSD-Data'!$A$1:$G$83,7,FALSE)</f>
        <v>N8-RMI</v>
      </c>
      <c r="AO69" s="500">
        <f>Table2[[#This Row],[Quotas]]-Table2[[#This Row],[Graduates]]-Table2[[#This Row],[Fail]]</f>
        <v>965</v>
      </c>
    </row>
    <row r="70" spans="2:41" s="202" customFormat="1" ht="15" customHeight="1" x14ac:dyDescent="0.25">
      <c r="B70" s="530"/>
      <c r="C70" s="552" t="s">
        <v>403</v>
      </c>
      <c r="D70" s="200" t="str">
        <f>VLOOKUP(Table2[[#This Row],[Course Title]],'TSD-Data'!$A$1:$E$83,2,FALSE)</f>
        <v>A-493-3013</v>
      </c>
      <c r="E70" s="200" t="str">
        <f>VLOOKUP(Table2[[#This Row],[Course Title]],'TSD-Data'!$A$1:$E$83,3,FALSE)</f>
        <v>31YG</v>
      </c>
      <c r="F70" s="530" t="s">
        <v>54</v>
      </c>
      <c r="G70" s="531">
        <v>45967</v>
      </c>
      <c r="H70" s="531">
        <v>45967</v>
      </c>
      <c r="I70" s="531" t="s">
        <v>42</v>
      </c>
      <c r="J70" s="532"/>
      <c r="K70" s="532">
        <v>0.5625</v>
      </c>
      <c r="L70" s="532">
        <v>0.4375</v>
      </c>
      <c r="M70" s="532">
        <v>0.89583333333333337</v>
      </c>
      <c r="N70" s="532">
        <v>0.8125</v>
      </c>
      <c r="O70" s="532">
        <v>0.35416666666666669</v>
      </c>
      <c r="P70" s="532">
        <v>0.14583333333333334</v>
      </c>
      <c r="Q70" s="535" t="s">
        <v>441</v>
      </c>
      <c r="R70" s="535"/>
      <c r="S70" s="535"/>
      <c r="T70" s="200">
        <f>VLOOKUP(Table2[[#This Row],[Course Title]],'TSD-Data'!$A$1:$E$83,4,FALSE)</f>
        <v>1000</v>
      </c>
      <c r="U70" s="200">
        <f>VLOOKUP(Table2[[#This Row],[Course Title]],'TSD-Data'!$A$1:$F$83,6,FALSE)</f>
        <v>2</v>
      </c>
      <c r="V70" s="201">
        <f>VLOOKUP(Table2[[#This Row],[Course Title]],'TSD-Data'!$A$1:$F$83,5,FALSE)</f>
        <v>0.25</v>
      </c>
      <c r="W70" s="201"/>
      <c r="X70" s="200">
        <f>Table2[[#This Row],[Quotas]]-Table2[[#This Row],[Open Quotas]]</f>
        <v>1</v>
      </c>
      <c r="Y70" s="200">
        <v>0</v>
      </c>
      <c r="Z70" s="201">
        <v>39</v>
      </c>
      <c r="AA70" s="201">
        <v>0</v>
      </c>
      <c r="AB70" s="200">
        <v>0</v>
      </c>
      <c r="AC70" s="200">
        <v>0</v>
      </c>
      <c r="AD70" s="200">
        <v>0</v>
      </c>
      <c r="AE70" s="200" t="s">
        <v>442</v>
      </c>
      <c r="AF70" s="495">
        <f ca="1">Table2[[#This Row],[End Date]]+2-TODAY()</f>
        <v>-275</v>
      </c>
      <c r="AG70" s="496">
        <f>IF(ISBLANK(Table2[[#This Row],[Roster Received by]]),1,0)</f>
        <v>0</v>
      </c>
      <c r="AH70" s="496">
        <f ca="1">IF(Table2[[#This Row],[Start Date]]&gt;TODAY(),1,)</f>
        <v>0</v>
      </c>
      <c r="AI70" s="496">
        <f>IF(ISBLANK(Table2[[#This Row],[Primary Instructor]]),0,1)</f>
        <v>1</v>
      </c>
      <c r="AJ70" s="496">
        <f>IF(ISBLANK(Table2[[#This Row],[Instructor 2]]),0,1)</f>
        <v>0</v>
      </c>
      <c r="AK70" s="496">
        <f t="shared" si="1"/>
        <v>0</v>
      </c>
      <c r="AL70" s="318">
        <v>999</v>
      </c>
      <c r="AM70" s="496">
        <v>1</v>
      </c>
      <c r="AN70" s="496" t="str">
        <f>VLOOKUP(Table2[[#This Row],[Course Title]],'TSD-Data'!$A$1:$G$83,7,FALSE)</f>
        <v>N8-RMI</v>
      </c>
      <c r="AO70" s="500">
        <f>Table2[[#This Row],[Quotas]]-Table2[[#This Row],[Graduates]]-Table2[[#This Row],[Fail]]</f>
        <v>961</v>
      </c>
    </row>
    <row r="71" spans="2:41" s="202" customFormat="1" ht="15" customHeight="1" x14ac:dyDescent="0.25">
      <c r="B71" s="530"/>
      <c r="C71" s="552" t="s">
        <v>404</v>
      </c>
      <c r="D71" s="200" t="str">
        <f>VLOOKUP(Table2[[#This Row],[Course Title]],'TSD-Data'!$A$1:$E$83,2,FALSE)</f>
        <v>A-493-3014</v>
      </c>
      <c r="E71" s="200" t="str">
        <f>VLOOKUP(Table2[[#This Row],[Course Title]],'TSD-Data'!$A$1:$E$83,3,FALSE)</f>
        <v>31Yh</v>
      </c>
      <c r="F71" s="530" t="s">
        <v>54</v>
      </c>
      <c r="G71" s="531">
        <v>45967</v>
      </c>
      <c r="H71" s="531">
        <v>45967</v>
      </c>
      <c r="I71" s="531" t="s">
        <v>42</v>
      </c>
      <c r="J71" s="532"/>
      <c r="K71" s="536">
        <v>0.64583333333333337</v>
      </c>
      <c r="L71" s="532">
        <v>0.52083333333333337</v>
      </c>
      <c r="M71" s="532">
        <v>0.97916666666666663</v>
      </c>
      <c r="N71" s="532">
        <v>0.89583333333333337</v>
      </c>
      <c r="O71" s="532">
        <v>0.4375</v>
      </c>
      <c r="P71" s="532">
        <v>0.22916666666666666</v>
      </c>
      <c r="Q71" s="535" t="s">
        <v>441</v>
      </c>
      <c r="R71" s="535"/>
      <c r="S71" s="535"/>
      <c r="T71" s="200">
        <f>VLOOKUP(Table2[[#This Row],[Course Title]],'TSD-Data'!$A$1:$E$83,4,FALSE)</f>
        <v>1000</v>
      </c>
      <c r="U71" s="200">
        <f>VLOOKUP(Table2[[#This Row],[Course Title]],'TSD-Data'!$A$1:$F$83,6,FALSE)</f>
        <v>1.5</v>
      </c>
      <c r="V71" s="201">
        <f>VLOOKUP(Table2[[#This Row],[Course Title]],'TSD-Data'!$A$1:$F$83,5,FALSE)</f>
        <v>0.1</v>
      </c>
      <c r="W71" s="201"/>
      <c r="X71" s="200">
        <f>Table2[[#This Row],[Quotas]]-Table2[[#This Row],[Open Quotas]]</f>
        <v>1</v>
      </c>
      <c r="Y71" s="200">
        <v>0</v>
      </c>
      <c r="Z71" s="201">
        <v>33</v>
      </c>
      <c r="AA71" s="201">
        <v>0</v>
      </c>
      <c r="AB71" s="200">
        <v>0</v>
      </c>
      <c r="AC71" s="200">
        <v>0</v>
      </c>
      <c r="AD71" s="200">
        <v>0</v>
      </c>
      <c r="AE71" s="200" t="s">
        <v>442</v>
      </c>
      <c r="AF71" s="495">
        <f ca="1">Table2[[#This Row],[End Date]]+2-TODAY()</f>
        <v>-275</v>
      </c>
      <c r="AG71" s="496">
        <f>IF(ISBLANK(Table2[[#This Row],[Roster Received by]]),1,0)</f>
        <v>0</v>
      </c>
      <c r="AH71" s="496">
        <f ca="1">IF(Table2[[#This Row],[Start Date]]&gt;TODAY(),1,)</f>
        <v>0</v>
      </c>
      <c r="AI71" s="496">
        <f>IF(ISBLANK(Table2[[#This Row],[Primary Instructor]]),0,1)</f>
        <v>1</v>
      </c>
      <c r="AJ71" s="496">
        <f>IF(ISBLANK(Table2[[#This Row],[Instructor 2]]),0,1)</f>
        <v>0</v>
      </c>
      <c r="AK71" s="496">
        <f t="shared" si="1"/>
        <v>0</v>
      </c>
      <c r="AL71" s="318">
        <v>999</v>
      </c>
      <c r="AM71" s="496">
        <v>1</v>
      </c>
      <c r="AN71" s="496" t="str">
        <f>VLOOKUP(Table2[[#This Row],[Course Title]],'TSD-Data'!$A$1:$G$83,7,FALSE)</f>
        <v>N8-RMI</v>
      </c>
      <c r="AO71" s="500">
        <f>Table2[[#This Row],[Quotas]]-Table2[[#This Row],[Graduates]]-Table2[[#This Row],[Fail]]</f>
        <v>967</v>
      </c>
    </row>
    <row r="72" spans="2:41" s="202" customFormat="1" ht="15" customHeight="1" x14ac:dyDescent="0.25">
      <c r="B72" s="530"/>
      <c r="C72" s="552" t="s">
        <v>405</v>
      </c>
      <c r="D72" s="200" t="str">
        <f>VLOOKUP(Table2[[#This Row],[Course Title]],'TSD-Data'!$A$1:$E$83,2,FALSE)</f>
        <v>A-493-3015</v>
      </c>
      <c r="E72" s="200" t="str">
        <f>VLOOKUP(Table2[[#This Row],[Course Title]],'TSD-Data'!$A$1:$E$83,3,FALSE)</f>
        <v>31YJ</v>
      </c>
      <c r="F72" s="530" t="s">
        <v>54</v>
      </c>
      <c r="G72" s="531">
        <v>45967</v>
      </c>
      <c r="H72" s="531">
        <v>45967</v>
      </c>
      <c r="I72" s="531" t="s">
        <v>42</v>
      </c>
      <c r="J72" s="532"/>
      <c r="K72" s="532">
        <v>0.45833333333333331</v>
      </c>
      <c r="L72" s="532">
        <v>0.33333333333333331</v>
      </c>
      <c r="M72" s="532">
        <v>0.79166666666666663</v>
      </c>
      <c r="N72" s="532">
        <v>0.70833333333333337</v>
      </c>
      <c r="O72" s="532">
        <v>0.25</v>
      </c>
      <c r="P72" s="532">
        <v>4.1666666666666664E-2</v>
      </c>
      <c r="Q72" s="535" t="s">
        <v>441</v>
      </c>
      <c r="R72" s="535"/>
      <c r="S72" s="535"/>
      <c r="T72" s="200">
        <f>VLOOKUP(Table2[[#This Row],[Course Title]],'TSD-Data'!$A$1:$E$83,4,FALSE)</f>
        <v>1000</v>
      </c>
      <c r="U72" s="200">
        <f>VLOOKUP(Table2[[#This Row],[Course Title]],'TSD-Data'!$A$1:$F$83,6,FALSE)</f>
        <v>1.5</v>
      </c>
      <c r="V72" s="201">
        <f>VLOOKUP(Table2[[#This Row],[Course Title]],'TSD-Data'!$A$1:$F$83,5,FALSE)</f>
        <v>0.1</v>
      </c>
      <c r="W72" s="201"/>
      <c r="X72" s="200">
        <f>Table2[[#This Row],[Quotas]]-Table2[[#This Row],[Open Quotas]]</f>
        <v>1</v>
      </c>
      <c r="Y72" s="200">
        <v>0</v>
      </c>
      <c r="Z72" s="201">
        <v>38</v>
      </c>
      <c r="AA72" s="201">
        <v>0</v>
      </c>
      <c r="AB72" s="200">
        <v>0</v>
      </c>
      <c r="AC72" s="200">
        <v>0</v>
      </c>
      <c r="AD72" s="200">
        <v>0</v>
      </c>
      <c r="AE72" s="200" t="s">
        <v>442</v>
      </c>
      <c r="AF72" s="495">
        <f ca="1">Table2[[#This Row],[End Date]]+2-TODAY()</f>
        <v>-275</v>
      </c>
      <c r="AG72" s="496">
        <f>IF(ISBLANK(Table2[[#This Row],[Roster Received by]]),1,0)</f>
        <v>0</v>
      </c>
      <c r="AH72" s="496">
        <f ca="1">IF(Table2[[#This Row],[Start Date]]&gt;TODAY(),1,)</f>
        <v>0</v>
      </c>
      <c r="AI72" s="496">
        <f>IF(ISBLANK(Table2[[#This Row],[Primary Instructor]]),0,1)</f>
        <v>1</v>
      </c>
      <c r="AJ72" s="496">
        <f>IF(ISBLANK(Table2[[#This Row],[Instructor 2]]),0,1)</f>
        <v>0</v>
      </c>
      <c r="AK72" s="496" t="e">
        <f>#REF!</f>
        <v>#REF!</v>
      </c>
      <c r="AL72" s="318">
        <v>999</v>
      </c>
      <c r="AM72" s="496">
        <v>1</v>
      </c>
      <c r="AN72" s="496" t="str">
        <f>VLOOKUP(Table2[[#This Row],[Course Title]],'TSD-Data'!$A$1:$G$83,7,FALSE)</f>
        <v>N8-RMI</v>
      </c>
      <c r="AO72" s="500">
        <f>Table2[[#This Row],[Quotas]]-Table2[[#This Row],[Graduates]]-Table2[[#This Row],[Fail]]</f>
        <v>962</v>
      </c>
    </row>
    <row r="73" spans="2:41" s="202" customFormat="1" ht="15" customHeight="1" x14ac:dyDescent="0.25">
      <c r="B73" s="530"/>
      <c r="C73" s="552" t="s">
        <v>406</v>
      </c>
      <c r="D73" s="200" t="str">
        <f>VLOOKUP(Table2[[#This Row],[Course Title]],'TSD-Data'!$A$1:$E$83,2,FALSE)</f>
        <v>A-493-3016</v>
      </c>
      <c r="E73" s="200" t="str">
        <f>VLOOKUP(Table2[[#This Row],[Course Title]],'TSD-Data'!$A$1:$E$83,3,FALSE)</f>
        <v>31Yk</v>
      </c>
      <c r="F73" s="530" t="s">
        <v>54</v>
      </c>
      <c r="G73" s="531">
        <v>45967</v>
      </c>
      <c r="H73" s="531">
        <v>45967</v>
      </c>
      <c r="I73" s="531" t="s">
        <v>42</v>
      </c>
      <c r="J73" s="532"/>
      <c r="K73" s="536">
        <v>0.6875</v>
      </c>
      <c r="L73" s="532">
        <v>0.5625</v>
      </c>
      <c r="M73" s="532">
        <v>2.0833333333333332E-2</v>
      </c>
      <c r="N73" s="532">
        <v>0.9375</v>
      </c>
      <c r="O73" s="532">
        <v>0.47916666666666669</v>
      </c>
      <c r="P73" s="532">
        <v>0.27083333333333331</v>
      </c>
      <c r="Q73" s="535" t="s">
        <v>441</v>
      </c>
      <c r="R73" s="535"/>
      <c r="S73" s="535"/>
      <c r="T73" s="200">
        <f>VLOOKUP(Table2[[#This Row],[Course Title]],'TSD-Data'!$A$1:$E$83,4,FALSE)</f>
        <v>1000</v>
      </c>
      <c r="U73" s="200">
        <f>VLOOKUP(Table2[[#This Row],[Course Title]],'TSD-Data'!$A$1:$F$83,6,FALSE)</f>
        <v>1.5</v>
      </c>
      <c r="V73" s="201">
        <f>VLOOKUP(Table2[[#This Row],[Course Title]],'TSD-Data'!$A$1:$F$83,5,FALSE)</f>
        <v>0.1</v>
      </c>
      <c r="W73" s="201"/>
      <c r="X73" s="200">
        <f>Table2[[#This Row],[Quotas]]-Table2[[#This Row],[Open Quotas]]</f>
        <v>1</v>
      </c>
      <c r="Y73" s="200">
        <v>0</v>
      </c>
      <c r="Z73" s="201">
        <v>45</v>
      </c>
      <c r="AA73" s="201">
        <v>0</v>
      </c>
      <c r="AB73" s="200">
        <v>0</v>
      </c>
      <c r="AC73" s="200">
        <v>0</v>
      </c>
      <c r="AD73" s="200">
        <v>0</v>
      </c>
      <c r="AE73" s="200" t="s">
        <v>442</v>
      </c>
      <c r="AF73" s="495">
        <f ca="1">Table2[[#This Row],[End Date]]+2-TODAY()</f>
        <v>-275</v>
      </c>
      <c r="AG73" s="496">
        <f>IF(ISBLANK(Table2[[#This Row],[Roster Received by]]),1,0)</f>
        <v>0</v>
      </c>
      <c r="AH73" s="496">
        <f ca="1">IF(Table2[[#This Row],[Start Date]]&gt;TODAY(),1,)</f>
        <v>0</v>
      </c>
      <c r="AI73" s="496">
        <f>IF(ISBLANK(Table2[[#This Row],[Primary Instructor]]),0,1)</f>
        <v>1</v>
      </c>
      <c r="AJ73" s="496">
        <f>IF(ISBLANK(Table2[[#This Row],[Instructor 2]]),0,1)</f>
        <v>0</v>
      </c>
      <c r="AK73" s="496">
        <f>AJ341</f>
        <v>0</v>
      </c>
      <c r="AL73" s="318">
        <v>999</v>
      </c>
      <c r="AM73" s="496">
        <v>1</v>
      </c>
      <c r="AN73" s="496" t="str">
        <f>VLOOKUP(Table2[[#This Row],[Course Title]],'TSD-Data'!$A$1:$G$83,7,FALSE)</f>
        <v>N8-RMI</v>
      </c>
      <c r="AO73" s="500">
        <f>Table2[[#This Row],[Quotas]]-Table2[[#This Row],[Graduates]]-Table2[[#This Row],[Fail]]</f>
        <v>955</v>
      </c>
    </row>
    <row r="74" spans="2:41" s="202" customFormat="1" x14ac:dyDescent="0.25">
      <c r="B74" s="530"/>
      <c r="C74" s="552" t="s">
        <v>411</v>
      </c>
      <c r="D74" s="200" t="str">
        <f>VLOOKUP(Table2[[#This Row],[Course Title]],'TSD-Data'!$A$1:$E$83,2,FALSE)</f>
        <v>A-493-3012</v>
      </c>
      <c r="E74" s="200" t="str">
        <f>VLOOKUP(Table2[[#This Row],[Course Title]],'TSD-Data'!$A$1:$E$83,3,FALSE)</f>
        <v>31YF</v>
      </c>
      <c r="F74" s="530" t="s">
        <v>54</v>
      </c>
      <c r="G74" s="531">
        <v>45967</v>
      </c>
      <c r="H74" s="531">
        <v>45967</v>
      </c>
      <c r="I74" s="531" t="s">
        <v>42</v>
      </c>
      <c r="J74" s="532"/>
      <c r="K74" s="532">
        <v>0.75</v>
      </c>
      <c r="L74" s="553">
        <v>0.625</v>
      </c>
      <c r="M74" s="532">
        <v>8.3333333333333329E-2</v>
      </c>
      <c r="N74" s="532">
        <v>0</v>
      </c>
      <c r="O74" s="532">
        <v>0.54166666666666663</v>
      </c>
      <c r="P74" s="532">
        <v>0.33333333333333331</v>
      </c>
      <c r="Q74" s="535" t="s">
        <v>441</v>
      </c>
      <c r="R74" s="535"/>
      <c r="S74" s="535"/>
      <c r="T74" s="200">
        <f>VLOOKUP(Table2[[#This Row],[Course Title]],'TSD-Data'!$A$1:$E$83,4,FALSE)</f>
        <v>1000</v>
      </c>
      <c r="U74" s="200">
        <f>VLOOKUP(Table2[[#This Row],[Course Title]],'TSD-Data'!$A$1:$F$83,6,FALSE)</f>
        <v>1</v>
      </c>
      <c r="V74" s="201">
        <f>VLOOKUP(Table2[[#This Row],[Course Title]],'TSD-Data'!$A$1:$F$83,5,FALSE)</f>
        <v>0.1</v>
      </c>
      <c r="W74" s="201"/>
      <c r="X74" s="200">
        <f>Table2[[#This Row],[Quotas]]-Table2[[#This Row],[Open Quotas]]</f>
        <v>1</v>
      </c>
      <c r="Y74" s="200">
        <v>0</v>
      </c>
      <c r="Z74" s="201">
        <v>26</v>
      </c>
      <c r="AA74" s="201">
        <v>0</v>
      </c>
      <c r="AB74" s="200">
        <v>0</v>
      </c>
      <c r="AC74" s="200">
        <v>0</v>
      </c>
      <c r="AD74" s="200">
        <v>0</v>
      </c>
      <c r="AE74" s="200" t="s">
        <v>442</v>
      </c>
      <c r="AF74" s="495">
        <f ca="1">Table2[[#This Row],[End Date]]+2-TODAY()</f>
        <v>-275</v>
      </c>
      <c r="AG74" s="496">
        <f>IF(ISBLANK(Table2[[#This Row],[Roster Received by]]),1,0)</f>
        <v>0</v>
      </c>
      <c r="AH74" s="496">
        <f ca="1">IF(Table2[[#This Row],[Start Date]]&gt;TODAY(),1,)</f>
        <v>0</v>
      </c>
      <c r="AI74" s="496">
        <f>IF(ISBLANK(Table2[[#This Row],[Primary Instructor]]),0,1)</f>
        <v>1</v>
      </c>
      <c r="AJ74" s="496">
        <f>IF(ISBLANK(Table2[[#This Row],[Instructor 2]]),0,1)</f>
        <v>0</v>
      </c>
      <c r="AK74" s="496">
        <f>AJ343</f>
        <v>0</v>
      </c>
      <c r="AL74" s="318">
        <v>999</v>
      </c>
      <c r="AM74" s="496">
        <v>1</v>
      </c>
      <c r="AN74" s="496" t="str">
        <f>VLOOKUP(Table2[[#This Row],[Course Title]],'TSD-Data'!$A$1:$G$83,7,FALSE)</f>
        <v>N8-RMI</v>
      </c>
      <c r="AO74" s="500">
        <f>Table2[[#This Row],[Quotas]]-Table2[[#This Row],[Graduates]]-Table2[[#This Row],[Fail]]</f>
        <v>974</v>
      </c>
    </row>
    <row r="75" spans="2:41" s="202" customFormat="1" ht="15" customHeight="1" x14ac:dyDescent="0.25">
      <c r="B75" s="530"/>
      <c r="C75" s="552" t="s">
        <v>397</v>
      </c>
      <c r="D75" s="200" t="str">
        <f>VLOOKUP(Table2[[#This Row],[Course Title]],'TSD-Data'!$A$1:$E$83,2,FALSE)</f>
        <v>A-493-3005</v>
      </c>
      <c r="E75" s="200" t="str">
        <f>VLOOKUP(Table2[[#This Row],[Course Title]],'TSD-Data'!$A$1:$E$83,3,FALSE)</f>
        <v>31V7</v>
      </c>
      <c r="F75" s="530" t="s">
        <v>54</v>
      </c>
      <c r="G75" s="531">
        <v>45968</v>
      </c>
      <c r="H75" s="531">
        <v>45968</v>
      </c>
      <c r="I75" s="531" t="s">
        <v>42</v>
      </c>
      <c r="J75" s="532"/>
      <c r="K75" s="532">
        <v>0.57291666666666663</v>
      </c>
      <c r="L75" s="532">
        <v>0.44791666666666669</v>
      </c>
      <c r="M75" s="532">
        <v>0.90625</v>
      </c>
      <c r="N75" s="532">
        <v>0.82291666666666663</v>
      </c>
      <c r="O75" s="532">
        <v>0.36458333333333331</v>
      </c>
      <c r="P75" s="532">
        <v>0.15625</v>
      </c>
      <c r="Q75" s="535" t="s">
        <v>441</v>
      </c>
      <c r="R75" s="535"/>
      <c r="S75" s="535"/>
      <c r="T75" s="200">
        <f>VLOOKUP(Table2[[#This Row],[Course Title]],'TSD-Data'!$A$1:$E$83,4,FALSE)</f>
        <v>1000</v>
      </c>
      <c r="U75" s="200">
        <f>VLOOKUP(Table2[[#This Row],[Course Title]],'TSD-Data'!$A$1:$F$83,6,FALSE)</f>
        <v>2</v>
      </c>
      <c r="V75" s="201">
        <f>VLOOKUP(Table2[[#This Row],[Course Title]],'TSD-Data'!$A$1:$F$83,5,FALSE)</f>
        <v>0.25</v>
      </c>
      <c r="W75" s="201">
        <v>0</v>
      </c>
      <c r="X75" s="200">
        <f>Table2[[#This Row],[Quotas]]-Table2[[#This Row],[Open Quotas]]</f>
        <v>6</v>
      </c>
      <c r="Y75" s="200">
        <v>0</v>
      </c>
      <c r="Z75" s="201">
        <v>26</v>
      </c>
      <c r="AA75" s="201">
        <v>0</v>
      </c>
      <c r="AB75" s="200">
        <v>0</v>
      </c>
      <c r="AC75" s="200">
        <v>0</v>
      </c>
      <c r="AD75" s="200">
        <v>0</v>
      </c>
      <c r="AE75" s="200" t="s">
        <v>442</v>
      </c>
      <c r="AF75" s="495">
        <f ca="1">Table2[[#This Row],[End Date]]+2-TODAY()</f>
        <v>-274</v>
      </c>
      <c r="AG75" s="496">
        <f>IF(ISBLANK(Table2[[#This Row],[Roster Received by]]),1,0)</f>
        <v>0</v>
      </c>
      <c r="AH75" s="496">
        <f ca="1">IF(Table2[[#This Row],[Start Date]]&gt;TODAY(),1,)</f>
        <v>0</v>
      </c>
      <c r="AI75" s="496">
        <f>IF(ISBLANK(Table2[[#This Row],[Primary Instructor]]),0,1)</f>
        <v>1</v>
      </c>
      <c r="AJ75" s="496">
        <f>IF(ISBLANK(Table2[[#This Row],[Instructor 2]]),0,1)</f>
        <v>0</v>
      </c>
      <c r="AK75" s="496">
        <f>AJ343</f>
        <v>0</v>
      </c>
      <c r="AL75" s="318">
        <v>994</v>
      </c>
      <c r="AM75" s="496">
        <v>1</v>
      </c>
      <c r="AN75" s="496" t="str">
        <f>VLOOKUP(Table2[[#This Row],[Course Title]],'TSD-Data'!$A$1:$G$83,7,FALSE)</f>
        <v>N8-RMI</v>
      </c>
      <c r="AO75" s="500">
        <f>Table2[[#This Row],[Quotas]]-Table2[[#This Row],[Graduates]]-Table2[[#This Row],[Fail]]</f>
        <v>974</v>
      </c>
    </row>
    <row r="76" spans="2:41" s="202" customFormat="1" ht="15" customHeight="1" x14ac:dyDescent="0.25">
      <c r="B76" s="530"/>
      <c r="C76" s="552" t="s">
        <v>402</v>
      </c>
      <c r="D76" s="200" t="str">
        <f>VLOOKUP(Table2[[#This Row],[Course Title]],'TSD-Data'!$A$1:$E$83,2,FALSE)</f>
        <v>A-493-3017</v>
      </c>
      <c r="E76" s="200" t="str">
        <f>VLOOKUP(Table2[[#This Row],[Course Title]],'TSD-Data'!$A$1:$E$83,3,FALSE)</f>
        <v>31YL</v>
      </c>
      <c r="F76" s="530" t="s">
        <v>54</v>
      </c>
      <c r="G76" s="531">
        <v>45968</v>
      </c>
      <c r="H76" s="531">
        <v>45968</v>
      </c>
      <c r="I76" s="531" t="s">
        <v>42</v>
      </c>
      <c r="J76" s="532"/>
      <c r="K76" s="536">
        <v>0.64583333333333337</v>
      </c>
      <c r="L76" s="532">
        <v>0.52083333333333337</v>
      </c>
      <c r="M76" s="532">
        <v>0.97916666666666663</v>
      </c>
      <c r="N76" s="532">
        <v>0.89583333333333337</v>
      </c>
      <c r="O76" s="532">
        <v>0.4375</v>
      </c>
      <c r="P76" s="532">
        <v>0.22916666666666666</v>
      </c>
      <c r="Q76" s="535" t="s">
        <v>441</v>
      </c>
      <c r="R76" s="535"/>
      <c r="S76" s="535"/>
      <c r="T76" s="200">
        <f>VLOOKUP(Table2[[#This Row],[Course Title]],'TSD-Data'!$A$1:$E$83,4,FALSE)</f>
        <v>1000</v>
      </c>
      <c r="U76" s="200">
        <f>VLOOKUP(Table2[[#This Row],[Course Title]],'TSD-Data'!$A$1:$F$83,6,FALSE)</f>
        <v>1.5</v>
      </c>
      <c r="V76" s="201">
        <f>VLOOKUP(Table2[[#This Row],[Course Title]],'TSD-Data'!$A$1:$F$83,5,FALSE)</f>
        <v>0.1</v>
      </c>
      <c r="W76" s="201"/>
      <c r="X76" s="200">
        <f>Table2[[#This Row],[Quotas]]-Table2[[#This Row],[Open Quotas]]</f>
        <v>1</v>
      </c>
      <c r="Y76" s="200">
        <v>0</v>
      </c>
      <c r="Z76" s="201">
        <v>25</v>
      </c>
      <c r="AA76" s="201">
        <v>0</v>
      </c>
      <c r="AB76" s="200">
        <v>0</v>
      </c>
      <c r="AC76" s="200">
        <v>0</v>
      </c>
      <c r="AD76" s="200">
        <v>0</v>
      </c>
      <c r="AE76" s="200" t="s">
        <v>442</v>
      </c>
      <c r="AF76" s="495">
        <f ca="1">Table2[[#This Row],[End Date]]+2-TODAY()</f>
        <v>-274</v>
      </c>
      <c r="AG76" s="496">
        <f>IF(ISBLANK(Table2[[#This Row],[Roster Received by]]),1,0)</f>
        <v>0</v>
      </c>
      <c r="AH76" s="496">
        <f ca="1">IF(Table2[[#This Row],[Start Date]]&gt;TODAY(),1,)</f>
        <v>0</v>
      </c>
      <c r="AI76" s="496">
        <f>IF(ISBLANK(Table2[[#This Row],[Primary Instructor]]),0,1)</f>
        <v>1</v>
      </c>
      <c r="AJ76" s="496">
        <f>IF(ISBLANK(Table2[[#This Row],[Instructor 2]]),0,1)</f>
        <v>0</v>
      </c>
      <c r="AK76" s="496">
        <f>AJ343</f>
        <v>0</v>
      </c>
      <c r="AL76" s="318">
        <v>999</v>
      </c>
      <c r="AM76" s="496">
        <v>1</v>
      </c>
      <c r="AN76" s="496" t="str">
        <f>VLOOKUP(Table2[[#This Row],[Course Title]],'TSD-Data'!$A$1:$G$83,7,FALSE)</f>
        <v>N8-RMI</v>
      </c>
      <c r="AO76" s="500">
        <f>Table2[[#This Row],[Quotas]]-Table2[[#This Row],[Graduates]]-Table2[[#This Row],[Fail]]</f>
        <v>975</v>
      </c>
    </row>
    <row r="77" spans="2:41" s="202" customFormat="1" ht="15" customHeight="1" x14ac:dyDescent="0.25">
      <c r="B77" s="530"/>
      <c r="C77" s="552" t="s">
        <v>408</v>
      </c>
      <c r="D77" s="200" t="str">
        <f>VLOOKUP(Table2[[#This Row],[Course Title]],'TSD-Data'!$A$1:$E$83,2,FALSE)</f>
        <v>A-493-3008</v>
      </c>
      <c r="E77" s="200" t="str">
        <f>VLOOKUP(Table2[[#This Row],[Course Title]],'TSD-Data'!$A$1:$E$83,3,FALSE)</f>
        <v>31VA</v>
      </c>
      <c r="F77" s="530" t="s">
        <v>54</v>
      </c>
      <c r="G77" s="531">
        <v>45968</v>
      </c>
      <c r="H77" s="531">
        <v>45968</v>
      </c>
      <c r="I77" s="531" t="s">
        <v>42</v>
      </c>
      <c r="J77" s="532"/>
      <c r="K77" s="532">
        <v>0.45833333333333331</v>
      </c>
      <c r="L77" s="532">
        <v>0.33333333333333331</v>
      </c>
      <c r="M77" s="532">
        <v>0.79166666666666663</v>
      </c>
      <c r="N77" s="532">
        <v>0.70833333333333337</v>
      </c>
      <c r="O77" s="532">
        <v>0.25</v>
      </c>
      <c r="P77" s="532">
        <v>4.1666666666666664E-2</v>
      </c>
      <c r="Q77" s="535" t="s">
        <v>441</v>
      </c>
      <c r="R77" s="535"/>
      <c r="S77" s="535"/>
      <c r="T77" s="200">
        <f>VLOOKUP(Table2[[#This Row],[Course Title]],'TSD-Data'!$A$1:$E$83,4,FALSE)</f>
        <v>1000</v>
      </c>
      <c r="U77" s="200">
        <f>VLOOKUP(Table2[[#This Row],[Course Title]],'TSD-Data'!$A$1:$F$83,6,FALSE)</f>
        <v>1.5</v>
      </c>
      <c r="V77" s="201">
        <f>VLOOKUP(Table2[[#This Row],[Course Title]],'TSD-Data'!$A$1:$F$83,5,FALSE)</f>
        <v>0.1</v>
      </c>
      <c r="W77" s="201"/>
      <c r="X77" s="200">
        <f>Table2[[#This Row],[Quotas]]-Table2[[#This Row],[Open Quotas]]</f>
        <v>6</v>
      </c>
      <c r="Y77" s="200">
        <v>0</v>
      </c>
      <c r="Z77" s="201">
        <v>35</v>
      </c>
      <c r="AA77" s="201">
        <v>0</v>
      </c>
      <c r="AB77" s="200">
        <v>0</v>
      </c>
      <c r="AC77" s="200">
        <v>0</v>
      </c>
      <c r="AD77" s="200">
        <v>0</v>
      </c>
      <c r="AE77" s="200" t="s">
        <v>442</v>
      </c>
      <c r="AF77" s="495">
        <f ca="1">Table2[[#This Row],[End Date]]+2-TODAY()</f>
        <v>-274</v>
      </c>
      <c r="AG77" s="496">
        <f>IF(ISBLANK(Table2[[#This Row],[Roster Received by]]),1,0)</f>
        <v>0</v>
      </c>
      <c r="AH77" s="496">
        <f ca="1">IF(Table2[[#This Row],[Start Date]]&gt;TODAY(),1,)</f>
        <v>0</v>
      </c>
      <c r="AI77" s="496">
        <f>IF(ISBLANK(Table2[[#This Row],[Primary Instructor]]),0,1)</f>
        <v>1</v>
      </c>
      <c r="AJ77" s="496">
        <f>IF(ISBLANK(Table2[[#This Row],[Instructor 2]]),0,1)</f>
        <v>0</v>
      </c>
      <c r="AK77" s="496" t="e">
        <f>#REF!</f>
        <v>#REF!</v>
      </c>
      <c r="AL77" s="318">
        <v>994</v>
      </c>
      <c r="AM77" s="496">
        <v>1</v>
      </c>
      <c r="AN77" s="496" t="str">
        <f>VLOOKUP(Table2[[#This Row],[Course Title]],'TSD-Data'!$A$1:$G$83,7,FALSE)</f>
        <v>N8-RMI</v>
      </c>
      <c r="AO77" s="500">
        <f>Table2[[#This Row],[Quotas]]-Table2[[#This Row],[Graduates]]-Table2[[#This Row],[Fail]]</f>
        <v>965</v>
      </c>
    </row>
    <row r="78" spans="2:41" s="202" customFormat="1" ht="15" customHeight="1" x14ac:dyDescent="0.25">
      <c r="B78" s="530"/>
      <c r="C78" s="552" t="s">
        <v>412</v>
      </c>
      <c r="D78" s="200" t="str">
        <f>VLOOKUP(Table2[[#This Row],[Course Title]],'TSD-Data'!$A$1:$E$83,2,FALSE)</f>
        <v>A-493-3009</v>
      </c>
      <c r="E78" s="200" t="str">
        <f>VLOOKUP(Table2[[#This Row],[Course Title]],'TSD-Data'!$A$1:$E$83,3,FALSE)</f>
        <v>31VB</v>
      </c>
      <c r="F78" s="530" t="s">
        <v>54</v>
      </c>
      <c r="G78" s="531">
        <v>45968</v>
      </c>
      <c r="H78" s="531">
        <v>45968</v>
      </c>
      <c r="I78" s="531" t="s">
        <v>42</v>
      </c>
      <c r="J78" s="532"/>
      <c r="K78" s="532">
        <v>0.52083333333333337</v>
      </c>
      <c r="L78" s="532">
        <v>0.39583333333333331</v>
      </c>
      <c r="M78" s="532">
        <v>0.85416666666666663</v>
      </c>
      <c r="N78" s="532">
        <v>0.77083333333333337</v>
      </c>
      <c r="O78" s="532">
        <v>0.3125</v>
      </c>
      <c r="P78" s="532">
        <v>0.10416666666666667</v>
      </c>
      <c r="Q78" s="535" t="s">
        <v>441</v>
      </c>
      <c r="R78" s="535"/>
      <c r="S78" s="535"/>
      <c r="T78" s="200">
        <f>VLOOKUP(Table2[[#This Row],[Course Title]],'TSD-Data'!$A$1:$E$83,4,FALSE)</f>
        <v>1000</v>
      </c>
      <c r="U78" s="200">
        <f>VLOOKUP(Table2[[#This Row],[Course Title]],'TSD-Data'!$A$1:$F$83,6,FALSE)</f>
        <v>1.5</v>
      </c>
      <c r="V78" s="201">
        <f>VLOOKUP(Table2[[#This Row],[Course Title]],'TSD-Data'!$A$1:$F$83,5,FALSE)</f>
        <v>0.1</v>
      </c>
      <c r="W78" s="201">
        <v>0</v>
      </c>
      <c r="X78" s="200">
        <f>Table2[[#This Row],[Quotas]]-Table2[[#This Row],[Open Quotas]]</f>
        <v>43</v>
      </c>
      <c r="Y78" s="200">
        <v>0</v>
      </c>
      <c r="Z78" s="201">
        <v>35</v>
      </c>
      <c r="AA78" s="201">
        <v>0</v>
      </c>
      <c r="AB78" s="200">
        <v>0</v>
      </c>
      <c r="AC78" s="200">
        <v>0</v>
      </c>
      <c r="AD78" s="200">
        <v>0</v>
      </c>
      <c r="AE78" s="200" t="s">
        <v>442</v>
      </c>
      <c r="AF78" s="495">
        <f ca="1">Table2[[#This Row],[End Date]]+2-TODAY()</f>
        <v>-274</v>
      </c>
      <c r="AG78" s="496">
        <f>IF(ISBLANK(Table2[[#This Row],[Roster Received by]]),1,0)</f>
        <v>0</v>
      </c>
      <c r="AH78" s="496">
        <f ca="1">IF(Table2[[#This Row],[Start Date]]&gt;TODAY(),1,)</f>
        <v>0</v>
      </c>
      <c r="AI78" s="496">
        <f>IF(ISBLANK(Table2[[#This Row],[Primary Instructor]]),0,1)</f>
        <v>1</v>
      </c>
      <c r="AJ78" s="496">
        <f>IF(ISBLANK(Table2[[#This Row],[Instructor 2]]),0,1)</f>
        <v>0</v>
      </c>
      <c r="AK78" s="496" t="e">
        <f>#REF!</f>
        <v>#REF!</v>
      </c>
      <c r="AL78" s="318">
        <v>957</v>
      </c>
      <c r="AM78" s="496">
        <v>1</v>
      </c>
      <c r="AN78" s="496" t="str">
        <f>VLOOKUP(Table2[[#This Row],[Course Title]],'TSD-Data'!$A$1:$G$83,7,FALSE)</f>
        <v>N8-RMI</v>
      </c>
      <c r="AO78" s="500">
        <f>Table2[[#This Row],[Quotas]]-Table2[[#This Row],[Graduates]]-Table2[[#This Row],[Fail]]</f>
        <v>965</v>
      </c>
    </row>
    <row r="79" spans="2:41" s="202" customFormat="1" ht="15" customHeight="1" x14ac:dyDescent="0.25">
      <c r="B79" s="530" t="s">
        <v>219</v>
      </c>
      <c r="C79" s="554" t="s">
        <v>218</v>
      </c>
      <c r="D79" s="200" t="str">
        <f>VLOOKUP(Table2[[#This Row],[Course Title]],'TSD-Data'!$A$1:$E$83,2,FALSE)</f>
        <v>Holiday</v>
      </c>
      <c r="E79" s="200" t="str">
        <f>VLOOKUP(Table2[[#This Row],[Course Title]],'TSD-Data'!$A$1:$E$83,3,FALSE)</f>
        <v>Holiday</v>
      </c>
      <c r="F79" s="542" t="s">
        <v>218</v>
      </c>
      <c r="G79" s="531">
        <v>45972</v>
      </c>
      <c r="H79" s="531">
        <v>45972</v>
      </c>
      <c r="I79" s="531" t="s">
        <v>434</v>
      </c>
      <c r="J79" s="541"/>
      <c r="K79" s="541"/>
      <c r="L79" s="541"/>
      <c r="M79" s="541"/>
      <c r="N79" s="541"/>
      <c r="O79" s="541"/>
      <c r="P79" s="541"/>
      <c r="Q79" s="542" t="s">
        <v>435</v>
      </c>
      <c r="R79" s="542"/>
      <c r="S79" s="542"/>
      <c r="T79" s="200">
        <f>VLOOKUP(Table2[[#This Row],[Course Title]],'TSD-Data'!$A$1:$E$83,4,FALSE)</f>
        <v>0</v>
      </c>
      <c r="U79" s="200">
        <f>VLOOKUP(Table2[[#This Row],[Course Title]],'TSD-Data'!$A$1:$F$83,6,FALSE)</f>
        <v>0</v>
      </c>
      <c r="V79" s="201">
        <f>VLOOKUP(Table2[[#This Row],[Course Title]],'TSD-Data'!$A$1:$F$83,5,FALSE)</f>
        <v>0</v>
      </c>
      <c r="W79" s="543">
        <v>0</v>
      </c>
      <c r="X79" s="200">
        <f>Table2[[#This Row],[Quotas]]-Table2[[#This Row],[Open Quotas]]</f>
        <v>0</v>
      </c>
      <c r="Y79" s="541">
        <v>0</v>
      </c>
      <c r="Z79" s="541">
        <v>0</v>
      </c>
      <c r="AA79" s="541">
        <v>0</v>
      </c>
      <c r="AB79" s="541">
        <v>0</v>
      </c>
      <c r="AC79" s="541">
        <v>0</v>
      </c>
      <c r="AD79" s="541">
        <v>0</v>
      </c>
      <c r="AE79" s="541" t="s">
        <v>436</v>
      </c>
      <c r="AF79" s="495">
        <f ca="1">Table2[[#This Row],[End Date]]+2-TODAY()</f>
        <v>-270</v>
      </c>
      <c r="AG79" s="496">
        <f>IF(ISBLANK(Table2[[#This Row],[Roster Received by]]),1,0)</f>
        <v>0</v>
      </c>
      <c r="AH79" s="496">
        <f ca="1">IF(Table2[[#This Row],[Start Date]]&gt;TODAY(),1,)</f>
        <v>0</v>
      </c>
      <c r="AI79" s="496">
        <f>IF(ISBLANK(Table2[[#This Row],[Primary Instructor]]),0,1)</f>
        <v>1</v>
      </c>
      <c r="AJ79" s="496">
        <f>IF(ISBLANK(Table2[[#This Row],[Instructor 2]]),0,1)</f>
        <v>0</v>
      </c>
      <c r="AK79" s="496">
        <f>Table2[[#This Row],[Course Length (Hours)]]/(Table2[[#This Row],[1 Instructor]]+Table2[[#This Row],[2 Instructors]])</f>
        <v>0</v>
      </c>
      <c r="AL79" s="320">
        <v>0</v>
      </c>
      <c r="AM79" s="496">
        <v>1</v>
      </c>
      <c r="AN79" s="496" t="str">
        <f>VLOOKUP(Table2[[#This Row],[Course Title]],'TSD-Data'!$A$1:$G$83,7,FALSE)</f>
        <v>TSD</v>
      </c>
      <c r="AO79" s="500">
        <f>Table2[[#This Row],[Quotas]]-Table2[[#This Row],[Graduates]]-Table2[[#This Row],[Fail]]</f>
        <v>0</v>
      </c>
    </row>
    <row r="80" spans="2:41" ht="30" customHeight="1" x14ac:dyDescent="0.25">
      <c r="B80" s="530"/>
      <c r="C80" s="554" t="s">
        <v>249</v>
      </c>
      <c r="D80" s="200" t="str">
        <f>VLOOKUP(Table2[[#This Row],[Course Title]],'TSD-Data'!$A$1:$E$83,2,FALSE)</f>
        <v>A-493-0331</v>
      </c>
      <c r="E80" s="200" t="str">
        <f>VLOOKUP(Table2[[#This Row],[Course Title]],'TSD-Data'!$A$1:$E$83,3,FALSE)</f>
        <v>10UG</v>
      </c>
      <c r="F80" s="530" t="s">
        <v>54</v>
      </c>
      <c r="G80" s="531">
        <v>45973</v>
      </c>
      <c r="H80" s="531">
        <v>45975</v>
      </c>
      <c r="I80" s="531" t="s">
        <v>42</v>
      </c>
      <c r="J80" s="532"/>
      <c r="K80" s="536">
        <v>0.5</v>
      </c>
      <c r="L80" s="536">
        <v>0.375</v>
      </c>
      <c r="M80" s="536">
        <v>0.83333333333333337</v>
      </c>
      <c r="N80" s="536">
        <v>0.75</v>
      </c>
      <c r="O80" s="536">
        <v>0.29166666666666669</v>
      </c>
      <c r="P80" s="536">
        <v>8.3333333333333329E-2</v>
      </c>
      <c r="Q80" s="535" t="s">
        <v>437</v>
      </c>
      <c r="R80" s="535"/>
      <c r="S80" s="535"/>
      <c r="T80" s="200">
        <f>VLOOKUP(Table2[[#This Row],[Course Title]],'TSD-Data'!$A$1:$E$83,4,FALSE)</f>
        <v>45</v>
      </c>
      <c r="U80" s="200">
        <f>VLOOKUP(Table2[[#This Row],[Course Title]],'TSD-Data'!$A$1:$F$83,6,FALSE)</f>
        <v>24</v>
      </c>
      <c r="V80" s="201">
        <f>VLOOKUP(Table2[[#This Row],[Course Title]],'TSD-Data'!$A$1:$F$83,5,FALSE)</f>
        <v>3</v>
      </c>
      <c r="W80" s="201">
        <v>844</v>
      </c>
      <c r="X80" s="200">
        <f>Table2[[#This Row],[Quotas]]-Table2[[#This Row],[Open Quotas]]</f>
        <v>44</v>
      </c>
      <c r="Y80" s="200">
        <v>5</v>
      </c>
      <c r="Z80" s="201">
        <v>39</v>
      </c>
      <c r="AA80" s="201">
        <v>3</v>
      </c>
      <c r="AB80" s="200">
        <v>0</v>
      </c>
      <c r="AC80" s="200">
        <v>0</v>
      </c>
      <c r="AD80" s="200">
        <v>0</v>
      </c>
      <c r="AE80" s="200" t="s">
        <v>429</v>
      </c>
      <c r="AF80" s="495">
        <f ca="1">Table2[[#This Row],[End Date]]+2-TODAY()</f>
        <v>-267</v>
      </c>
      <c r="AG80" s="496">
        <f>IF(ISBLANK(Table2[[#This Row],[Roster Received by]]),1,0)</f>
        <v>0</v>
      </c>
      <c r="AH80" s="496">
        <f ca="1">IF(Table2[[#This Row],[Start Date]]&gt;TODAY(),1,)</f>
        <v>0</v>
      </c>
      <c r="AI80" s="496">
        <f>IF(ISBLANK(Table2[[#This Row],[Primary Instructor]]),0,1)</f>
        <v>1</v>
      </c>
      <c r="AJ80" s="496">
        <f>IF(ISBLANK(Table2[[#This Row],[Instructor 2]]),0,1)</f>
        <v>0</v>
      </c>
      <c r="AK80" s="496">
        <f>Table2[[#This Row],[Course Length (Hours)]]/(Table2[[#This Row],[1 Instructor]]+Table2[[#This Row],[2 Instructors]])</f>
        <v>24</v>
      </c>
      <c r="AL80" s="318">
        <v>1</v>
      </c>
      <c r="AM80" s="496">
        <v>1</v>
      </c>
      <c r="AN80" s="496" t="str">
        <f>VLOOKUP(Table2[[#This Row],[Course Title]],'TSD-Data'!$A$1:$G$83,7,FALSE)</f>
        <v>N3</v>
      </c>
      <c r="AO80" s="500">
        <f>Table2[[#This Row],[Quotas]]-Table2[[#This Row],[Graduates]]-Table2[[#This Row],[Fail]]</f>
        <v>3</v>
      </c>
    </row>
    <row r="81" spans="2:41" s="202" customFormat="1" ht="15" customHeight="1" x14ac:dyDescent="0.25">
      <c r="B81" s="530"/>
      <c r="C81" s="552" t="s">
        <v>200</v>
      </c>
      <c r="D81" s="200" t="str">
        <f>VLOOKUP(Table2[[#This Row],[Course Title]],'TSD-Data'!$A$1:$E$83,2,FALSE)</f>
        <v>A-493-0665</v>
      </c>
      <c r="E81" s="200" t="str">
        <f>VLOOKUP(Table2[[#This Row],[Course Title]],'TSD-Data'!$A$1:$E$83,3,FALSE)</f>
        <v>10KW</v>
      </c>
      <c r="F81" s="530" t="s">
        <v>54</v>
      </c>
      <c r="G81" s="531">
        <v>45978</v>
      </c>
      <c r="H81" s="531">
        <v>45980</v>
      </c>
      <c r="I81" s="531" t="s">
        <v>42</v>
      </c>
      <c r="J81" s="532"/>
      <c r="K81" s="532">
        <v>0.79166666666666663</v>
      </c>
      <c r="L81" s="536">
        <v>0.66666666666666663</v>
      </c>
      <c r="M81" s="536">
        <v>0.125</v>
      </c>
      <c r="N81" s="536">
        <v>4.1666666666666664E-2</v>
      </c>
      <c r="O81" s="536">
        <v>0.58333333333333337</v>
      </c>
      <c r="P81" s="536">
        <v>0.375</v>
      </c>
      <c r="Q81" s="535" t="s">
        <v>79</v>
      </c>
      <c r="R81" s="535"/>
      <c r="S81" s="535"/>
      <c r="T81" s="200">
        <f>VLOOKUP(Table2[[#This Row],[Course Title]],'TSD-Data'!$A$1:$E$83,4,FALSE)</f>
        <v>45</v>
      </c>
      <c r="U81" s="200">
        <f>VLOOKUP(Table2[[#This Row],[Course Title]],'TSD-Data'!$A$1:$F$83,6,FALSE)</f>
        <v>24</v>
      </c>
      <c r="V81" s="201">
        <f>VLOOKUP(Table2[[#This Row],[Course Title]],'TSD-Data'!$A$1:$F$83,5,FALSE)</f>
        <v>3</v>
      </c>
      <c r="W81" s="201">
        <v>82</v>
      </c>
      <c r="X81" s="200">
        <f>Table2[[#This Row],[Quotas]]-Table2[[#This Row],[Open Quotas]]</f>
        <v>20</v>
      </c>
      <c r="Y81" s="200">
        <v>0</v>
      </c>
      <c r="Z81" s="201">
        <v>20</v>
      </c>
      <c r="AA81" s="201">
        <v>0</v>
      </c>
      <c r="AB81" s="200">
        <v>1</v>
      </c>
      <c r="AC81" s="200">
        <v>0</v>
      </c>
      <c r="AD81" s="200">
        <v>0</v>
      </c>
      <c r="AE81" s="200" t="s">
        <v>442</v>
      </c>
      <c r="AF81" s="495">
        <f ca="1">Table2[[#This Row],[End Date]]+2-TODAY()</f>
        <v>-262</v>
      </c>
      <c r="AG81" s="496">
        <f>IF(ISBLANK(Table2[[#This Row],[Roster Received by]]),1,0)</f>
        <v>0</v>
      </c>
      <c r="AH81" s="496">
        <f ca="1">IF(Table2[[#This Row],[Start Date]]&gt;TODAY(),1,)</f>
        <v>0</v>
      </c>
      <c r="AI81" s="496">
        <f>IF(ISBLANK(Table2[[#This Row],[Primary Instructor]]),0,1)</f>
        <v>1</v>
      </c>
      <c r="AJ81" s="496">
        <f>IF(ISBLANK(Table2[[#This Row],[Instructor 2]]),0,1)</f>
        <v>0</v>
      </c>
      <c r="AK81" s="496">
        <f>Table2[[#This Row],[Course Length (Hours)]]/(Table2[[#This Row],[1 Instructor]]+Table2[[#This Row],[2 Instructors]])</f>
        <v>24</v>
      </c>
      <c r="AL81" s="318">
        <v>25</v>
      </c>
      <c r="AM81" s="496">
        <v>1</v>
      </c>
      <c r="AN81" s="496" t="str">
        <f>VLOOKUP(Table2[[#This Row],[Course Title]],'TSD-Data'!$A$1:$G$83,7,FALSE)</f>
        <v>N8</v>
      </c>
      <c r="AO81" s="500">
        <f>Table2[[#This Row],[Quotas]]-Table2[[#This Row],[Graduates]]-Table2[[#This Row],[Fail]]</f>
        <v>25</v>
      </c>
    </row>
    <row r="82" spans="2:41" s="202" customFormat="1" ht="15" customHeight="1" x14ac:dyDescent="0.25">
      <c r="B82" s="530"/>
      <c r="C82" s="552" t="s">
        <v>271</v>
      </c>
      <c r="D82" s="200" t="str">
        <f>VLOOKUP(Table2[[#This Row],[Course Title]],'TSD-Data'!$A$1:$E$83,2,FALSE)</f>
        <v>A-493-0061</v>
      </c>
      <c r="E82" s="200" t="str">
        <f>VLOOKUP(Table2[[#This Row],[Course Title]],'TSD-Data'!$A$1:$E$83,3,FALSE)</f>
        <v>288E</v>
      </c>
      <c r="F82" s="530" t="s">
        <v>54</v>
      </c>
      <c r="G82" s="531">
        <v>45978</v>
      </c>
      <c r="H82" s="531">
        <v>45981</v>
      </c>
      <c r="I82" s="531" t="s">
        <v>42</v>
      </c>
      <c r="J82" s="532"/>
      <c r="K82" s="532">
        <v>0.33333333333333331</v>
      </c>
      <c r="L82" s="532">
        <v>0.20833333333333334</v>
      </c>
      <c r="M82" s="541">
        <v>1600</v>
      </c>
      <c r="N82" s="541">
        <v>1400</v>
      </c>
      <c r="O82" s="532">
        <v>0.125</v>
      </c>
      <c r="P82" s="541">
        <v>2200</v>
      </c>
      <c r="Q82" s="535" t="s">
        <v>148</v>
      </c>
      <c r="R82" s="535"/>
      <c r="S82" s="535"/>
      <c r="T82" s="200">
        <f>VLOOKUP(Table2[[#This Row],[Course Title]],'TSD-Data'!$A$1:$E$83,4,FALSE)</f>
        <v>45</v>
      </c>
      <c r="U82" s="200">
        <f>VLOOKUP(Table2[[#This Row],[Course Title]],'TSD-Data'!$A$1:$F$83,6,FALSE)</f>
        <v>30</v>
      </c>
      <c r="V82" s="201">
        <f>VLOOKUP(Table2[[#This Row],[Course Title]],'TSD-Data'!$A$1:$F$83,5,FALSE)</f>
        <v>4</v>
      </c>
      <c r="W82" s="201">
        <v>366</v>
      </c>
      <c r="X82" s="200">
        <f>Table2[[#This Row],[Quotas]]-Table2[[#This Row],[Open Quotas]]</f>
        <v>12</v>
      </c>
      <c r="Y82" s="200">
        <v>0</v>
      </c>
      <c r="Z82" s="201">
        <v>12</v>
      </c>
      <c r="AA82" s="201">
        <v>0</v>
      </c>
      <c r="AB82" s="200">
        <v>1</v>
      </c>
      <c r="AC82" s="200">
        <v>0</v>
      </c>
      <c r="AD82" s="200">
        <v>0</v>
      </c>
      <c r="AE82" s="200" t="s">
        <v>431</v>
      </c>
      <c r="AF82" s="495">
        <f ca="1">Table2[[#This Row],[End Date]]+2-TODAY()</f>
        <v>-261</v>
      </c>
      <c r="AG82" s="496">
        <f>IF(ISBLANK(Table2[[#This Row],[Roster Received by]]),1,0)</f>
        <v>0</v>
      </c>
      <c r="AH82" s="496">
        <f ca="1">IF(Table2[[#This Row],[Start Date]]&gt;TODAY(),1,)</f>
        <v>0</v>
      </c>
      <c r="AI82" s="496">
        <f>IF(ISBLANK(Table2[[#This Row],[Primary Instructor]]),0,1)</f>
        <v>1</v>
      </c>
      <c r="AJ82" s="496">
        <f>IF(ISBLANK(Table2[[#This Row],[Instructor 2]]),0,1)</f>
        <v>0</v>
      </c>
      <c r="AK82" s="496">
        <f>Table2[[#This Row],[Course Length (Hours)]]/(Table2[[#This Row],[1 Instructor]]+Table2[[#This Row],[2 Instructors]])</f>
        <v>30</v>
      </c>
      <c r="AL82" s="318">
        <v>33</v>
      </c>
      <c r="AM82" s="496">
        <v>1</v>
      </c>
      <c r="AN82" s="496" t="str">
        <f>VLOOKUP(Table2[[#This Row],[Course Title]],'TSD-Data'!$A$1:$G$83,7,FALSE)</f>
        <v>N5</v>
      </c>
      <c r="AO82" s="500">
        <f>Table2[[#This Row],[Quotas]]-Table2[[#This Row],[Graduates]]-Table2[[#This Row],[Fail]]</f>
        <v>33</v>
      </c>
    </row>
    <row r="83" spans="2:41" s="202" customFormat="1" ht="15" customHeight="1" x14ac:dyDescent="0.25">
      <c r="B83" s="155"/>
      <c r="C83" s="555" t="s">
        <v>49</v>
      </c>
      <c r="D83" s="200" t="str">
        <f>VLOOKUP(Table2[[#This Row],[Course Title]],'TSD-Data'!$A$1:$E$83,2,FALSE)</f>
        <v>A-493-0012</v>
      </c>
      <c r="E83" s="200">
        <f>VLOOKUP(Table2[[#This Row],[Course Title]],'TSD-Data'!$A$1:$E$83,3,FALSE)</f>
        <v>3682</v>
      </c>
      <c r="F83" s="321" t="s">
        <v>301</v>
      </c>
      <c r="G83" s="531">
        <v>45978</v>
      </c>
      <c r="H83" s="531">
        <v>45982</v>
      </c>
      <c r="I83" s="531" t="s">
        <v>42</v>
      </c>
      <c r="J83" s="532">
        <v>0.33333333333333331</v>
      </c>
      <c r="K83" s="532"/>
      <c r="L83" s="531"/>
      <c r="M83" s="531"/>
      <c r="N83" s="531"/>
      <c r="O83" s="531"/>
      <c r="P83" s="531"/>
      <c r="Q83" s="535" t="s">
        <v>104</v>
      </c>
      <c r="R83" s="535"/>
      <c r="S83" s="535"/>
      <c r="T83" s="200">
        <f>VLOOKUP(Table2[[#This Row],[Course Title]],'TSD-Data'!$A$1:$E$83,4,FALSE)</f>
        <v>40</v>
      </c>
      <c r="U83" s="200">
        <f>VLOOKUP(Table2[[#This Row],[Course Title]],'TSD-Data'!$A$1:$F$83,6,FALSE)</f>
        <v>40</v>
      </c>
      <c r="V83" s="201">
        <f>VLOOKUP(Table2[[#This Row],[Course Title]],'TSD-Data'!$A$1:$F$83,5,FALSE)</f>
        <v>5</v>
      </c>
      <c r="W83" s="200">
        <v>30</v>
      </c>
      <c r="X83" s="200">
        <f>Table2[[#This Row],[Quotas]]-Table2[[#This Row],[Open Quotas]]</f>
        <v>30</v>
      </c>
      <c r="Y83" s="200">
        <v>0</v>
      </c>
      <c r="Z83" s="201">
        <v>33</v>
      </c>
      <c r="AA83" s="201">
        <v>0</v>
      </c>
      <c r="AB83" s="200">
        <v>1</v>
      </c>
      <c r="AC83" s="200">
        <v>2</v>
      </c>
      <c r="AD83" s="200">
        <v>0</v>
      </c>
      <c r="AE83" s="200" t="s">
        <v>440</v>
      </c>
      <c r="AF83" s="495">
        <f ca="1">Table2[[#This Row],[End Date]]+2-TODAY()</f>
        <v>-260</v>
      </c>
      <c r="AG83" s="496">
        <f>IF(ISBLANK(Table2[[#This Row],[Roster Received by]]),1,0)</f>
        <v>0</v>
      </c>
      <c r="AH83" s="496">
        <f ca="1">IF(Table2[[#This Row],[Start Date]]&gt;TODAY(),1,)</f>
        <v>0</v>
      </c>
      <c r="AI83" s="496">
        <f>IF(ISBLANK(Table2[[#This Row],[Primary Instructor]]),0,1)</f>
        <v>1</v>
      </c>
      <c r="AJ83" s="496">
        <f>IF(ISBLANK(Table2[[#This Row],[Instructor 2]]),0,1)</f>
        <v>0</v>
      </c>
      <c r="AK83" s="496">
        <f>Table2[[#This Row],[Course Length (Hours)]]/(Table2[[#This Row],[1 Instructor]]+Table2[[#This Row],[2 Instructors]])</f>
        <v>40</v>
      </c>
      <c r="AL83" s="318">
        <v>10</v>
      </c>
      <c r="AM83" s="496">
        <v>1</v>
      </c>
      <c r="AN83" s="496" t="str">
        <f>VLOOKUP(Table2[[#This Row],[Course Title]],'TSD-Data'!$A$1:$G$83,7,FALSE)</f>
        <v>N4</v>
      </c>
      <c r="AO83" s="500">
        <f>Table2[[#This Row],[Quotas]]-Table2[[#This Row],[Graduates]]-Table2[[#This Row],[Fail]]</f>
        <v>7</v>
      </c>
    </row>
    <row r="84" spans="2:41" s="202" customFormat="1" ht="15" customHeight="1" x14ac:dyDescent="0.25">
      <c r="B84" s="155" t="s">
        <v>446</v>
      </c>
      <c r="C84" s="555" t="s">
        <v>49</v>
      </c>
      <c r="D84" s="200" t="str">
        <f>VLOOKUP(Table2[[#This Row],[Course Title]],'TSD-Data'!$A$1:$E$83,2,FALSE)</f>
        <v>A-493-0012</v>
      </c>
      <c r="E84" s="200">
        <f>VLOOKUP(Table2[[#This Row],[Course Title]],'TSD-Data'!$A$1:$E$83,3,FALSE)</f>
        <v>3682</v>
      </c>
      <c r="F84" s="321" t="s">
        <v>101</v>
      </c>
      <c r="G84" s="531">
        <v>45978</v>
      </c>
      <c r="H84" s="531">
        <v>45982</v>
      </c>
      <c r="I84" s="531" t="s">
        <v>42</v>
      </c>
      <c r="J84" s="532">
        <v>0.33333333333333331</v>
      </c>
      <c r="K84" s="532"/>
      <c r="L84" s="551"/>
      <c r="M84" s="531"/>
      <c r="N84" s="531"/>
      <c r="O84" s="531"/>
      <c r="P84" s="531"/>
      <c r="Q84" s="535" t="s">
        <v>439</v>
      </c>
      <c r="R84" s="535"/>
      <c r="S84" s="535"/>
      <c r="T84" s="200">
        <f>VLOOKUP(Table2[[#This Row],[Course Title]],'TSD-Data'!$A$1:$E$83,4,FALSE)</f>
        <v>40</v>
      </c>
      <c r="U84" s="200">
        <f>VLOOKUP(Table2[[#This Row],[Course Title]],'TSD-Data'!$A$1:$F$83,6,FALSE)</f>
        <v>40</v>
      </c>
      <c r="V84" s="201">
        <f>VLOOKUP(Table2[[#This Row],[Course Title]],'TSD-Data'!$A$1:$F$83,5,FALSE)</f>
        <v>5</v>
      </c>
      <c r="W84" s="200">
        <v>63</v>
      </c>
      <c r="X84" s="200">
        <f>Table2[[#This Row],[Quotas]]-Table2[[#This Row],[Open Quotas]]</f>
        <v>37</v>
      </c>
      <c r="Y84" s="200">
        <v>0</v>
      </c>
      <c r="Z84" s="201">
        <v>36</v>
      </c>
      <c r="AA84" s="201">
        <v>0</v>
      </c>
      <c r="AB84" s="200">
        <v>7</v>
      </c>
      <c r="AC84" s="200">
        <v>6</v>
      </c>
      <c r="AD84" s="200">
        <v>0</v>
      </c>
      <c r="AE84" s="200" t="s">
        <v>440</v>
      </c>
      <c r="AF84" s="495">
        <f ca="1">Table2[[#This Row],[End Date]]+2-TODAY()</f>
        <v>-260</v>
      </c>
      <c r="AG84" s="496">
        <f>IF(ISBLANK(Table2[[#This Row],[Roster Received by]]),1,0)</f>
        <v>0</v>
      </c>
      <c r="AH84" s="496">
        <f ca="1">IF(Table2[[#This Row],[Start Date]]&gt;TODAY(),1,)</f>
        <v>0</v>
      </c>
      <c r="AI84" s="496">
        <f>IF(ISBLANK(Table2[[#This Row],[Primary Instructor]]),0,1)</f>
        <v>1</v>
      </c>
      <c r="AJ84" s="496">
        <f>IF(ISBLANK(Table2[[#This Row],[Instructor 2]]),0,1)</f>
        <v>0</v>
      </c>
      <c r="AK84" s="496">
        <f>Table2[[#This Row],[Course Length (Hours)]]/(Table2[[#This Row],[1 Instructor]]+Table2[[#This Row],[2 Instructors]])</f>
        <v>40</v>
      </c>
      <c r="AL84" s="318">
        <v>3</v>
      </c>
      <c r="AM84" s="496">
        <v>1</v>
      </c>
      <c r="AN84" s="496" t="str">
        <f>VLOOKUP(Table2[[#This Row],[Course Title]],'TSD-Data'!$A$1:$G$83,7,FALSE)</f>
        <v>N4</v>
      </c>
      <c r="AO84" s="500">
        <f>Table2[[#This Row],[Quotas]]-Table2[[#This Row],[Graduates]]-Table2[[#This Row],[Fail]]</f>
        <v>4</v>
      </c>
    </row>
    <row r="85" spans="2:41" s="202" customFormat="1" ht="15" customHeight="1" x14ac:dyDescent="0.25">
      <c r="B85" s="530"/>
      <c r="C85" s="552" t="s">
        <v>213</v>
      </c>
      <c r="D85" s="200" t="str">
        <f>VLOOKUP(Table2[[#This Row],[Course Title]],'TSD-Data'!$A$1:$E$83,2,FALSE)</f>
        <v>A-322-2604</v>
      </c>
      <c r="E85" s="200" t="str">
        <f>VLOOKUP(Table2[[#This Row],[Course Title]],'TSD-Data'!$A$1:$E$83,3,FALSE)</f>
        <v>10ZZ</v>
      </c>
      <c r="F85" s="530" t="s">
        <v>54</v>
      </c>
      <c r="G85" s="531">
        <v>45978</v>
      </c>
      <c r="H85" s="531">
        <v>45980</v>
      </c>
      <c r="I85" s="531" t="s">
        <v>42</v>
      </c>
      <c r="J85" s="532"/>
      <c r="K85" s="536">
        <v>0.5</v>
      </c>
      <c r="L85" s="536">
        <v>0.375</v>
      </c>
      <c r="M85" s="536">
        <v>0.83333333333333337</v>
      </c>
      <c r="N85" s="536">
        <v>0.75</v>
      </c>
      <c r="O85" s="536">
        <v>0.29166666666666669</v>
      </c>
      <c r="P85" s="536">
        <v>8.3333333333333329E-2</v>
      </c>
      <c r="Q85" s="535" t="s">
        <v>432</v>
      </c>
      <c r="R85" s="535"/>
      <c r="S85" s="535"/>
      <c r="T85" s="200">
        <f>VLOOKUP(Table2[[#This Row],[Course Title]],'TSD-Data'!$A$1:$E$83,4,FALSE)</f>
        <v>45</v>
      </c>
      <c r="U85" s="200">
        <f>VLOOKUP(Table2[[#This Row],[Course Title]],'TSD-Data'!$A$1:$F$83,6,FALSE)</f>
        <v>24</v>
      </c>
      <c r="V85" s="201">
        <f>VLOOKUP(Table2[[#This Row],[Course Title]],'TSD-Data'!$A$1:$F$83,5,FALSE)</f>
        <v>3</v>
      </c>
      <c r="W85" s="201">
        <v>621</v>
      </c>
      <c r="X85" s="200">
        <f>Table2[[#This Row],[Quotas]]-Table2[[#This Row],[Open Quotas]]</f>
        <v>42</v>
      </c>
      <c r="Y85" s="200">
        <v>0</v>
      </c>
      <c r="Z85" s="201">
        <v>35</v>
      </c>
      <c r="AA85" s="201">
        <v>0</v>
      </c>
      <c r="AB85" s="200">
        <v>8</v>
      </c>
      <c r="AC85" s="200">
        <v>0</v>
      </c>
      <c r="AD85" s="200">
        <v>0</v>
      </c>
      <c r="AE85" s="200" t="s">
        <v>431</v>
      </c>
      <c r="AF85" s="495">
        <f ca="1">Table2[[#This Row],[End Date]]+2-TODAY()</f>
        <v>-262</v>
      </c>
      <c r="AG85" s="496">
        <f>IF(ISBLANK(Table2[[#This Row],[Roster Received by]]),1,0)</f>
        <v>0</v>
      </c>
      <c r="AH85" s="496">
        <f ca="1">IF(Table2[[#This Row],[Start Date]]&gt;TODAY(),1,)</f>
        <v>0</v>
      </c>
      <c r="AI85" s="496">
        <f>IF(ISBLANK(Table2[[#This Row],[Primary Instructor]]),0,1)</f>
        <v>1</v>
      </c>
      <c r="AJ85" s="496">
        <f>IF(ISBLANK(Table2[[#This Row],[Instructor 2]]),0,1)</f>
        <v>0</v>
      </c>
      <c r="AK85" s="496">
        <f>Table2[[#This Row],[Course Length (Hours)]]/(Table2[[#This Row],[1 Instructor]]+Table2[[#This Row],[2 Instructors]])</f>
        <v>24</v>
      </c>
      <c r="AL85" s="318">
        <v>3</v>
      </c>
      <c r="AM85" s="496">
        <v>1</v>
      </c>
      <c r="AN85" s="496" t="str">
        <f>VLOOKUP(Table2[[#This Row],[Course Title]],'TSD-Data'!$A$1:$G$83,7,FALSE)</f>
        <v>N8</v>
      </c>
      <c r="AO85" s="500">
        <f>Table2[[#This Row],[Quotas]]-Table2[[#This Row],[Graduates]]-Table2[[#This Row],[Fail]]</f>
        <v>10</v>
      </c>
    </row>
    <row r="86" spans="2:41" s="202" customFormat="1" ht="30" customHeight="1" x14ac:dyDescent="0.25">
      <c r="B86" s="530"/>
      <c r="C86" s="552" t="s">
        <v>252</v>
      </c>
      <c r="D86" s="200" t="str">
        <f>VLOOKUP(Table2[[#This Row],[Course Title]],'TSD-Data'!$A$1:$E$83,2,FALSE)</f>
        <v>A-493-0335</v>
      </c>
      <c r="E86" s="200" t="str">
        <f>VLOOKUP(Table2[[#This Row],[Course Title]],'TSD-Data'!$A$1:$E$83,3,FALSE)</f>
        <v>09ND</v>
      </c>
      <c r="F86" s="530" t="s">
        <v>54</v>
      </c>
      <c r="G86" s="531">
        <v>45978</v>
      </c>
      <c r="H86" s="531">
        <v>45981</v>
      </c>
      <c r="I86" s="531" t="s">
        <v>42</v>
      </c>
      <c r="J86" s="532"/>
      <c r="K86" s="532">
        <v>0.79166666666666663</v>
      </c>
      <c r="L86" s="536">
        <v>0.66666666666666663</v>
      </c>
      <c r="M86" s="536">
        <v>0.125</v>
      </c>
      <c r="N86" s="536">
        <v>4.1666666666666664E-2</v>
      </c>
      <c r="O86" s="536">
        <v>0.58333333333333337</v>
      </c>
      <c r="P86" s="536">
        <v>0.375</v>
      </c>
      <c r="Q86" s="535" t="s">
        <v>67</v>
      </c>
      <c r="R86" s="535"/>
      <c r="S86" s="535"/>
      <c r="T86" s="200">
        <f>VLOOKUP(Table2[[#This Row],[Course Title]],'TSD-Data'!$A$1:$E$83,4,FALSE)</f>
        <v>45</v>
      </c>
      <c r="U86" s="200">
        <f>VLOOKUP(Table2[[#This Row],[Course Title]],'TSD-Data'!$A$1:$F$83,6,FALSE)</f>
        <v>32</v>
      </c>
      <c r="V86" s="201">
        <f>VLOOKUP(Table2[[#This Row],[Course Title]],'TSD-Data'!$A$1:$F$83,5,FALSE)</f>
        <v>4</v>
      </c>
      <c r="W86" s="201">
        <v>119</v>
      </c>
      <c r="X86" s="200">
        <f>Table2[[#This Row],[Quotas]]-Table2[[#This Row],[Open Quotas]]</f>
        <v>9</v>
      </c>
      <c r="Y86" s="200">
        <v>0</v>
      </c>
      <c r="Z86" s="201">
        <v>10</v>
      </c>
      <c r="AA86" s="201">
        <v>0</v>
      </c>
      <c r="AB86" s="200">
        <v>1</v>
      </c>
      <c r="AC86" s="200">
        <v>1</v>
      </c>
      <c r="AD86" s="200">
        <v>0</v>
      </c>
      <c r="AE86" s="200" t="s">
        <v>429</v>
      </c>
      <c r="AF86" s="495">
        <f ca="1">Table2[[#This Row],[End Date]]+2-TODAY()</f>
        <v>-261</v>
      </c>
      <c r="AG86" s="496">
        <f>IF(ISBLANK(Table2[[#This Row],[Roster Received by]]),1,0)</f>
        <v>0</v>
      </c>
      <c r="AH86" s="496">
        <f ca="1">IF(Table2[[#This Row],[Start Date]]&gt;TODAY(),1,)</f>
        <v>0</v>
      </c>
      <c r="AI86" s="496">
        <f>IF(ISBLANK(Table2[[#This Row],[Primary Instructor]]),0,1)</f>
        <v>1</v>
      </c>
      <c r="AJ86" s="496">
        <f>IF(ISBLANK(Table2[[#This Row],[Instructor 2]]),0,1)</f>
        <v>0</v>
      </c>
      <c r="AK86" s="496">
        <f>Table2[[#This Row],[Course Length (Hours)]]/(Table2[[#This Row],[1 Instructor]]+Table2[[#This Row],[2 Instructors]])</f>
        <v>32</v>
      </c>
      <c r="AL86" s="318">
        <v>36</v>
      </c>
      <c r="AM86" s="496">
        <v>1</v>
      </c>
      <c r="AN86" s="496" t="str">
        <f>VLOOKUP(Table2[[#This Row],[Course Title]],'TSD-Data'!$A$1:$G$83,7,FALSE)</f>
        <v>N3</v>
      </c>
      <c r="AO86" s="500">
        <f>Table2[[#This Row],[Quotas]]-Table2[[#This Row],[Graduates]]-Table2[[#This Row],[Fail]]</f>
        <v>35</v>
      </c>
    </row>
    <row r="87" spans="2:41" s="202" customFormat="1" ht="15" customHeight="1" x14ac:dyDescent="0.25">
      <c r="B87" s="530"/>
      <c r="C87" s="552" t="s">
        <v>56</v>
      </c>
      <c r="D87" s="200" t="str">
        <f>VLOOKUP(Table2[[#This Row],[Course Title]],'TSD-Data'!$A$1:$E$83,2,FALSE)</f>
        <v>A-493-0550</v>
      </c>
      <c r="E87" s="200" t="str">
        <f>VLOOKUP(Table2[[#This Row],[Course Title]],'TSD-Data'!$A$1:$E$83,3,FALSE)</f>
        <v>09K5</v>
      </c>
      <c r="F87" s="530" t="s">
        <v>54</v>
      </c>
      <c r="G87" s="531">
        <v>45978</v>
      </c>
      <c r="H87" s="531">
        <v>45981</v>
      </c>
      <c r="I87" s="531" t="s">
        <v>42</v>
      </c>
      <c r="J87" s="532"/>
      <c r="K87" s="536">
        <v>0.5</v>
      </c>
      <c r="L87" s="546">
        <v>0.375</v>
      </c>
      <c r="M87" s="536">
        <v>0.83333333333333337</v>
      </c>
      <c r="N87" s="536">
        <v>0.75</v>
      </c>
      <c r="O87" s="536">
        <v>0.29166666666666669</v>
      </c>
      <c r="P87" s="536">
        <v>8.3333333333333329E-2</v>
      </c>
      <c r="Q87" s="535" t="s">
        <v>427</v>
      </c>
      <c r="R87" s="535"/>
      <c r="S87" s="535"/>
      <c r="T87" s="200">
        <f>VLOOKUP(Table2[[#This Row],[Course Title]],'TSD-Data'!$A$1:$E$83,4,FALSE)</f>
        <v>45</v>
      </c>
      <c r="U87" s="200">
        <f>VLOOKUP(Table2[[#This Row],[Course Title]],'TSD-Data'!$A$1:$F$83,6,FALSE)</f>
        <v>32</v>
      </c>
      <c r="V87" s="201">
        <f>VLOOKUP(Table2[[#This Row],[Course Title]],'TSD-Data'!$A$1:$F$83,5,FALSE)</f>
        <v>4</v>
      </c>
      <c r="W87" s="201">
        <v>864</v>
      </c>
      <c r="X87" s="200">
        <f>Table2[[#This Row],[Quotas]]-Table2[[#This Row],[Open Quotas]]</f>
        <v>45</v>
      </c>
      <c r="Y87" s="200">
        <v>0</v>
      </c>
      <c r="Z87" s="201">
        <v>31</v>
      </c>
      <c r="AA87" s="201">
        <v>0</v>
      </c>
      <c r="AB87" s="200">
        <v>14</v>
      </c>
      <c r="AC87" s="200">
        <v>0</v>
      </c>
      <c r="AD87" s="200">
        <v>0</v>
      </c>
      <c r="AE87" s="200" t="s">
        <v>431</v>
      </c>
      <c r="AF87" s="495">
        <f ca="1">Table2[[#This Row],[End Date]]+2-TODAY()</f>
        <v>-261</v>
      </c>
      <c r="AG87" s="496">
        <f>IF(ISBLANK(Table2[[#This Row],[Roster Received by]]),1,0)</f>
        <v>0</v>
      </c>
      <c r="AH87" s="496">
        <f ca="1">IF(Table2[[#This Row],[Start Date]]&gt;TODAY(),1,)</f>
        <v>0</v>
      </c>
      <c r="AI87" s="496">
        <f>IF(ISBLANK(Table2[[#This Row],[Primary Instructor]]),0,1)</f>
        <v>1</v>
      </c>
      <c r="AJ87" s="496">
        <f>IF(ISBLANK(Table2[[#This Row],[Instructor 2]]),0,1)</f>
        <v>0</v>
      </c>
      <c r="AK87" s="496">
        <f>Table2[[#This Row],[Course Length (Hours)]]/(Table2[[#This Row],[1 Instructor]]+Table2[[#This Row],[2 Instructors]])</f>
        <v>32</v>
      </c>
      <c r="AL87" s="318">
        <v>0</v>
      </c>
      <c r="AM87" s="496">
        <v>1</v>
      </c>
      <c r="AN87" s="496" t="str">
        <f>VLOOKUP(Table2[[#This Row],[Course Title]],'TSD-Data'!$A$1:$G$83,7,FALSE)</f>
        <v>N5</v>
      </c>
      <c r="AO87" s="500">
        <f>Table2[[#This Row],[Quotas]]-Table2[[#This Row],[Graduates]]-Table2[[#This Row],[Fail]]</f>
        <v>14</v>
      </c>
    </row>
    <row r="88" spans="2:41" s="202" customFormat="1" ht="15" customHeight="1" x14ac:dyDescent="0.25">
      <c r="B88" s="530"/>
      <c r="C88" s="552" t="s">
        <v>53</v>
      </c>
      <c r="D88" s="200" t="str">
        <f>VLOOKUP(Table2[[#This Row],[Course Title]],'TSD-Data'!$A$1:$E$83,2,FALSE)</f>
        <v>A-493-0078</v>
      </c>
      <c r="E88" s="200">
        <f>VLOOKUP(Table2[[#This Row],[Course Title]],'TSD-Data'!$A$1:$E$83,3,FALSE)</f>
        <v>1228</v>
      </c>
      <c r="F88" s="530" t="s">
        <v>54</v>
      </c>
      <c r="G88" s="531">
        <v>45978</v>
      </c>
      <c r="H88" s="531">
        <v>45981</v>
      </c>
      <c r="I88" s="531" t="s">
        <v>42</v>
      </c>
      <c r="J88" s="532"/>
      <c r="K88" s="532">
        <v>0.33333333333333331</v>
      </c>
      <c r="L88" s="532">
        <v>0.20833333333333334</v>
      </c>
      <c r="M88" s="541">
        <v>1600</v>
      </c>
      <c r="N88" s="541">
        <v>1400</v>
      </c>
      <c r="O88" s="532">
        <v>0.125</v>
      </c>
      <c r="P88" s="541">
        <v>2200</v>
      </c>
      <c r="Q88" s="535" t="s">
        <v>55</v>
      </c>
      <c r="R88" s="535"/>
      <c r="S88" s="535"/>
      <c r="T88" s="200">
        <f>VLOOKUP(Table2[[#This Row],[Course Title]],'TSD-Data'!$A$1:$E$83,4,FALSE)</f>
        <v>45</v>
      </c>
      <c r="U88" s="200">
        <f>VLOOKUP(Table2[[#This Row],[Course Title]],'TSD-Data'!$A$1:$F$83,6,FALSE)</f>
        <v>32</v>
      </c>
      <c r="V88" s="201">
        <f>VLOOKUP(Table2[[#This Row],[Course Title]],'TSD-Data'!$A$1:$F$83,5,FALSE)</f>
        <v>4</v>
      </c>
      <c r="W88" s="201">
        <v>454</v>
      </c>
      <c r="X88" s="200">
        <f>Table2[[#This Row],[Quotas]]-Table2[[#This Row],[Open Quotas]]</f>
        <v>43</v>
      </c>
      <c r="Y88" s="200">
        <v>0</v>
      </c>
      <c r="Z88" s="201">
        <v>39</v>
      </c>
      <c r="AA88" s="201">
        <v>0</v>
      </c>
      <c r="AB88" s="200">
        <v>7</v>
      </c>
      <c r="AC88" s="200">
        <v>1</v>
      </c>
      <c r="AD88" s="200">
        <v>0</v>
      </c>
      <c r="AE88" s="200" t="s">
        <v>431</v>
      </c>
      <c r="AF88" s="495">
        <f ca="1">Table2[[#This Row],[End Date]]+2-TODAY()</f>
        <v>-261</v>
      </c>
      <c r="AG88" s="496">
        <f>IF(ISBLANK(Table2[[#This Row],[Roster Received by]]),1,0)</f>
        <v>0</v>
      </c>
      <c r="AH88" s="496">
        <f ca="1">IF(Table2[[#This Row],[Start Date]]&gt;TODAY(),1,)</f>
        <v>0</v>
      </c>
      <c r="AI88" s="496">
        <f>IF(ISBLANK(Table2[[#This Row],[Primary Instructor]]),0,1)</f>
        <v>1</v>
      </c>
      <c r="AJ88" s="496">
        <f>IF(ISBLANK(Table2[[#This Row],[Instructor 2]]),0,1)</f>
        <v>0</v>
      </c>
      <c r="AK88" s="496">
        <f>Table2[[#This Row],[Course Length (Hours)]]/(Table2[[#This Row],[1 Instructor]]+Table2[[#This Row],[2 Instructors]])</f>
        <v>32</v>
      </c>
      <c r="AL88" s="318">
        <v>2</v>
      </c>
      <c r="AM88" s="496">
        <v>1</v>
      </c>
      <c r="AN88" s="496" t="str">
        <f>VLOOKUP(Table2[[#This Row],[Course Title]],'TSD-Data'!$A$1:$G$83,7,FALSE)</f>
        <v>N5</v>
      </c>
      <c r="AO88" s="500">
        <f>Table2[[#This Row],[Quotas]]-Table2[[#This Row],[Graduates]]-Table2[[#This Row],[Fail]]</f>
        <v>6</v>
      </c>
    </row>
    <row r="89" spans="2:41" s="202" customFormat="1" ht="15" customHeight="1" x14ac:dyDescent="0.25">
      <c r="B89" s="530"/>
      <c r="C89" s="552" t="s">
        <v>255</v>
      </c>
      <c r="D89" s="200" t="str">
        <f>VLOOKUP(Table2[[#This Row],[Course Title]],'TSD-Data'!$A$1:$E$83,2,FALSE)</f>
        <v>A-493-0085</v>
      </c>
      <c r="E89" s="200">
        <f>VLOOKUP(Table2[[#This Row],[Course Title]],'TSD-Data'!$A$1:$E$83,3,FALSE)</f>
        <v>3555</v>
      </c>
      <c r="F89" s="530" t="s">
        <v>54</v>
      </c>
      <c r="G89" s="531">
        <v>45978</v>
      </c>
      <c r="H89" s="531">
        <v>45981</v>
      </c>
      <c r="I89" s="531" t="s">
        <v>42</v>
      </c>
      <c r="J89" s="532"/>
      <c r="K89" s="536">
        <v>0.5</v>
      </c>
      <c r="L89" s="536">
        <v>0.375</v>
      </c>
      <c r="M89" s="536">
        <v>0.83333333333333337</v>
      </c>
      <c r="N89" s="536">
        <v>0.75</v>
      </c>
      <c r="O89" s="536">
        <v>0.29166666666666669</v>
      </c>
      <c r="P89" s="536">
        <v>8.3333333333333329E-2</v>
      </c>
      <c r="Q89" s="535" t="s">
        <v>67</v>
      </c>
      <c r="R89" s="535"/>
      <c r="S89" s="535"/>
      <c r="T89" s="200">
        <f>VLOOKUP(Table2[[#This Row],[Course Title]],'TSD-Data'!$A$1:$E$83,4,FALSE)</f>
        <v>45</v>
      </c>
      <c r="U89" s="200">
        <f>VLOOKUP(Table2[[#This Row],[Course Title]],'TSD-Data'!$A$1:$F$83,6,FALSE)</f>
        <v>32</v>
      </c>
      <c r="V89" s="201">
        <f>VLOOKUP(Table2[[#This Row],[Course Title]],'TSD-Data'!$A$1:$F$83,5,FALSE)</f>
        <v>4</v>
      </c>
      <c r="W89" s="201">
        <v>688</v>
      </c>
      <c r="X89" s="200">
        <f>Table2[[#This Row],[Quotas]]-Table2[[#This Row],[Open Quotas]]</f>
        <v>25</v>
      </c>
      <c r="Y89" s="200">
        <v>0</v>
      </c>
      <c r="Z89" s="201">
        <v>17</v>
      </c>
      <c r="AA89" s="201">
        <v>1</v>
      </c>
      <c r="AB89" s="200">
        <v>9</v>
      </c>
      <c r="AC89" s="200">
        <v>0</v>
      </c>
      <c r="AD89" s="200">
        <v>0</v>
      </c>
      <c r="AE89" s="200" t="s">
        <v>429</v>
      </c>
      <c r="AF89" s="495">
        <f ca="1">Table2[[#This Row],[End Date]]+2-TODAY()</f>
        <v>-261</v>
      </c>
      <c r="AG89" s="496">
        <f>IF(ISBLANK(Table2[[#This Row],[Roster Received by]]),1,0)</f>
        <v>0</v>
      </c>
      <c r="AH89" s="496">
        <f ca="1">IF(Table2[[#This Row],[Start Date]]&gt;TODAY(),1,)</f>
        <v>0</v>
      </c>
      <c r="AI89" s="496">
        <f>IF(ISBLANK(Table2[[#This Row],[Primary Instructor]]),0,1)</f>
        <v>1</v>
      </c>
      <c r="AJ89" s="496">
        <f>IF(ISBLANK(Table2[[#This Row],[Instructor 2]]),0,1)</f>
        <v>0</v>
      </c>
      <c r="AK89" s="496">
        <f>Table2[[#This Row],[Course Length (Hours)]]/(Table2[[#This Row],[1 Instructor]]+Table2[[#This Row],[2 Instructors]])</f>
        <v>32</v>
      </c>
      <c r="AL89" s="318">
        <v>20</v>
      </c>
      <c r="AM89" s="496">
        <v>1</v>
      </c>
      <c r="AN89" s="496" t="str">
        <f>VLOOKUP(Table2[[#This Row],[Course Title]],'TSD-Data'!$A$1:$G$83,7,FALSE)</f>
        <v>N3</v>
      </c>
      <c r="AO89" s="500">
        <f>Table2[[#This Row],[Quotas]]-Table2[[#This Row],[Graduates]]-Table2[[#This Row],[Fail]]</f>
        <v>27</v>
      </c>
    </row>
    <row r="90" spans="2:41" ht="15" customHeight="1" x14ac:dyDescent="0.25">
      <c r="B90" s="530"/>
      <c r="C90" s="552" t="s">
        <v>229</v>
      </c>
      <c r="D90" s="200" t="str">
        <f>VLOOKUP(Table2[[#This Row],[Course Title]],'TSD-Data'!$A$1:$E$83,2,FALSE)</f>
        <v>A-570-0100</v>
      </c>
      <c r="E90" s="200" t="str">
        <f>VLOOKUP(Table2[[#This Row],[Course Title]],'TSD-Data'!$A$1:$E$83,3,FALSE)</f>
        <v>18B7</v>
      </c>
      <c r="F90" s="530" t="s">
        <v>54</v>
      </c>
      <c r="G90" s="531">
        <v>45978</v>
      </c>
      <c r="H90" s="531">
        <v>45979</v>
      </c>
      <c r="I90" s="531" t="s">
        <v>42</v>
      </c>
      <c r="J90" s="532"/>
      <c r="K90" s="532">
        <v>0.79166666666666663</v>
      </c>
      <c r="L90" s="536">
        <v>0.66666666666666663</v>
      </c>
      <c r="M90" s="536">
        <v>0.125</v>
      </c>
      <c r="N90" s="536">
        <v>4.1666666666666664E-2</v>
      </c>
      <c r="O90" s="536">
        <v>0.58333333333333337</v>
      </c>
      <c r="P90" s="536">
        <v>0.375</v>
      </c>
      <c r="Q90" s="535" t="s">
        <v>433</v>
      </c>
      <c r="R90" s="535"/>
      <c r="S90" s="535"/>
      <c r="T90" s="200">
        <f>VLOOKUP(Table2[[#This Row],[Course Title]],'TSD-Data'!$A$1:$E$83,4,FALSE)</f>
        <v>45</v>
      </c>
      <c r="U90" s="200">
        <f>VLOOKUP(Table2[[#This Row],[Course Title]],'TSD-Data'!$A$1:$F$83,6,FALSE)</f>
        <v>16</v>
      </c>
      <c r="V90" s="201">
        <f>VLOOKUP(Table2[[#This Row],[Course Title]],'TSD-Data'!$A$1:$F$83,5,FALSE)</f>
        <v>2</v>
      </c>
      <c r="W90" s="201">
        <v>126</v>
      </c>
      <c r="X90" s="200">
        <f>Table2[[#This Row],[Quotas]]-Table2[[#This Row],[Open Quotas]]</f>
        <v>22</v>
      </c>
      <c r="Y90" s="200">
        <v>0</v>
      </c>
      <c r="Z90" s="201">
        <v>16</v>
      </c>
      <c r="AA90" s="201">
        <v>0</v>
      </c>
      <c r="AB90" s="200">
        <v>5</v>
      </c>
      <c r="AC90" s="200">
        <v>0</v>
      </c>
      <c r="AD90" s="200">
        <v>0</v>
      </c>
      <c r="AE90" s="200" t="s">
        <v>429</v>
      </c>
      <c r="AF90" s="495">
        <f ca="1">Table2[[#This Row],[End Date]]+2-TODAY()</f>
        <v>-263</v>
      </c>
      <c r="AG90" s="496">
        <f>IF(ISBLANK(Table2[[#This Row],[Roster Received by]]),1,0)</f>
        <v>0</v>
      </c>
      <c r="AH90" s="496">
        <f ca="1">IF(Table2[[#This Row],[Start Date]]&gt;TODAY(),1,)</f>
        <v>0</v>
      </c>
      <c r="AI90" s="496">
        <f>IF(ISBLANK(Table2[[#This Row],[Primary Instructor]]),0,1)</f>
        <v>1</v>
      </c>
      <c r="AJ90" s="496">
        <f>IF(ISBLANK(Table2[[#This Row],[Instructor 2]]),0,1)</f>
        <v>0</v>
      </c>
      <c r="AK90" s="496">
        <f>Table2[[#This Row],[Course Length (Hours)]]/(Table2[[#This Row],[1 Instructor]]+Table2[[#This Row],[2 Instructors]])</f>
        <v>16</v>
      </c>
      <c r="AL90" s="318">
        <v>23</v>
      </c>
      <c r="AM90" s="496">
        <v>1</v>
      </c>
      <c r="AN90" s="496" t="str">
        <f>VLOOKUP(Table2[[#This Row],[Course Title]],'TSD-Data'!$A$1:$G$83,7,FALSE)</f>
        <v>N8</v>
      </c>
      <c r="AO90" s="500">
        <f>Table2[[#This Row],[Quotas]]-Table2[[#This Row],[Graduates]]-Table2[[#This Row],[Fail]]</f>
        <v>29</v>
      </c>
    </row>
    <row r="91" spans="2:41" s="202" customFormat="1" ht="15" customHeight="1" x14ac:dyDescent="0.25">
      <c r="B91" s="530"/>
      <c r="C91" s="552" t="s">
        <v>236</v>
      </c>
      <c r="D91" s="200" t="str">
        <f>VLOOKUP(Table2[[#This Row],[Course Title]],'TSD-Data'!$A$1:$E$83,2,FALSE)</f>
        <v>A-493-2098</v>
      </c>
      <c r="E91" s="200" t="str">
        <f>VLOOKUP(Table2[[#This Row],[Course Title]],'TSD-Data'!$A$1:$E$83,3,FALSE)</f>
        <v>09WW</v>
      </c>
      <c r="F91" s="530" t="s">
        <v>54</v>
      </c>
      <c r="G91" s="531">
        <v>45978</v>
      </c>
      <c r="H91" s="531">
        <v>45980</v>
      </c>
      <c r="I91" s="531" t="s">
        <v>42</v>
      </c>
      <c r="J91" s="532"/>
      <c r="K91" s="536">
        <v>0.5</v>
      </c>
      <c r="L91" s="536">
        <v>0.375</v>
      </c>
      <c r="M91" s="536">
        <v>0.83333333333333337</v>
      </c>
      <c r="N91" s="536">
        <v>0.75</v>
      </c>
      <c r="O91" s="536">
        <v>0.29166666666666669</v>
      </c>
      <c r="P91" s="536">
        <v>8.3333333333333329E-2</v>
      </c>
      <c r="Q91" s="535" t="s">
        <v>433</v>
      </c>
      <c r="R91" s="535"/>
      <c r="S91" s="535"/>
      <c r="T91" s="200">
        <f>VLOOKUP(Table2[[#This Row],[Course Title]],'TSD-Data'!$A$1:$E$83,4,FALSE)</f>
        <v>100</v>
      </c>
      <c r="U91" s="200">
        <f>VLOOKUP(Table2[[#This Row],[Course Title]],'TSD-Data'!$A$1:$F$83,6,FALSE)</f>
        <v>16</v>
      </c>
      <c r="V91" s="201">
        <f>VLOOKUP(Table2[[#This Row],[Course Title]],'TSD-Data'!$A$1:$F$83,5,FALSE)</f>
        <v>3</v>
      </c>
      <c r="W91" s="201"/>
      <c r="X91" s="200">
        <f>Table2[[#This Row],[Quotas]]-Table2[[#This Row],[Open Quotas]]</f>
        <v>100</v>
      </c>
      <c r="Y91" s="200">
        <v>1</v>
      </c>
      <c r="Z91" s="201">
        <v>81</v>
      </c>
      <c r="AA91" s="201">
        <v>1</v>
      </c>
      <c r="AB91" s="200">
        <v>16</v>
      </c>
      <c r="AC91" s="200">
        <v>0</v>
      </c>
      <c r="AD91" s="200">
        <v>0</v>
      </c>
      <c r="AE91" s="200" t="s">
        <v>428</v>
      </c>
      <c r="AF91" s="495">
        <f ca="1">Table2[[#This Row],[End Date]]+2-TODAY()</f>
        <v>-262</v>
      </c>
      <c r="AG91" s="496">
        <f>IF(ISBLANK(Table2[[#This Row],[Roster Received by]]),1,0)</f>
        <v>0</v>
      </c>
      <c r="AH91" s="496">
        <f ca="1">IF(Table2[[#This Row],[Start Date]]&gt;TODAY(),1,)</f>
        <v>0</v>
      </c>
      <c r="AI91" s="496">
        <f>IF(ISBLANK(Table2[[#This Row],[Primary Instructor]]),0,1)</f>
        <v>1</v>
      </c>
      <c r="AJ91" s="496">
        <f>IF(ISBLANK(Table2[[#This Row],[Instructor 2]]),0,1)</f>
        <v>0</v>
      </c>
      <c r="AK91" s="496">
        <f>Table2[[#This Row],[Course Length (Hours)]]/(Table2[[#This Row],[1 Instructor]]+Table2[[#This Row],[2 Instructors]])</f>
        <v>16</v>
      </c>
      <c r="AL91" s="318">
        <v>0</v>
      </c>
      <c r="AM91" s="496">
        <v>1</v>
      </c>
      <c r="AN91" s="496" t="str">
        <f>VLOOKUP(Table2[[#This Row],[Course Title]],'TSD-Data'!$A$1:$G$83,7,FALSE)</f>
        <v>N8</v>
      </c>
      <c r="AO91" s="500">
        <f>Table2[[#This Row],[Quotas]]-Table2[[#This Row],[Graduates]]-Table2[[#This Row],[Fail]]</f>
        <v>18</v>
      </c>
    </row>
    <row r="92" spans="2:41" s="202" customFormat="1" ht="30" customHeight="1" x14ac:dyDescent="0.25">
      <c r="B92" s="530"/>
      <c r="C92" s="552" t="s">
        <v>196</v>
      </c>
      <c r="D92" s="200" t="str">
        <f>VLOOKUP(Table2[[#This Row],[Course Title]],'TSD-Data'!$A$1:$E$83,2,FALSE)</f>
        <v>A-4J-0022</v>
      </c>
      <c r="E92" s="200" t="str">
        <f>VLOOKUP(Table2[[#This Row],[Course Title]],'TSD-Data'!$A$1:$E$83,3,FALSE)</f>
        <v>09ER</v>
      </c>
      <c r="F92" s="530" t="s">
        <v>54</v>
      </c>
      <c r="G92" s="531">
        <v>45979</v>
      </c>
      <c r="H92" s="531">
        <v>45980</v>
      </c>
      <c r="I92" s="531" t="s">
        <v>42</v>
      </c>
      <c r="J92" s="532"/>
      <c r="K92" s="532">
        <v>0.33333333333333331</v>
      </c>
      <c r="L92" s="532">
        <v>0.20833333333333334</v>
      </c>
      <c r="M92" s="541">
        <v>1600</v>
      </c>
      <c r="N92" s="541">
        <v>1400</v>
      </c>
      <c r="O92" s="532">
        <v>0.125</v>
      </c>
      <c r="P92" s="541">
        <v>2200</v>
      </c>
      <c r="Q92" s="535" t="s">
        <v>437</v>
      </c>
      <c r="R92" s="535"/>
      <c r="S92" s="535"/>
      <c r="T92" s="200">
        <f>VLOOKUP(Table2[[#This Row],[Course Title]],'TSD-Data'!$A$1:$E$83,4,FALSE)</f>
        <v>45</v>
      </c>
      <c r="U92" s="200">
        <f>VLOOKUP(Table2[[#This Row],[Course Title]],'TSD-Data'!$A$1:$F$83,6,FALSE)</f>
        <v>40</v>
      </c>
      <c r="V92" s="201">
        <f>VLOOKUP(Table2[[#This Row],[Course Title]],'TSD-Data'!$A$1:$F$83,5,FALSE)</f>
        <v>2</v>
      </c>
      <c r="W92" s="201">
        <v>141</v>
      </c>
      <c r="X92" s="200">
        <f>Table2[[#This Row],[Quotas]]-Table2[[#This Row],[Open Quotas]]</f>
        <v>45</v>
      </c>
      <c r="Y92" s="200">
        <v>0</v>
      </c>
      <c r="Z92" s="201">
        <v>36</v>
      </c>
      <c r="AA92" s="201">
        <v>0</v>
      </c>
      <c r="AB92" s="200">
        <v>12</v>
      </c>
      <c r="AC92" s="200">
        <v>2</v>
      </c>
      <c r="AD92" s="200">
        <v>0</v>
      </c>
      <c r="AE92" s="200" t="s">
        <v>428</v>
      </c>
      <c r="AF92" s="495">
        <f ca="1">Table2[[#This Row],[End Date]]+2-TODAY()</f>
        <v>-262</v>
      </c>
      <c r="AG92" s="496">
        <f>IF(ISBLANK(Table2[[#This Row],[Roster Received by]]),1,0)</f>
        <v>0</v>
      </c>
      <c r="AH92" s="496">
        <f ca="1">IF(Table2[[#This Row],[Start Date]]&gt;TODAY(),1,)</f>
        <v>0</v>
      </c>
      <c r="AI92" s="496">
        <f>IF(ISBLANK(Table2[[#This Row],[Primary Instructor]]),0,1)</f>
        <v>1</v>
      </c>
      <c r="AJ92" s="496">
        <f>IF(ISBLANK(Table2[[#This Row],[Instructor 2]]),0,1)</f>
        <v>0</v>
      </c>
      <c r="AK92" s="496">
        <f>Table2[[#This Row],[Course Length (Hours)]]/(Table2[[#This Row],[1 Instructor]]+Table2[[#This Row],[2 Instructors]])</f>
        <v>40</v>
      </c>
      <c r="AL92" s="318">
        <v>0</v>
      </c>
      <c r="AM92" s="496">
        <v>1</v>
      </c>
      <c r="AN92" s="496" t="str">
        <f>VLOOKUP(Table2[[#This Row],[Course Title]],'TSD-Data'!$A$1:$G$83,7,FALSE)</f>
        <v>N4</v>
      </c>
      <c r="AO92" s="500">
        <f>Table2[[#This Row],[Quotas]]-Table2[[#This Row],[Graduates]]-Table2[[#This Row],[Fail]]</f>
        <v>9</v>
      </c>
    </row>
    <row r="93" spans="2:41" s="202" customFormat="1" ht="15" customHeight="1" x14ac:dyDescent="0.25">
      <c r="B93" s="530"/>
      <c r="C93" s="552" t="s">
        <v>275</v>
      </c>
      <c r="D93" s="200" t="str">
        <f>VLOOKUP(Table2[[#This Row],[Course Title]],'TSD-Data'!$A$1:$E$83,2,FALSE)</f>
        <v>A-493-0099</v>
      </c>
      <c r="E93" s="200" t="str">
        <f>VLOOKUP(Table2[[#This Row],[Course Title]],'TSD-Data'!$A$1:$E$83,3,FALSE)</f>
        <v>12JW</v>
      </c>
      <c r="F93" s="530" t="s">
        <v>54</v>
      </c>
      <c r="G93" s="531">
        <v>45980</v>
      </c>
      <c r="H93" s="531">
        <v>45982</v>
      </c>
      <c r="I93" s="531" t="s">
        <v>42</v>
      </c>
      <c r="J93" s="532"/>
      <c r="K93" s="532">
        <v>0.33333333333333331</v>
      </c>
      <c r="L93" s="532">
        <v>0.20833333333333334</v>
      </c>
      <c r="M93" s="541">
        <v>1600</v>
      </c>
      <c r="N93" s="541">
        <v>1400</v>
      </c>
      <c r="O93" s="532">
        <v>0.125</v>
      </c>
      <c r="P93" s="541">
        <v>2200</v>
      </c>
      <c r="Q93" s="535" t="s">
        <v>274</v>
      </c>
      <c r="R93" s="535"/>
      <c r="S93" s="535"/>
      <c r="T93" s="200">
        <f>VLOOKUP(Table2[[#This Row],[Course Title]],'TSD-Data'!$A$1:$E$83,4,FALSE)</f>
        <v>45</v>
      </c>
      <c r="U93" s="200">
        <f>VLOOKUP(Table2[[#This Row],[Course Title]],'TSD-Data'!$A$1:$F$83,6,FALSE)</f>
        <v>24</v>
      </c>
      <c r="V93" s="201">
        <f>VLOOKUP(Table2[[#This Row],[Course Title]],'TSD-Data'!$A$1:$F$83,5,FALSE)</f>
        <v>3</v>
      </c>
      <c r="W93" s="201">
        <v>334</v>
      </c>
      <c r="X93" s="200">
        <f>Table2[[#This Row],[Quotas]]-Table2[[#This Row],[Open Quotas]]</f>
        <v>45</v>
      </c>
      <c r="Y93" s="200">
        <v>1</v>
      </c>
      <c r="Z93" s="201">
        <v>42</v>
      </c>
      <c r="AA93" s="201">
        <v>0</v>
      </c>
      <c r="AB93" s="200">
        <v>5</v>
      </c>
      <c r="AC93" s="200">
        <v>1</v>
      </c>
      <c r="AD93" s="200">
        <v>0</v>
      </c>
      <c r="AE93" s="200" t="s">
        <v>431</v>
      </c>
      <c r="AF93" s="495">
        <f ca="1">Table2[[#This Row],[End Date]]+2-TODAY()</f>
        <v>-260</v>
      </c>
      <c r="AG93" s="496">
        <f>IF(ISBLANK(Table2[[#This Row],[Roster Received by]]),1,0)</f>
        <v>0</v>
      </c>
      <c r="AH93" s="496">
        <f ca="1">IF(Table2[[#This Row],[Start Date]]&gt;TODAY(),1,)</f>
        <v>0</v>
      </c>
      <c r="AI93" s="496">
        <f>IF(ISBLANK(Table2[[#This Row],[Primary Instructor]]),0,1)</f>
        <v>1</v>
      </c>
      <c r="AJ93" s="496">
        <f>IF(ISBLANK(Table2[[#This Row],[Instructor 2]]),0,1)</f>
        <v>0</v>
      </c>
      <c r="AK93" s="496">
        <f>Table2[[#This Row],[Course Length (Hours)]]/(Table2[[#This Row],[1 Instructor]]+Table2[[#This Row],[2 Instructors]])</f>
        <v>24</v>
      </c>
      <c r="AL93" s="318">
        <v>0</v>
      </c>
      <c r="AM93" s="496">
        <v>1</v>
      </c>
      <c r="AN93" s="496" t="str">
        <f>VLOOKUP(Table2[[#This Row],[Course Title]],'TSD-Data'!$A$1:$G$83,7,FALSE)</f>
        <v>N5</v>
      </c>
      <c r="AO93" s="500">
        <f>Table2[[#This Row],[Quotas]]-Table2[[#This Row],[Graduates]]-Table2[[#This Row],[Fail]]</f>
        <v>3</v>
      </c>
    </row>
    <row r="94" spans="2:41" s="202" customFormat="1" ht="15" customHeight="1" x14ac:dyDescent="0.25">
      <c r="B94" s="530" t="s">
        <v>207</v>
      </c>
      <c r="C94" s="554" t="s">
        <v>205</v>
      </c>
      <c r="D94" s="200" t="str">
        <f>VLOOKUP(Table2[[#This Row],[Course Title]],'TSD-Data'!$A$1:$E$83,2,FALSE)</f>
        <v>Function</v>
      </c>
      <c r="E94" s="200" t="str">
        <f>VLOOKUP(Table2[[#This Row],[Course Title]],'TSD-Data'!$A$1:$E$83,3,FALSE)</f>
        <v>Function</v>
      </c>
      <c r="F94" s="542" t="s">
        <v>130</v>
      </c>
      <c r="G94" s="531">
        <v>45986</v>
      </c>
      <c r="H94" s="531">
        <v>45986</v>
      </c>
      <c r="I94" s="531" t="s">
        <v>434</v>
      </c>
      <c r="J94" s="541"/>
      <c r="K94" s="541"/>
      <c r="L94" s="541"/>
      <c r="M94" s="541"/>
      <c r="N94" s="541"/>
      <c r="O94" s="541"/>
      <c r="P94" s="541"/>
      <c r="Q94" s="542" t="s">
        <v>435</v>
      </c>
      <c r="R94" s="542"/>
      <c r="S94" s="542"/>
      <c r="T94" s="200">
        <f>VLOOKUP(Table2[[#This Row],[Course Title]],'TSD-Data'!$A$1:$E$83,4,FALSE)</f>
        <v>0</v>
      </c>
      <c r="U94" s="200">
        <f>VLOOKUP(Table2[[#This Row],[Course Title]],'TSD-Data'!$A$1:$F$83,6,FALSE)</f>
        <v>0</v>
      </c>
      <c r="V94" s="201">
        <f>VLOOKUP(Table2[[#This Row],[Course Title]],'TSD-Data'!$A$1:$F$83,5,FALSE)</f>
        <v>0</v>
      </c>
      <c r="W94" s="543">
        <v>0</v>
      </c>
      <c r="X94" s="200">
        <f>Table2[[#This Row],[Quotas]]-Table2[[#This Row],[Open Quotas]]</f>
        <v>0</v>
      </c>
      <c r="Y94" s="541">
        <v>0</v>
      </c>
      <c r="Z94" s="541">
        <v>0</v>
      </c>
      <c r="AA94" s="541">
        <v>0</v>
      </c>
      <c r="AB94" s="541">
        <v>0</v>
      </c>
      <c r="AC94" s="541">
        <v>0</v>
      </c>
      <c r="AD94" s="541">
        <v>0</v>
      </c>
      <c r="AE94" s="541" t="s">
        <v>436</v>
      </c>
      <c r="AF94" s="495">
        <f ca="1">Table2[[#This Row],[End Date]]+2-TODAY()</f>
        <v>-256</v>
      </c>
      <c r="AG94" s="496">
        <f>IF(ISBLANK(Table2[[#This Row],[Roster Received by]]),1,0)</f>
        <v>0</v>
      </c>
      <c r="AH94" s="496">
        <f ca="1">IF(Table2[[#This Row],[Start Date]]&gt;TODAY(),1,)</f>
        <v>0</v>
      </c>
      <c r="AI94" s="496">
        <f>IF(ISBLANK(Table2[[#This Row],[Primary Instructor]]),0,1)</f>
        <v>1</v>
      </c>
      <c r="AJ94" s="496">
        <f>IF(ISBLANK(Table2[[#This Row],[Instructor 2]]),0,1)</f>
        <v>0</v>
      </c>
      <c r="AK94" s="496">
        <f>Table2[[#This Row],[Course Length (Hours)]]/(Table2[[#This Row],[1 Instructor]]+Table2[[#This Row],[2 Instructors]])</f>
        <v>0</v>
      </c>
      <c r="AL94" s="320">
        <v>0</v>
      </c>
      <c r="AM94" s="496">
        <v>1</v>
      </c>
      <c r="AN94" s="496" t="str">
        <f>VLOOKUP(Table2[[#This Row],[Course Title]],'TSD-Data'!$A$1:$G$83,7,FALSE)</f>
        <v>TSD</v>
      </c>
      <c r="AO94" s="500">
        <f>Table2[[#This Row],[Quotas]]-Table2[[#This Row],[Graduates]]-Table2[[#This Row],[Fail]]</f>
        <v>0</v>
      </c>
    </row>
    <row r="95" spans="2:41" s="202" customFormat="1" ht="15" customHeight="1" x14ac:dyDescent="0.25">
      <c r="B95" s="530" t="s">
        <v>220</v>
      </c>
      <c r="C95" s="554" t="s">
        <v>218</v>
      </c>
      <c r="D95" s="200" t="str">
        <f>VLOOKUP(Table2[[#This Row],[Course Title]],'TSD-Data'!$A$1:$E$83,2,FALSE)</f>
        <v>Holiday</v>
      </c>
      <c r="E95" s="200" t="str">
        <f>VLOOKUP(Table2[[#This Row],[Course Title]],'TSD-Data'!$A$1:$E$83,3,FALSE)</f>
        <v>Holiday</v>
      </c>
      <c r="F95" s="542" t="s">
        <v>218</v>
      </c>
      <c r="G95" s="531">
        <v>45988</v>
      </c>
      <c r="H95" s="531">
        <v>45988</v>
      </c>
      <c r="I95" s="531" t="s">
        <v>434</v>
      </c>
      <c r="J95" s="541"/>
      <c r="K95" s="541"/>
      <c r="L95" s="541"/>
      <c r="M95" s="541"/>
      <c r="N95" s="541"/>
      <c r="O95" s="541"/>
      <c r="P95" s="541"/>
      <c r="Q95" s="542" t="s">
        <v>435</v>
      </c>
      <c r="R95" s="542"/>
      <c r="S95" s="542"/>
      <c r="T95" s="200">
        <f>VLOOKUP(Table2[[#This Row],[Course Title]],'TSD-Data'!$A$1:$E$83,4,FALSE)</f>
        <v>0</v>
      </c>
      <c r="U95" s="200">
        <f>VLOOKUP(Table2[[#This Row],[Course Title]],'TSD-Data'!$A$1:$F$83,6,FALSE)</f>
        <v>0</v>
      </c>
      <c r="V95" s="201">
        <f>VLOOKUP(Table2[[#This Row],[Course Title]],'TSD-Data'!$A$1:$F$83,5,FALSE)</f>
        <v>0</v>
      </c>
      <c r="W95" s="543">
        <v>0</v>
      </c>
      <c r="X95" s="200">
        <f>Table2[[#This Row],[Quotas]]-Table2[[#This Row],[Open Quotas]]</f>
        <v>0</v>
      </c>
      <c r="Y95" s="541">
        <v>0</v>
      </c>
      <c r="Z95" s="541">
        <v>0</v>
      </c>
      <c r="AA95" s="541">
        <v>0</v>
      </c>
      <c r="AB95" s="541">
        <v>0</v>
      </c>
      <c r="AC95" s="541">
        <v>0</v>
      </c>
      <c r="AD95" s="541">
        <v>0</v>
      </c>
      <c r="AE95" s="541" t="s">
        <v>436</v>
      </c>
      <c r="AF95" s="495">
        <f ca="1">Table2[[#This Row],[End Date]]+2-TODAY()</f>
        <v>-254</v>
      </c>
      <c r="AG95" s="496">
        <f>IF(ISBLANK(Table2[[#This Row],[Roster Received by]]),1,0)</f>
        <v>0</v>
      </c>
      <c r="AH95" s="496">
        <f ca="1">IF(Table2[[#This Row],[Start Date]]&gt;TODAY(),1,)</f>
        <v>0</v>
      </c>
      <c r="AI95" s="496">
        <f>IF(ISBLANK(Table2[[#This Row],[Primary Instructor]]),0,1)</f>
        <v>1</v>
      </c>
      <c r="AJ95" s="496">
        <f>IF(ISBLANK(Table2[[#This Row],[Instructor 2]]),0,1)</f>
        <v>0</v>
      </c>
      <c r="AK95" s="496">
        <f>Table2[[#This Row],[Course Length (Hours)]]/(Table2[[#This Row],[1 Instructor]]+Table2[[#This Row],[2 Instructors]])</f>
        <v>0</v>
      </c>
      <c r="AL95" s="320">
        <v>0</v>
      </c>
      <c r="AM95" s="496">
        <v>1</v>
      </c>
      <c r="AN95" s="496" t="str">
        <f>VLOOKUP(Table2[[#This Row],[Course Title]],'TSD-Data'!$A$1:$G$83,7,FALSE)</f>
        <v>TSD</v>
      </c>
      <c r="AO95" s="500">
        <f>Table2[[#This Row],[Quotas]]-Table2[[#This Row],[Graduates]]-Table2[[#This Row],[Fail]]</f>
        <v>0</v>
      </c>
    </row>
    <row r="96" spans="2:41" s="202" customFormat="1" ht="15" customHeight="1" x14ac:dyDescent="0.25">
      <c r="B96" s="530"/>
      <c r="C96" s="552" t="s">
        <v>276</v>
      </c>
      <c r="D96" s="200" t="str">
        <f>VLOOKUP(Table2[[#This Row],[Course Title]],'TSD-Data'!$A$1:$E$83,2,FALSE)</f>
        <v>A-493-0103</v>
      </c>
      <c r="E96" s="200" t="str">
        <f>VLOOKUP(Table2[[#This Row],[Course Title]],'TSD-Data'!$A$1:$E$83,3,FALSE)</f>
        <v>12JY</v>
      </c>
      <c r="F96" s="530" t="s">
        <v>257</v>
      </c>
      <c r="G96" s="531">
        <v>45992</v>
      </c>
      <c r="H96" s="531">
        <v>45996</v>
      </c>
      <c r="I96" s="531" t="s">
        <v>42</v>
      </c>
      <c r="J96" s="532">
        <v>0.33333333333333331</v>
      </c>
      <c r="K96" s="532"/>
      <c r="L96" s="531"/>
      <c r="M96" s="531"/>
      <c r="N96" s="531"/>
      <c r="O96" s="531"/>
      <c r="P96" s="531"/>
      <c r="Q96" s="535" t="s">
        <v>280</v>
      </c>
      <c r="R96" s="535"/>
      <c r="S96" s="535"/>
      <c r="T96" s="200">
        <f>VLOOKUP(Table2[[#This Row],[Course Title]],'TSD-Data'!$A$1:$E$83,4,FALSE)</f>
        <v>25</v>
      </c>
      <c r="U96" s="200">
        <f>VLOOKUP(Table2[[#This Row],[Course Title]],'TSD-Data'!$A$1:$F$83,6,FALSE)</f>
        <v>40</v>
      </c>
      <c r="V96" s="201">
        <f>VLOOKUP(Table2[[#This Row],[Course Title]],'TSD-Data'!$A$1:$F$83,5,FALSE)</f>
        <v>5</v>
      </c>
      <c r="W96" s="201">
        <v>75</v>
      </c>
      <c r="X96" s="200">
        <f>Table2[[#This Row],[Quotas]]-Table2[[#This Row],[Open Quotas]]</f>
        <v>24</v>
      </c>
      <c r="Y96" s="200">
        <v>5</v>
      </c>
      <c r="Z96" s="201">
        <v>25</v>
      </c>
      <c r="AA96" s="201">
        <v>0</v>
      </c>
      <c r="AB96" s="200">
        <v>2</v>
      </c>
      <c r="AC96" s="200">
        <v>2</v>
      </c>
      <c r="AD96" s="200">
        <v>0</v>
      </c>
      <c r="AE96" s="200" t="s">
        <v>431</v>
      </c>
      <c r="AF96" s="495">
        <f ca="1">Table2[[#This Row],[End Date]]+2-TODAY()</f>
        <v>-246</v>
      </c>
      <c r="AG96" s="496">
        <f>IF(ISBLANK(Table2[[#This Row],[Roster Received by]]),1,0)</f>
        <v>0</v>
      </c>
      <c r="AH96" s="496">
        <f ca="1">IF(Table2[[#This Row],[Start Date]]&gt;TODAY(),1,)</f>
        <v>0</v>
      </c>
      <c r="AI96" s="496">
        <f>IF(ISBLANK(Table2[[#This Row],[Primary Instructor]]),0,1)</f>
        <v>1</v>
      </c>
      <c r="AJ96" s="496">
        <f>IF(ISBLANK(Table2[[#This Row],[Instructor 2]]),0,1)</f>
        <v>0</v>
      </c>
      <c r="AK96" s="496">
        <f>Table2[[#This Row],[Course Length (Hours)]]/(Table2[[#This Row],[1 Instructor]]+Table2[[#This Row],[2 Instructors]])</f>
        <v>40</v>
      </c>
      <c r="AL96" s="318">
        <v>1</v>
      </c>
      <c r="AM96" s="496">
        <v>1</v>
      </c>
      <c r="AN96" s="496" t="str">
        <f>VLOOKUP(Table2[[#This Row],[Course Title]],'TSD-Data'!$A$1:$G$83,7,FALSE)</f>
        <v>N5</v>
      </c>
      <c r="AO96" s="500">
        <f>Table2[[#This Row],[Quotas]]-Table2[[#This Row],[Graduates]]-Table2[[#This Row],[Fail]]</f>
        <v>0</v>
      </c>
    </row>
    <row r="97" spans="2:41" ht="15" customHeight="1" x14ac:dyDescent="0.25">
      <c r="B97" s="530"/>
      <c r="C97" s="552" t="s">
        <v>271</v>
      </c>
      <c r="D97" s="200" t="str">
        <f>VLOOKUP(Table2[[#This Row],[Course Title]],'TSD-Data'!$A$1:$E$83,2,FALSE)</f>
        <v>A-493-0061</v>
      </c>
      <c r="E97" s="200" t="str">
        <f>VLOOKUP(Table2[[#This Row],[Course Title]],'TSD-Data'!$A$1:$E$83,3,FALSE)</f>
        <v>288E</v>
      </c>
      <c r="F97" s="530" t="s">
        <v>54</v>
      </c>
      <c r="G97" s="531">
        <v>45992</v>
      </c>
      <c r="H97" s="531">
        <v>45995</v>
      </c>
      <c r="I97" s="531" t="s">
        <v>42</v>
      </c>
      <c r="J97" s="532"/>
      <c r="K97" s="536">
        <v>0.5</v>
      </c>
      <c r="L97" s="546">
        <v>0.375</v>
      </c>
      <c r="M97" s="536">
        <v>0.83333333333333337</v>
      </c>
      <c r="N97" s="536">
        <v>0.75</v>
      </c>
      <c r="O97" s="536">
        <v>0.29166666666666669</v>
      </c>
      <c r="P97" s="536">
        <v>8.3333333333333329E-2</v>
      </c>
      <c r="Q97" s="535" t="s">
        <v>148</v>
      </c>
      <c r="R97" s="535"/>
      <c r="S97" s="535"/>
      <c r="T97" s="200">
        <f>VLOOKUP(Table2[[#This Row],[Course Title]],'TSD-Data'!$A$1:$E$83,4,FALSE)</f>
        <v>45</v>
      </c>
      <c r="U97" s="200">
        <f>VLOOKUP(Table2[[#This Row],[Course Title]],'TSD-Data'!$A$1:$F$83,6,FALSE)</f>
        <v>30</v>
      </c>
      <c r="V97" s="201">
        <f>VLOOKUP(Table2[[#This Row],[Course Title]],'TSD-Data'!$A$1:$F$83,5,FALSE)</f>
        <v>4</v>
      </c>
      <c r="W97" s="201">
        <v>620</v>
      </c>
      <c r="X97" s="200">
        <f>Table2[[#This Row],[Quotas]]-Table2[[#This Row],[Open Quotas]]</f>
        <v>25</v>
      </c>
      <c r="Y97" s="200">
        <v>0</v>
      </c>
      <c r="Z97" s="201">
        <v>20</v>
      </c>
      <c r="AA97" s="201">
        <v>0</v>
      </c>
      <c r="AB97" s="200">
        <v>6</v>
      </c>
      <c r="AC97" s="200">
        <v>1</v>
      </c>
      <c r="AD97" s="200">
        <v>0</v>
      </c>
      <c r="AE97" s="200" t="s">
        <v>431</v>
      </c>
      <c r="AF97" s="495">
        <f ca="1">Table2[[#This Row],[End Date]]+2-TODAY()</f>
        <v>-247</v>
      </c>
      <c r="AG97" s="496">
        <f>IF(ISBLANK(Table2[[#This Row],[Roster Received by]]),1,0)</f>
        <v>0</v>
      </c>
      <c r="AH97" s="496">
        <f ca="1">IF(Table2[[#This Row],[Start Date]]&gt;TODAY(),1,)</f>
        <v>0</v>
      </c>
      <c r="AI97" s="496">
        <f>IF(ISBLANK(Table2[[#This Row],[Primary Instructor]]),0,1)</f>
        <v>1</v>
      </c>
      <c r="AJ97" s="496">
        <f>IF(ISBLANK(Table2[[#This Row],[Instructor 2]]),0,1)</f>
        <v>0</v>
      </c>
      <c r="AK97" s="496">
        <f>Table2[[#This Row],[Course Length (Hours)]]/(Table2[[#This Row],[1 Instructor]]+Table2[[#This Row],[2 Instructors]])</f>
        <v>30</v>
      </c>
      <c r="AL97" s="318">
        <v>20</v>
      </c>
      <c r="AM97" s="496">
        <v>1</v>
      </c>
      <c r="AN97" s="496" t="str">
        <f>VLOOKUP(Table2[[#This Row],[Course Title]],'TSD-Data'!$A$1:$G$83,7,FALSE)</f>
        <v>N5</v>
      </c>
      <c r="AO97" s="500">
        <f>Table2[[#This Row],[Quotas]]-Table2[[#This Row],[Graduates]]-Table2[[#This Row],[Fail]]</f>
        <v>25</v>
      </c>
    </row>
    <row r="98" spans="2:41" s="202" customFormat="1" ht="15" customHeight="1" x14ac:dyDescent="0.25">
      <c r="B98" s="530"/>
      <c r="C98" s="552" t="s">
        <v>213</v>
      </c>
      <c r="D98" s="200" t="str">
        <f>VLOOKUP(Table2[[#This Row],[Course Title]],'TSD-Data'!$A$1:$E$83,2,FALSE)</f>
        <v>A-322-2604</v>
      </c>
      <c r="E98" s="200" t="str">
        <f>VLOOKUP(Table2[[#This Row],[Course Title]],'TSD-Data'!$A$1:$E$83,3,FALSE)</f>
        <v>10ZZ</v>
      </c>
      <c r="F98" s="530" t="s">
        <v>54</v>
      </c>
      <c r="G98" s="531">
        <v>45992</v>
      </c>
      <c r="H98" s="531">
        <v>45994</v>
      </c>
      <c r="I98" s="531" t="s">
        <v>42</v>
      </c>
      <c r="J98" s="532"/>
      <c r="K98" s="536">
        <v>0.5</v>
      </c>
      <c r="L98" s="536">
        <v>0.375</v>
      </c>
      <c r="M98" s="536">
        <v>0.83333333333333337</v>
      </c>
      <c r="N98" s="536">
        <v>0.75</v>
      </c>
      <c r="O98" s="536">
        <v>0.29166666666666669</v>
      </c>
      <c r="P98" s="536">
        <v>8.3333333333333329E-2</v>
      </c>
      <c r="Q98" s="535" t="s">
        <v>432</v>
      </c>
      <c r="R98" s="535"/>
      <c r="S98" s="535"/>
      <c r="T98" s="200">
        <f>VLOOKUP(Table2[[#This Row],[Course Title]],'TSD-Data'!$A$1:$E$83,4,FALSE)</f>
        <v>45</v>
      </c>
      <c r="U98" s="200">
        <f>VLOOKUP(Table2[[#This Row],[Course Title]],'TSD-Data'!$A$1:$F$83,6,FALSE)</f>
        <v>24</v>
      </c>
      <c r="V98" s="201">
        <f>VLOOKUP(Table2[[#This Row],[Course Title]],'TSD-Data'!$A$1:$F$83,5,FALSE)</f>
        <v>3</v>
      </c>
      <c r="W98" s="201">
        <v>621</v>
      </c>
      <c r="X98" s="200">
        <f>Table2[[#This Row],[Quotas]]-Table2[[#This Row],[Open Quotas]]</f>
        <v>39</v>
      </c>
      <c r="Y98" s="200">
        <v>0</v>
      </c>
      <c r="Z98" s="201">
        <v>35</v>
      </c>
      <c r="AA98" s="201">
        <v>0</v>
      </c>
      <c r="AB98" s="200">
        <v>5</v>
      </c>
      <c r="AC98" s="200">
        <v>0</v>
      </c>
      <c r="AD98" s="200">
        <v>0</v>
      </c>
      <c r="AE98" s="200" t="s">
        <v>431</v>
      </c>
      <c r="AF98" s="495">
        <f ca="1">Table2[[#This Row],[End Date]]+2-TODAY()</f>
        <v>-248</v>
      </c>
      <c r="AG98" s="496">
        <f>IF(ISBLANK(Table2[[#This Row],[Roster Received by]]),1,0)</f>
        <v>0</v>
      </c>
      <c r="AH98" s="496">
        <f ca="1">IF(Table2[[#This Row],[Start Date]]&gt;TODAY(),1,)</f>
        <v>0</v>
      </c>
      <c r="AI98" s="496">
        <f>IF(ISBLANK(Table2[[#This Row],[Primary Instructor]]),0,1)</f>
        <v>1</v>
      </c>
      <c r="AJ98" s="496">
        <f>IF(ISBLANK(Table2[[#This Row],[Instructor 2]]),0,1)</f>
        <v>0</v>
      </c>
      <c r="AK98" s="496">
        <f>Table2[[#This Row],[Course Length (Hours)]]/(Table2[[#This Row],[1 Instructor]]+Table2[[#This Row],[2 Instructors]])</f>
        <v>24</v>
      </c>
      <c r="AL98" s="318">
        <v>6</v>
      </c>
      <c r="AM98" s="496">
        <v>1</v>
      </c>
      <c r="AN98" s="496" t="str">
        <f>VLOOKUP(Table2[[#This Row],[Course Title]],'TSD-Data'!$A$1:$G$83,7,FALSE)</f>
        <v>N8</v>
      </c>
      <c r="AO98" s="500">
        <f>Table2[[#This Row],[Quotas]]-Table2[[#This Row],[Graduates]]-Table2[[#This Row],[Fail]]</f>
        <v>10</v>
      </c>
    </row>
    <row r="99" spans="2:41" s="202" customFormat="1" ht="15" customHeight="1" x14ac:dyDescent="0.25">
      <c r="B99" s="530"/>
      <c r="C99" s="552" t="s">
        <v>56</v>
      </c>
      <c r="D99" s="200" t="str">
        <f>VLOOKUP(Table2[[#This Row],[Course Title]],'TSD-Data'!$A$1:$E$83,2,FALSE)</f>
        <v>A-493-0550</v>
      </c>
      <c r="E99" s="200" t="str">
        <f>VLOOKUP(Table2[[#This Row],[Course Title]],'TSD-Data'!$A$1:$E$83,3,FALSE)</f>
        <v>09K5</v>
      </c>
      <c r="F99" s="530" t="s">
        <v>54</v>
      </c>
      <c r="G99" s="531">
        <v>45992</v>
      </c>
      <c r="H99" s="531">
        <v>45995</v>
      </c>
      <c r="I99" s="531" t="s">
        <v>42</v>
      </c>
      <c r="J99" s="532"/>
      <c r="K99" s="532">
        <v>0.33333333333333331</v>
      </c>
      <c r="L99" s="532">
        <v>0.20833333333333334</v>
      </c>
      <c r="M99" s="541">
        <v>1600</v>
      </c>
      <c r="N99" s="541">
        <v>1400</v>
      </c>
      <c r="O99" s="532">
        <v>0.125</v>
      </c>
      <c r="P99" s="541">
        <v>2200</v>
      </c>
      <c r="Q99" s="535" t="s">
        <v>427</v>
      </c>
      <c r="R99" s="535"/>
      <c r="S99" s="535"/>
      <c r="T99" s="200">
        <f>VLOOKUP(Table2[[#This Row],[Course Title]],'TSD-Data'!$A$1:$E$83,4,FALSE)</f>
        <v>45</v>
      </c>
      <c r="U99" s="200">
        <f>VLOOKUP(Table2[[#This Row],[Course Title]],'TSD-Data'!$A$1:$F$83,6,FALSE)</f>
        <v>32</v>
      </c>
      <c r="V99" s="201">
        <f>VLOOKUP(Table2[[#This Row],[Course Title]],'TSD-Data'!$A$1:$F$83,5,FALSE)</f>
        <v>4</v>
      </c>
      <c r="W99" s="201">
        <v>455</v>
      </c>
      <c r="X99" s="200">
        <f>Table2[[#This Row],[Quotas]]-Table2[[#This Row],[Open Quotas]]</f>
        <v>42</v>
      </c>
      <c r="Y99" s="200">
        <v>0</v>
      </c>
      <c r="Z99" s="201">
        <v>40</v>
      </c>
      <c r="AA99" s="201">
        <v>0</v>
      </c>
      <c r="AB99" s="200">
        <v>6</v>
      </c>
      <c r="AC99" s="200">
        <v>1</v>
      </c>
      <c r="AD99" s="200">
        <v>0</v>
      </c>
      <c r="AE99" s="200" t="s">
        <v>431</v>
      </c>
      <c r="AF99" s="495">
        <f ca="1">Table2[[#This Row],[End Date]]+2-TODAY()</f>
        <v>-247</v>
      </c>
      <c r="AG99" s="496">
        <f>IF(ISBLANK(Table2[[#This Row],[Roster Received by]]),1,0)</f>
        <v>0</v>
      </c>
      <c r="AH99" s="496">
        <f ca="1">IF(Table2[[#This Row],[Start Date]]&gt;TODAY(),1,)</f>
        <v>0</v>
      </c>
      <c r="AI99" s="496">
        <f>IF(ISBLANK(Table2[[#This Row],[Primary Instructor]]),0,1)</f>
        <v>1</v>
      </c>
      <c r="AJ99" s="496">
        <f>IF(ISBLANK(Table2[[#This Row],[Instructor 2]]),0,1)</f>
        <v>0</v>
      </c>
      <c r="AK99" s="496">
        <f>Table2[[#This Row],[Course Length (Hours)]]/(Table2[[#This Row],[1 Instructor]]+Table2[[#This Row],[2 Instructors]])</f>
        <v>32</v>
      </c>
      <c r="AL99" s="318">
        <v>3</v>
      </c>
      <c r="AM99" s="496">
        <v>1</v>
      </c>
      <c r="AN99" s="496" t="str">
        <f>VLOOKUP(Table2[[#This Row],[Course Title]],'TSD-Data'!$A$1:$G$83,7,FALSE)</f>
        <v>N5</v>
      </c>
      <c r="AO99" s="500">
        <f>Table2[[#This Row],[Quotas]]-Table2[[#This Row],[Graduates]]-Table2[[#This Row],[Fail]]</f>
        <v>5</v>
      </c>
    </row>
    <row r="100" spans="2:41" s="202" customFormat="1" ht="15" customHeight="1" x14ac:dyDescent="0.25">
      <c r="B100" s="530"/>
      <c r="C100" s="552" t="s">
        <v>236</v>
      </c>
      <c r="D100" s="200" t="str">
        <f>VLOOKUP(Table2[[#This Row],[Course Title]],'TSD-Data'!$A$1:$E$83,2,FALSE)</f>
        <v>A-493-2098</v>
      </c>
      <c r="E100" s="200" t="str">
        <f>VLOOKUP(Table2[[#This Row],[Course Title]],'TSD-Data'!$A$1:$E$83,3,FALSE)</f>
        <v>09WW</v>
      </c>
      <c r="F100" s="530" t="s">
        <v>54</v>
      </c>
      <c r="G100" s="531">
        <v>45992</v>
      </c>
      <c r="H100" s="531">
        <v>45994</v>
      </c>
      <c r="I100" s="531" t="s">
        <v>42</v>
      </c>
      <c r="J100" s="532"/>
      <c r="K100" s="536">
        <v>0.5</v>
      </c>
      <c r="L100" s="536">
        <v>0.375</v>
      </c>
      <c r="M100" s="536">
        <v>0.83333333333333337</v>
      </c>
      <c r="N100" s="536">
        <v>0.75</v>
      </c>
      <c r="O100" s="536">
        <v>0.29166666666666669</v>
      </c>
      <c r="P100" s="536">
        <v>8.3333333333333329E-2</v>
      </c>
      <c r="Q100" s="535" t="s">
        <v>43</v>
      </c>
      <c r="R100" s="535"/>
      <c r="S100" s="535"/>
      <c r="T100" s="200">
        <f>VLOOKUP(Table2[[#This Row],[Course Title]],'TSD-Data'!$A$1:$E$83,4,FALSE)</f>
        <v>100</v>
      </c>
      <c r="U100" s="200">
        <f>VLOOKUP(Table2[[#This Row],[Course Title]],'TSD-Data'!$A$1:$F$83,6,FALSE)</f>
        <v>16</v>
      </c>
      <c r="V100" s="201">
        <f>VLOOKUP(Table2[[#This Row],[Course Title]],'TSD-Data'!$A$1:$F$83,5,FALSE)</f>
        <v>3</v>
      </c>
      <c r="W100" s="201">
        <v>356</v>
      </c>
      <c r="X100" s="200">
        <f>Table2[[#This Row],[Quotas]]-Table2[[#This Row],[Open Quotas]]</f>
        <v>99</v>
      </c>
      <c r="Y100" s="200">
        <v>3</v>
      </c>
      <c r="Z100" s="201">
        <v>60</v>
      </c>
      <c r="AA100" s="201">
        <v>5</v>
      </c>
      <c r="AB100" s="200">
        <v>34</v>
      </c>
      <c r="AC100" s="200">
        <v>2</v>
      </c>
      <c r="AD100" s="200">
        <v>0</v>
      </c>
      <c r="AE100" s="200" t="s">
        <v>428</v>
      </c>
      <c r="AF100" s="495">
        <f ca="1">Table2[[#This Row],[End Date]]+2-TODAY()</f>
        <v>-248</v>
      </c>
      <c r="AG100" s="496">
        <f>IF(ISBLANK(Table2[[#This Row],[Roster Received by]]),1,0)</f>
        <v>0</v>
      </c>
      <c r="AH100" s="496">
        <f ca="1">IF(Table2[[#This Row],[Start Date]]&gt;TODAY(),1,)</f>
        <v>0</v>
      </c>
      <c r="AI100" s="496">
        <f>IF(ISBLANK(Table2[[#This Row],[Primary Instructor]]),0,1)</f>
        <v>1</v>
      </c>
      <c r="AJ100" s="496">
        <f>IF(ISBLANK(Table2[[#This Row],[Instructor 2]]),0,1)</f>
        <v>0</v>
      </c>
      <c r="AK100" s="496">
        <f>Table2[[#This Row],[Course Length (Hours)]]/(Table2[[#This Row],[1 Instructor]]+Table2[[#This Row],[2 Instructors]])</f>
        <v>16</v>
      </c>
      <c r="AL100" s="318">
        <v>1</v>
      </c>
      <c r="AM100" s="496">
        <v>1</v>
      </c>
      <c r="AN100" s="496" t="str">
        <f>VLOOKUP(Table2[[#This Row],[Course Title]],'TSD-Data'!$A$1:$G$83,7,FALSE)</f>
        <v>N8</v>
      </c>
      <c r="AO100" s="500">
        <f>Table2[[#This Row],[Quotas]]-Table2[[#This Row],[Graduates]]-Table2[[#This Row],[Fail]]</f>
        <v>35</v>
      </c>
    </row>
    <row r="101" spans="2:41" ht="15" customHeight="1" x14ac:dyDescent="0.25">
      <c r="B101" s="530"/>
      <c r="C101" s="552" t="s">
        <v>275</v>
      </c>
      <c r="D101" s="200" t="str">
        <f>VLOOKUP(Table2[[#This Row],[Course Title]],'TSD-Data'!$A$1:$E$83,2,FALSE)</f>
        <v>A-493-0099</v>
      </c>
      <c r="E101" s="200" t="str">
        <f>VLOOKUP(Table2[[#This Row],[Course Title]],'TSD-Data'!$A$1:$E$83,3,FALSE)</f>
        <v>12JW</v>
      </c>
      <c r="F101" s="530" t="s">
        <v>54</v>
      </c>
      <c r="G101" s="531">
        <v>45994</v>
      </c>
      <c r="H101" s="531">
        <v>45996</v>
      </c>
      <c r="I101" s="531" t="s">
        <v>42</v>
      </c>
      <c r="J101" s="532"/>
      <c r="K101" s="532">
        <v>0.33333333333333331</v>
      </c>
      <c r="L101" s="532">
        <v>0.20833333333333334</v>
      </c>
      <c r="M101" s="541">
        <v>1600</v>
      </c>
      <c r="N101" s="541">
        <v>1400</v>
      </c>
      <c r="O101" s="532">
        <v>0.125</v>
      </c>
      <c r="P101" s="541">
        <v>2200</v>
      </c>
      <c r="Q101" s="535" t="s">
        <v>274</v>
      </c>
      <c r="R101" s="535"/>
      <c r="S101" s="535"/>
      <c r="T101" s="200">
        <f>VLOOKUP(Table2[[#This Row],[Course Title]],'TSD-Data'!$A$1:$E$83,4,FALSE)</f>
        <v>45</v>
      </c>
      <c r="U101" s="200">
        <f>VLOOKUP(Table2[[#This Row],[Course Title]],'TSD-Data'!$A$1:$F$83,6,FALSE)</f>
        <v>24</v>
      </c>
      <c r="V101" s="201">
        <f>VLOOKUP(Table2[[#This Row],[Course Title]],'TSD-Data'!$A$1:$F$83,5,FALSE)</f>
        <v>3</v>
      </c>
      <c r="W101" s="201">
        <v>334</v>
      </c>
      <c r="X101" s="200">
        <f>Table2[[#This Row],[Quotas]]-Table2[[#This Row],[Open Quotas]]</f>
        <v>44</v>
      </c>
      <c r="Y101" s="200">
        <v>0</v>
      </c>
      <c r="Z101" s="201">
        <v>34</v>
      </c>
      <c r="AA101" s="201">
        <v>0</v>
      </c>
      <c r="AB101" s="200">
        <v>11</v>
      </c>
      <c r="AC101" s="200">
        <v>0</v>
      </c>
      <c r="AD101" s="200">
        <v>0</v>
      </c>
      <c r="AE101" s="200" t="s">
        <v>431</v>
      </c>
      <c r="AF101" s="495">
        <f ca="1">Table2[[#This Row],[End Date]]+2-TODAY()</f>
        <v>-246</v>
      </c>
      <c r="AG101" s="496">
        <f>IF(ISBLANK(Table2[[#This Row],[Roster Received by]]),1,0)</f>
        <v>0</v>
      </c>
      <c r="AH101" s="496">
        <f ca="1">IF(Table2[[#This Row],[Start Date]]&gt;TODAY(),1,)</f>
        <v>0</v>
      </c>
      <c r="AI101" s="496">
        <f>IF(ISBLANK(Table2[[#This Row],[Primary Instructor]]),0,1)</f>
        <v>1</v>
      </c>
      <c r="AJ101" s="496">
        <f>IF(ISBLANK(Table2[[#This Row],[Instructor 2]]),0,1)</f>
        <v>0</v>
      </c>
      <c r="AK101" s="496">
        <f>Table2[[#This Row],[Course Length (Hours)]]/(Table2[[#This Row],[1 Instructor]]+Table2[[#This Row],[2 Instructors]])</f>
        <v>24</v>
      </c>
      <c r="AL101" s="318">
        <v>1</v>
      </c>
      <c r="AM101" s="496">
        <v>1</v>
      </c>
      <c r="AN101" s="496" t="str">
        <f>VLOOKUP(Table2[[#This Row],[Course Title]],'TSD-Data'!$A$1:$G$83,7,FALSE)</f>
        <v>N5</v>
      </c>
      <c r="AO101" s="500">
        <f>Table2[[#This Row],[Quotas]]-Table2[[#This Row],[Graduates]]-Table2[[#This Row],[Fail]]</f>
        <v>11</v>
      </c>
    </row>
    <row r="102" spans="2:41" s="202" customFormat="1" ht="15" customHeight="1" x14ac:dyDescent="0.25">
      <c r="B102" s="530"/>
      <c r="C102" s="556" t="s">
        <v>59</v>
      </c>
      <c r="D102" s="200" t="str">
        <f>VLOOKUP(Table2[[#This Row],[Course Title]],'TSD-Data'!$A$1:$E$83,2,FALSE)</f>
        <v>A-493-0070</v>
      </c>
      <c r="E102" s="200" t="str">
        <f>VLOOKUP(Table2[[#This Row],[Course Title]],'TSD-Data'!$A$1:$E$83,3,FALSE)</f>
        <v>450V</v>
      </c>
      <c r="F102" s="530" t="s">
        <v>61</v>
      </c>
      <c r="G102" s="531">
        <v>45999</v>
      </c>
      <c r="H102" s="531">
        <v>45999</v>
      </c>
      <c r="I102" s="531" t="s">
        <v>42</v>
      </c>
      <c r="J102" s="532">
        <v>0.33333333333333331</v>
      </c>
      <c r="K102" s="532"/>
      <c r="L102" s="531"/>
      <c r="M102" s="531"/>
      <c r="N102" s="531"/>
      <c r="O102" s="531"/>
      <c r="P102" s="531"/>
      <c r="Q102" s="535" t="s">
        <v>67</v>
      </c>
      <c r="R102" s="535"/>
      <c r="S102" s="535"/>
      <c r="T102" s="200">
        <f>VLOOKUP(Table2[[#This Row],[Course Title]],'TSD-Data'!$A$1:$E$83,4,FALSE)</f>
        <v>30</v>
      </c>
      <c r="U102" s="200">
        <f>VLOOKUP(Table2[[#This Row],[Course Title]],'TSD-Data'!$A$1:$F$83,6,FALSE)</f>
        <v>8</v>
      </c>
      <c r="V102" s="201">
        <f>VLOOKUP(Table2[[#This Row],[Course Title]],'TSD-Data'!$A$1:$F$83,5,FALSE)</f>
        <v>1</v>
      </c>
      <c r="W102" s="201"/>
      <c r="X102" s="200">
        <f>Table2[[#This Row],[Quotas]]-Table2[[#This Row],[Open Quotas]]</f>
        <v>18</v>
      </c>
      <c r="Y102" s="200">
        <v>0</v>
      </c>
      <c r="Z102" s="201">
        <v>16</v>
      </c>
      <c r="AA102" s="201">
        <v>0</v>
      </c>
      <c r="AB102" s="200">
        <v>0</v>
      </c>
      <c r="AC102" s="200">
        <v>0</v>
      </c>
      <c r="AD102" s="200">
        <v>0</v>
      </c>
      <c r="AE102" s="200" t="s">
        <v>429</v>
      </c>
      <c r="AF102" s="495">
        <f ca="1">Table2[[#This Row],[End Date]]+2-TODAY()</f>
        <v>-243</v>
      </c>
      <c r="AG102" s="496">
        <f>IF(ISBLANK(Table2[[#This Row],[Roster Received by]]),1,0)</f>
        <v>0</v>
      </c>
      <c r="AH102" s="496">
        <f ca="1">IF(Table2[[#This Row],[Start Date]]&gt;TODAY(),1,)</f>
        <v>0</v>
      </c>
      <c r="AI102" s="496">
        <f>IF(ISBLANK(Table2[[#This Row],[Primary Instructor]]),0,1)</f>
        <v>1</v>
      </c>
      <c r="AJ102" s="496">
        <f>IF(ISBLANK(Table2[[#This Row],[Instructor 2]]),0,1)</f>
        <v>0</v>
      </c>
      <c r="AK102" s="496">
        <f>Table2[[#This Row],[Course Length (Hours)]]/(Table2[[#This Row],[1 Instructor]]+Table2[[#This Row],[2 Instructors]])</f>
        <v>8</v>
      </c>
      <c r="AL102" s="318">
        <v>12</v>
      </c>
      <c r="AM102" s="496">
        <v>1</v>
      </c>
      <c r="AN102" s="496" t="str">
        <f>VLOOKUP(Table2[[#This Row],[Course Title]],'TSD-Data'!$A$1:$G$83,7,FALSE)</f>
        <v>N3</v>
      </c>
      <c r="AO102" s="500">
        <f>Table2[[#This Row],[Quotas]]-Table2[[#This Row],[Graduates]]-Table2[[#This Row],[Fail]]</f>
        <v>14</v>
      </c>
    </row>
    <row r="103" spans="2:41" s="202" customFormat="1" ht="15" customHeight="1" x14ac:dyDescent="0.25">
      <c r="B103" s="530"/>
      <c r="C103" s="552" t="s">
        <v>200</v>
      </c>
      <c r="D103" s="200" t="str">
        <f>VLOOKUP(Table2[[#This Row],[Course Title]],'TSD-Data'!$A$1:$E$83,2,FALSE)</f>
        <v>A-493-0665</v>
      </c>
      <c r="E103" s="200" t="str">
        <f>VLOOKUP(Table2[[#This Row],[Course Title]],'TSD-Data'!$A$1:$E$83,3,FALSE)</f>
        <v>10KW</v>
      </c>
      <c r="F103" s="530" t="s">
        <v>54</v>
      </c>
      <c r="G103" s="531">
        <v>45999</v>
      </c>
      <c r="H103" s="531">
        <v>46001</v>
      </c>
      <c r="I103" s="531" t="s">
        <v>42</v>
      </c>
      <c r="J103" s="532"/>
      <c r="K103" s="536">
        <v>0.5</v>
      </c>
      <c r="L103" s="546">
        <v>0.375</v>
      </c>
      <c r="M103" s="536">
        <v>0.83333333333333337</v>
      </c>
      <c r="N103" s="536">
        <v>0.75</v>
      </c>
      <c r="O103" s="536">
        <v>0.29166666666666669</v>
      </c>
      <c r="P103" s="536">
        <v>8.3333333333333329E-2</v>
      </c>
      <c r="Q103" s="535" t="s">
        <v>79</v>
      </c>
      <c r="R103" s="535"/>
      <c r="S103" s="535"/>
      <c r="T103" s="200">
        <f>VLOOKUP(Table2[[#This Row],[Course Title]],'TSD-Data'!$A$1:$E$83,4,FALSE)</f>
        <v>45</v>
      </c>
      <c r="U103" s="200">
        <f>VLOOKUP(Table2[[#This Row],[Course Title]],'TSD-Data'!$A$1:$F$83,6,FALSE)</f>
        <v>24</v>
      </c>
      <c r="V103" s="201">
        <f>VLOOKUP(Table2[[#This Row],[Course Title]],'TSD-Data'!$A$1:$F$83,5,FALSE)</f>
        <v>3</v>
      </c>
      <c r="W103" s="201">
        <v>337</v>
      </c>
      <c r="X103" s="200">
        <f>Table2[[#This Row],[Quotas]]-Table2[[#This Row],[Open Quotas]]</f>
        <v>35</v>
      </c>
      <c r="Y103" s="200">
        <v>0</v>
      </c>
      <c r="Z103" s="201">
        <v>29</v>
      </c>
      <c r="AA103" s="201">
        <v>0</v>
      </c>
      <c r="AB103" s="200">
        <v>7</v>
      </c>
      <c r="AC103" s="200">
        <v>0</v>
      </c>
      <c r="AD103" s="200">
        <v>0</v>
      </c>
      <c r="AE103" s="200" t="s">
        <v>442</v>
      </c>
      <c r="AF103" s="495">
        <f ca="1">Table2[[#This Row],[End Date]]+2-TODAY()</f>
        <v>-241</v>
      </c>
      <c r="AG103" s="496">
        <f>IF(ISBLANK(Table2[[#This Row],[Roster Received by]]),1,0)</f>
        <v>0</v>
      </c>
      <c r="AH103" s="496">
        <f ca="1">IF(Table2[[#This Row],[Start Date]]&gt;TODAY(),1,)</f>
        <v>0</v>
      </c>
      <c r="AI103" s="496">
        <f>IF(ISBLANK(Table2[[#This Row],[Primary Instructor]]),0,1)</f>
        <v>1</v>
      </c>
      <c r="AJ103" s="496">
        <f>IF(ISBLANK(Table2[[#This Row],[Instructor 2]]),0,1)</f>
        <v>0</v>
      </c>
      <c r="AK103" s="496">
        <f>Table2[[#This Row],[Course Length (Hours)]]/(Table2[[#This Row],[1 Instructor]]+Table2[[#This Row],[2 Instructors]])</f>
        <v>24</v>
      </c>
      <c r="AL103" s="318">
        <v>10</v>
      </c>
      <c r="AM103" s="496">
        <v>1</v>
      </c>
      <c r="AN103" s="496" t="str">
        <f>VLOOKUP(Table2[[#This Row],[Course Title]],'TSD-Data'!$A$1:$G$83,7,FALSE)</f>
        <v>N8</v>
      </c>
      <c r="AO103" s="500">
        <f>Table2[[#This Row],[Quotas]]-Table2[[#This Row],[Graduates]]-Table2[[#This Row],[Fail]]</f>
        <v>16</v>
      </c>
    </row>
    <row r="104" spans="2:41" s="202" customFormat="1" ht="15" customHeight="1" x14ac:dyDescent="0.25">
      <c r="B104" s="530"/>
      <c r="C104" s="552" t="s">
        <v>276</v>
      </c>
      <c r="D104" s="200" t="str">
        <f>VLOOKUP(Table2[[#This Row],[Course Title]],'TSD-Data'!$A$1:$E$83,2,FALSE)</f>
        <v>A-493-0103</v>
      </c>
      <c r="E104" s="200" t="str">
        <f>VLOOKUP(Table2[[#This Row],[Course Title]],'TSD-Data'!$A$1:$E$83,3,FALSE)</f>
        <v>12JY</v>
      </c>
      <c r="F104" s="530" t="s">
        <v>101</v>
      </c>
      <c r="G104" s="531">
        <v>45999</v>
      </c>
      <c r="H104" s="531">
        <v>46003</v>
      </c>
      <c r="I104" s="531" t="s">
        <v>42</v>
      </c>
      <c r="J104" s="532">
        <v>0.33333333333333331</v>
      </c>
      <c r="K104" s="532"/>
      <c r="L104" s="531"/>
      <c r="M104" s="531"/>
      <c r="N104" s="531"/>
      <c r="O104" s="531"/>
      <c r="P104" s="531"/>
      <c r="Q104" s="535" t="s">
        <v>280</v>
      </c>
      <c r="R104" s="535"/>
      <c r="S104" s="535"/>
      <c r="T104" s="200">
        <f>VLOOKUP(Table2[[#This Row],[Course Title]],'TSD-Data'!$A$1:$E$83,4,FALSE)</f>
        <v>25</v>
      </c>
      <c r="U104" s="200">
        <f>VLOOKUP(Table2[[#This Row],[Course Title]],'TSD-Data'!$A$1:$F$83,6,FALSE)</f>
        <v>40</v>
      </c>
      <c r="V104" s="201">
        <f>VLOOKUP(Table2[[#This Row],[Course Title]],'TSD-Data'!$A$1:$F$83,5,FALSE)</f>
        <v>5</v>
      </c>
      <c r="W104" s="201">
        <v>516</v>
      </c>
      <c r="X104" s="200">
        <f>Table2[[#This Row],[Quotas]]-Table2[[#This Row],[Open Quotas]]</f>
        <v>25</v>
      </c>
      <c r="Y104" s="200">
        <v>2</v>
      </c>
      <c r="Z104" s="201">
        <v>24</v>
      </c>
      <c r="AA104" s="201">
        <v>0</v>
      </c>
      <c r="AB104" s="200">
        <v>5</v>
      </c>
      <c r="AC104" s="200">
        <v>3</v>
      </c>
      <c r="AD104" s="200">
        <v>0</v>
      </c>
      <c r="AE104" s="200" t="s">
        <v>431</v>
      </c>
      <c r="AF104" s="495">
        <f ca="1">Table2[[#This Row],[End Date]]+2-TODAY()</f>
        <v>-239</v>
      </c>
      <c r="AG104" s="496">
        <f>IF(ISBLANK(Table2[[#This Row],[Roster Received by]]),1,0)</f>
        <v>0</v>
      </c>
      <c r="AH104" s="496">
        <f ca="1">IF(Table2[[#This Row],[Start Date]]&gt;TODAY(),1,)</f>
        <v>0</v>
      </c>
      <c r="AI104" s="496">
        <f>IF(ISBLANK(Table2[[#This Row],[Primary Instructor]]),0,1)</f>
        <v>1</v>
      </c>
      <c r="AJ104" s="496">
        <f>IF(ISBLANK(Table2[[#This Row],[Instructor 2]]),0,1)</f>
        <v>0</v>
      </c>
      <c r="AK104" s="496">
        <f>Table2[[#This Row],[Course Length (Hours)]]/(Table2[[#This Row],[1 Instructor]]+Table2[[#This Row],[2 Instructors]])</f>
        <v>40</v>
      </c>
      <c r="AL104" s="318">
        <v>0</v>
      </c>
      <c r="AM104" s="496">
        <v>1</v>
      </c>
      <c r="AN104" s="496" t="str">
        <f>VLOOKUP(Table2[[#This Row],[Course Title]],'TSD-Data'!$A$1:$G$83,7,FALSE)</f>
        <v>N5</v>
      </c>
      <c r="AO104" s="500">
        <f>Table2[[#This Row],[Quotas]]-Table2[[#This Row],[Graduates]]-Table2[[#This Row],[Fail]]</f>
        <v>1</v>
      </c>
    </row>
    <row r="105" spans="2:41" s="202" customFormat="1" ht="15" customHeight="1" x14ac:dyDescent="0.25">
      <c r="B105" s="530"/>
      <c r="C105" s="530" t="s">
        <v>53</v>
      </c>
      <c r="D105" s="200" t="str">
        <f>VLOOKUP(Table2[[#This Row],[Course Title]],'TSD-Data'!$A$1:$E$83,2,FALSE)</f>
        <v>A-493-0078</v>
      </c>
      <c r="E105" s="200">
        <f>VLOOKUP(Table2[[#This Row],[Course Title]],'TSD-Data'!$A$1:$E$83,3,FALSE)</f>
        <v>1228</v>
      </c>
      <c r="F105" s="530" t="s">
        <v>54</v>
      </c>
      <c r="G105" s="531">
        <v>45999</v>
      </c>
      <c r="H105" s="531">
        <v>46002</v>
      </c>
      <c r="I105" s="531" t="s">
        <v>42</v>
      </c>
      <c r="J105" s="532"/>
      <c r="K105" s="532">
        <v>0.33333333333333331</v>
      </c>
      <c r="L105" s="532">
        <v>0.20833333333333334</v>
      </c>
      <c r="M105" s="541">
        <v>1600</v>
      </c>
      <c r="N105" s="541">
        <v>1400</v>
      </c>
      <c r="O105" s="532">
        <v>0.125</v>
      </c>
      <c r="P105" s="541">
        <v>2200</v>
      </c>
      <c r="Q105" s="535" t="s">
        <v>55</v>
      </c>
      <c r="R105" s="535"/>
      <c r="S105" s="535"/>
      <c r="T105" s="200">
        <f>VLOOKUP(Table2[[#This Row],[Course Title]],'TSD-Data'!$A$1:$E$83,4,FALSE)</f>
        <v>45</v>
      </c>
      <c r="U105" s="200">
        <f>VLOOKUP(Table2[[#This Row],[Course Title]],'TSD-Data'!$A$1:$F$83,6,FALSE)</f>
        <v>32</v>
      </c>
      <c r="V105" s="201">
        <f>VLOOKUP(Table2[[#This Row],[Course Title]],'TSD-Data'!$A$1:$F$83,5,FALSE)</f>
        <v>4</v>
      </c>
      <c r="W105" s="201">
        <v>454</v>
      </c>
      <c r="X105" s="200">
        <f>Table2[[#This Row],[Quotas]]-Table2[[#This Row],[Open Quotas]]</f>
        <v>43</v>
      </c>
      <c r="Y105" s="200">
        <v>1</v>
      </c>
      <c r="Z105" s="201">
        <v>40</v>
      </c>
      <c r="AA105" s="201">
        <v>0</v>
      </c>
      <c r="AB105" s="200">
        <v>4</v>
      </c>
      <c r="AC105" s="200">
        <v>0</v>
      </c>
      <c r="AD105" s="200">
        <v>0</v>
      </c>
      <c r="AE105" s="200" t="s">
        <v>431</v>
      </c>
      <c r="AF105" s="495">
        <f ca="1">Table2[[#This Row],[End Date]]+2-TODAY()</f>
        <v>-240</v>
      </c>
      <c r="AG105" s="496">
        <f>IF(ISBLANK(Table2[[#This Row],[Roster Received by]]),1,0)</f>
        <v>0</v>
      </c>
      <c r="AH105" s="496">
        <f ca="1">IF(Table2[[#This Row],[Start Date]]&gt;TODAY(),1,)</f>
        <v>0</v>
      </c>
      <c r="AI105" s="496">
        <f>IF(ISBLANK(Table2[[#This Row],[Primary Instructor]]),0,1)</f>
        <v>1</v>
      </c>
      <c r="AJ105" s="496">
        <f>IF(ISBLANK(Table2[[#This Row],[Instructor 2]]),0,1)</f>
        <v>0</v>
      </c>
      <c r="AK105" s="496">
        <f>Table2[[#This Row],[Course Length (Hours)]]/(Table2[[#This Row],[1 Instructor]]+Table2[[#This Row],[2 Instructors]])</f>
        <v>32</v>
      </c>
      <c r="AL105" s="318">
        <v>2</v>
      </c>
      <c r="AM105" s="496">
        <v>1</v>
      </c>
      <c r="AN105" s="496" t="str">
        <f>VLOOKUP(Table2[[#This Row],[Course Title]],'TSD-Data'!$A$1:$G$83,7,FALSE)</f>
        <v>N5</v>
      </c>
      <c r="AO105" s="500">
        <f>Table2[[#This Row],[Quotas]]-Table2[[#This Row],[Graduates]]-Table2[[#This Row],[Fail]]</f>
        <v>5</v>
      </c>
    </row>
    <row r="106" spans="2:41" s="202" customFormat="1" ht="15" customHeight="1" x14ac:dyDescent="0.25">
      <c r="B106" s="530"/>
      <c r="C106" s="530" t="s">
        <v>229</v>
      </c>
      <c r="D106" s="200" t="str">
        <f>VLOOKUP(Table2[[#This Row],[Course Title]],'TSD-Data'!$A$1:$E$83,2,FALSE)</f>
        <v>A-570-0100</v>
      </c>
      <c r="E106" s="200" t="str">
        <f>VLOOKUP(Table2[[#This Row],[Course Title]],'TSD-Data'!$A$1:$E$83,3,FALSE)</f>
        <v>18B7</v>
      </c>
      <c r="F106" s="530" t="s">
        <v>54</v>
      </c>
      <c r="G106" s="531">
        <v>45999</v>
      </c>
      <c r="H106" s="531">
        <v>46000</v>
      </c>
      <c r="I106" s="531" t="s">
        <v>42</v>
      </c>
      <c r="J106" s="532"/>
      <c r="K106" s="536">
        <v>0.5</v>
      </c>
      <c r="L106" s="536">
        <v>0.375</v>
      </c>
      <c r="M106" s="536">
        <v>0.83333333333333337</v>
      </c>
      <c r="N106" s="536">
        <v>0.75</v>
      </c>
      <c r="O106" s="536">
        <v>0.29166666666666669</v>
      </c>
      <c r="P106" s="536">
        <v>8.3333333333333329E-2</v>
      </c>
      <c r="Q106" s="535" t="s">
        <v>433</v>
      </c>
      <c r="R106" s="535"/>
      <c r="S106" s="535"/>
      <c r="T106" s="200">
        <f>VLOOKUP(Table2[[#This Row],[Course Title]],'TSD-Data'!$A$1:$E$83,4,FALSE)</f>
        <v>45</v>
      </c>
      <c r="U106" s="200">
        <f>VLOOKUP(Table2[[#This Row],[Course Title]],'TSD-Data'!$A$1:$F$83,6,FALSE)</f>
        <v>16</v>
      </c>
      <c r="V106" s="201">
        <f>VLOOKUP(Table2[[#This Row],[Course Title]],'TSD-Data'!$A$1:$F$83,5,FALSE)</f>
        <v>2</v>
      </c>
      <c r="W106" s="201">
        <v>663</v>
      </c>
      <c r="X106" s="200">
        <f>Table2[[#This Row],[Quotas]]-Table2[[#This Row],[Open Quotas]]</f>
        <v>25</v>
      </c>
      <c r="Y106" s="200">
        <v>0</v>
      </c>
      <c r="Z106" s="201">
        <v>20</v>
      </c>
      <c r="AA106" s="201">
        <v>0</v>
      </c>
      <c r="AB106" s="200">
        <v>7</v>
      </c>
      <c r="AC106" s="200">
        <v>0</v>
      </c>
      <c r="AD106" s="200">
        <v>0</v>
      </c>
      <c r="AE106" s="200" t="s">
        <v>429</v>
      </c>
      <c r="AF106" s="495">
        <f ca="1">Table2[[#This Row],[End Date]]+2-TODAY()</f>
        <v>-242</v>
      </c>
      <c r="AG106" s="496">
        <f>IF(ISBLANK(Table2[[#This Row],[Roster Received by]]),1,0)</f>
        <v>0</v>
      </c>
      <c r="AH106" s="496">
        <f ca="1">IF(Table2[[#This Row],[Start Date]]&gt;TODAY(),1,)</f>
        <v>0</v>
      </c>
      <c r="AI106" s="496">
        <f>IF(ISBLANK(Table2[[#This Row],[Primary Instructor]]),0,1)</f>
        <v>1</v>
      </c>
      <c r="AJ106" s="496">
        <f>IF(ISBLANK(Table2[[#This Row],[Instructor 2]]),0,1)</f>
        <v>0</v>
      </c>
      <c r="AK106" s="496">
        <f>Table2[[#This Row],[Course Length (Hours)]]/(Table2[[#This Row],[1 Instructor]]+Table2[[#This Row],[2 Instructors]])</f>
        <v>16</v>
      </c>
      <c r="AL106" s="318">
        <v>20</v>
      </c>
      <c r="AM106" s="496">
        <v>1</v>
      </c>
      <c r="AN106" s="496" t="str">
        <f>VLOOKUP(Table2[[#This Row],[Course Title]],'TSD-Data'!$A$1:$G$83,7,FALSE)</f>
        <v>N8</v>
      </c>
      <c r="AO106" s="500">
        <f>Table2[[#This Row],[Quotas]]-Table2[[#This Row],[Graduates]]-Table2[[#This Row],[Fail]]</f>
        <v>25</v>
      </c>
    </row>
    <row r="107" spans="2:41" s="202" customFormat="1" ht="15" customHeight="1" x14ac:dyDescent="0.25">
      <c r="B107" s="530"/>
      <c r="C107" s="530" t="s">
        <v>236</v>
      </c>
      <c r="D107" s="200" t="str">
        <f>VLOOKUP(Table2[[#This Row],[Course Title]],'TSD-Data'!$A$1:$E$83,2,FALSE)</f>
        <v>A-493-2098</v>
      </c>
      <c r="E107" s="200" t="str">
        <f>VLOOKUP(Table2[[#This Row],[Course Title]],'TSD-Data'!$A$1:$E$83,3,FALSE)</f>
        <v>09WW</v>
      </c>
      <c r="F107" s="530" t="s">
        <v>54</v>
      </c>
      <c r="G107" s="531">
        <v>45999</v>
      </c>
      <c r="H107" s="531">
        <v>46001</v>
      </c>
      <c r="I107" s="531" t="s">
        <v>42</v>
      </c>
      <c r="J107" s="532"/>
      <c r="K107" s="532">
        <v>0.33333333333333331</v>
      </c>
      <c r="L107" s="553">
        <v>0.20833333333333334</v>
      </c>
      <c r="M107" s="541">
        <v>1600</v>
      </c>
      <c r="N107" s="541">
        <v>1400</v>
      </c>
      <c r="O107" s="532">
        <v>0.125</v>
      </c>
      <c r="P107" s="541">
        <v>2200</v>
      </c>
      <c r="Q107" s="535" t="s">
        <v>433</v>
      </c>
      <c r="R107" s="535"/>
      <c r="S107" s="535"/>
      <c r="T107" s="200">
        <f>VLOOKUP(Table2[[#This Row],[Course Title]],'TSD-Data'!$A$1:$E$83,4,FALSE)</f>
        <v>100</v>
      </c>
      <c r="U107" s="200">
        <f>VLOOKUP(Table2[[#This Row],[Course Title]],'TSD-Data'!$A$1:$F$83,6,FALSE)</f>
        <v>16</v>
      </c>
      <c r="V107" s="201">
        <f>VLOOKUP(Table2[[#This Row],[Course Title]],'TSD-Data'!$A$1:$F$83,5,FALSE)</f>
        <v>3</v>
      </c>
      <c r="W107" s="201"/>
      <c r="X107" s="200">
        <f>Table2[[#This Row],[Quotas]]-Table2[[#This Row],[Open Quotas]]</f>
        <v>70</v>
      </c>
      <c r="Y107" s="200">
        <v>0</v>
      </c>
      <c r="Z107" s="201">
        <v>81</v>
      </c>
      <c r="AA107" s="201">
        <v>4</v>
      </c>
      <c r="AB107" s="200">
        <v>15</v>
      </c>
      <c r="AC107" s="200">
        <v>0</v>
      </c>
      <c r="AD107" s="200">
        <v>0</v>
      </c>
      <c r="AE107" s="200" t="s">
        <v>428</v>
      </c>
      <c r="AF107" s="495">
        <f ca="1">Table2[[#This Row],[End Date]]+2-TODAY()</f>
        <v>-241</v>
      </c>
      <c r="AG107" s="496">
        <f>IF(ISBLANK(Table2[[#This Row],[Roster Received by]]),1,0)</f>
        <v>0</v>
      </c>
      <c r="AH107" s="496">
        <f ca="1">IF(Table2[[#This Row],[Start Date]]&gt;TODAY(),1,)</f>
        <v>0</v>
      </c>
      <c r="AI107" s="496">
        <f>IF(ISBLANK(Table2[[#This Row],[Primary Instructor]]),0,1)</f>
        <v>1</v>
      </c>
      <c r="AJ107" s="496">
        <f>IF(ISBLANK(Table2[[#This Row],[Instructor 2]]),0,1)</f>
        <v>0</v>
      </c>
      <c r="AK107" s="496">
        <f>Table2[[#This Row],[Course Length (Hours)]]/(Table2[[#This Row],[1 Instructor]]+Table2[[#This Row],[2 Instructors]])</f>
        <v>16</v>
      </c>
      <c r="AL107" s="318">
        <v>30</v>
      </c>
      <c r="AM107" s="496">
        <v>1</v>
      </c>
      <c r="AN107" s="496" t="str">
        <f>VLOOKUP(Table2[[#This Row],[Course Title]],'TSD-Data'!$A$1:$G$83,7,FALSE)</f>
        <v>N8</v>
      </c>
      <c r="AO107" s="500">
        <f>Table2[[#This Row],[Quotas]]-Table2[[#This Row],[Graduates]]-Table2[[#This Row],[Fail]]</f>
        <v>15</v>
      </c>
    </row>
    <row r="108" spans="2:41" s="202" customFormat="1" ht="15" customHeight="1" x14ac:dyDescent="0.25">
      <c r="B108" s="530"/>
      <c r="C108" s="7" t="s">
        <v>63</v>
      </c>
      <c r="D108" s="200" t="str">
        <f>VLOOKUP(Table2[[#This Row],[Course Title]],'TSD-Data'!$A$1:$E$83,2,FALSE)</f>
        <v>A-493-0015</v>
      </c>
      <c r="E108" s="200">
        <f>VLOOKUP(Table2[[#This Row],[Course Title]],'TSD-Data'!$A$1:$E$83,3,FALSE)</f>
        <v>3879</v>
      </c>
      <c r="F108" s="530" t="s">
        <v>61</v>
      </c>
      <c r="G108" s="531">
        <v>46000</v>
      </c>
      <c r="H108" s="531">
        <v>46000</v>
      </c>
      <c r="I108" s="531" t="s">
        <v>42</v>
      </c>
      <c r="J108" s="532">
        <v>0.33333333333333331</v>
      </c>
      <c r="K108" s="532"/>
      <c r="L108" s="531"/>
      <c r="M108" s="531"/>
      <c r="N108" s="531"/>
      <c r="O108" s="531"/>
      <c r="P108" s="531"/>
      <c r="Q108" s="535" t="s">
        <v>67</v>
      </c>
      <c r="R108" s="535"/>
      <c r="S108" s="535"/>
      <c r="T108" s="200">
        <f>VLOOKUP(Table2[[#This Row],[Course Title]],'TSD-Data'!$A$1:$E$83,4,FALSE)</f>
        <v>30</v>
      </c>
      <c r="U108" s="200">
        <f>VLOOKUP(Table2[[#This Row],[Course Title]],'TSD-Data'!$A$1:$F$83,6,FALSE)</f>
        <v>4</v>
      </c>
      <c r="V108" s="201">
        <f>VLOOKUP(Table2[[#This Row],[Course Title]],'TSD-Data'!$A$1:$F$83,5,FALSE)</f>
        <v>0.5</v>
      </c>
      <c r="W108" s="201"/>
      <c r="X108" s="200">
        <f>Table2[[#This Row],[Quotas]]-Table2[[#This Row],[Open Quotas]]</f>
        <v>23</v>
      </c>
      <c r="Y108" s="200">
        <v>0</v>
      </c>
      <c r="Z108" s="201">
        <v>21</v>
      </c>
      <c r="AA108" s="201">
        <v>0</v>
      </c>
      <c r="AB108" s="200">
        <v>0</v>
      </c>
      <c r="AC108" s="200">
        <v>0</v>
      </c>
      <c r="AD108" s="200">
        <v>0</v>
      </c>
      <c r="AE108" s="200" t="s">
        <v>429</v>
      </c>
      <c r="AF108" s="495">
        <f ca="1">Table2[[#This Row],[End Date]]+2-TODAY()</f>
        <v>-242</v>
      </c>
      <c r="AG108" s="496">
        <f>IF(ISBLANK(Table2[[#This Row],[Roster Received by]]),1,0)</f>
        <v>0</v>
      </c>
      <c r="AH108" s="496">
        <f ca="1">IF(Table2[[#This Row],[Start Date]]&gt;TODAY(),1,)</f>
        <v>0</v>
      </c>
      <c r="AI108" s="496">
        <f>IF(ISBLANK(Table2[[#This Row],[Primary Instructor]]),0,1)</f>
        <v>1</v>
      </c>
      <c r="AJ108" s="496">
        <f>IF(ISBLANK(Table2[[#This Row],[Instructor 2]]),0,1)</f>
        <v>0</v>
      </c>
      <c r="AK108" s="496">
        <f>Table2[[#This Row],[Course Length (Hours)]]/(Table2[[#This Row],[1 Instructor]]+Table2[[#This Row],[2 Instructors]])</f>
        <v>4</v>
      </c>
      <c r="AL108" s="318">
        <v>7</v>
      </c>
      <c r="AM108" s="496">
        <v>1</v>
      </c>
      <c r="AN108" s="496" t="str">
        <f>VLOOKUP(Table2[[#This Row],[Course Title]],'TSD-Data'!$A$1:$G$83,7,FALSE)</f>
        <v>N3</v>
      </c>
      <c r="AO108" s="500">
        <f>Table2[[#This Row],[Quotas]]-Table2[[#This Row],[Graduates]]-Table2[[#This Row],[Fail]]</f>
        <v>9</v>
      </c>
    </row>
    <row r="109" spans="2:41" s="202" customFormat="1" ht="15" customHeight="1" x14ac:dyDescent="0.25">
      <c r="B109" s="530"/>
      <c r="C109" s="7" t="s">
        <v>64</v>
      </c>
      <c r="D109" s="200" t="str">
        <f>VLOOKUP(Table2[[#This Row],[Course Title]],'TSD-Data'!$A$1:$E$83,2,FALSE)</f>
        <v>A-493-0020</v>
      </c>
      <c r="E109" s="200">
        <f>VLOOKUP(Table2[[#This Row],[Course Title]],'TSD-Data'!$A$1:$E$83,3,FALSE)</f>
        <v>3888</v>
      </c>
      <c r="F109" s="530" t="s">
        <v>61</v>
      </c>
      <c r="G109" s="531">
        <v>46000</v>
      </c>
      <c r="H109" s="531">
        <v>46000</v>
      </c>
      <c r="I109" s="531" t="s">
        <v>42</v>
      </c>
      <c r="J109" s="532">
        <v>0.33333333333333331</v>
      </c>
      <c r="K109" s="532"/>
      <c r="L109" s="551"/>
      <c r="M109" s="531"/>
      <c r="N109" s="531"/>
      <c r="O109" s="531"/>
      <c r="P109" s="531"/>
      <c r="Q109" s="535" t="s">
        <v>67</v>
      </c>
      <c r="R109" s="535"/>
      <c r="S109" s="535"/>
      <c r="T109" s="200">
        <f>VLOOKUP(Table2[[#This Row],[Course Title]],'TSD-Data'!$A$1:$E$83,4,FALSE)</f>
        <v>30</v>
      </c>
      <c r="U109" s="200">
        <f>VLOOKUP(Table2[[#This Row],[Course Title]],'TSD-Data'!$A$1:$F$83,6,FALSE)</f>
        <v>4</v>
      </c>
      <c r="V109" s="201">
        <f>VLOOKUP(Table2[[#This Row],[Course Title]],'TSD-Data'!$A$1:$F$83,5,FALSE)</f>
        <v>0.5</v>
      </c>
      <c r="W109" s="201"/>
      <c r="X109" s="200">
        <f>Table2[[#This Row],[Quotas]]-Table2[[#This Row],[Open Quotas]]</f>
        <v>11</v>
      </c>
      <c r="Y109" s="200">
        <v>0</v>
      </c>
      <c r="Z109" s="201">
        <v>10</v>
      </c>
      <c r="AA109" s="201">
        <v>0</v>
      </c>
      <c r="AB109" s="200">
        <v>0</v>
      </c>
      <c r="AC109" s="200">
        <v>0</v>
      </c>
      <c r="AD109" s="200">
        <v>0</v>
      </c>
      <c r="AE109" s="200" t="s">
        <v>429</v>
      </c>
      <c r="AF109" s="495">
        <f ca="1">Table2[[#This Row],[End Date]]+2-TODAY()</f>
        <v>-242</v>
      </c>
      <c r="AG109" s="496">
        <f>IF(ISBLANK(Table2[[#This Row],[Roster Received by]]),1,0)</f>
        <v>0</v>
      </c>
      <c r="AH109" s="496">
        <f ca="1">IF(Table2[[#This Row],[Start Date]]&gt;TODAY(),1,)</f>
        <v>0</v>
      </c>
      <c r="AI109" s="496">
        <f>IF(ISBLANK(Table2[[#This Row],[Primary Instructor]]),0,1)</f>
        <v>1</v>
      </c>
      <c r="AJ109" s="496">
        <f>IF(ISBLANK(Table2[[#This Row],[Instructor 2]]),0,1)</f>
        <v>0</v>
      </c>
      <c r="AK109" s="496">
        <f>Table2[[#This Row],[Course Length (Hours)]]/(Table2[[#This Row],[1 Instructor]]+Table2[[#This Row],[2 Instructors]])</f>
        <v>4</v>
      </c>
      <c r="AL109" s="318">
        <v>19</v>
      </c>
      <c r="AM109" s="496">
        <v>1</v>
      </c>
      <c r="AN109" s="496" t="str">
        <f>VLOOKUP(Table2[[#This Row],[Course Title]],'TSD-Data'!$A$1:$G$83,7,FALSE)</f>
        <v>N3</v>
      </c>
      <c r="AO109" s="500">
        <f>Table2[[#This Row],[Quotas]]-Table2[[#This Row],[Graduates]]-Table2[[#This Row],[Fail]]</f>
        <v>20</v>
      </c>
    </row>
    <row r="110" spans="2:41" s="202" customFormat="1" ht="15" customHeight="1" x14ac:dyDescent="0.25">
      <c r="B110" s="530"/>
      <c r="C110" s="542" t="s">
        <v>249</v>
      </c>
      <c r="D110" s="200" t="str">
        <f>VLOOKUP(Table2[[#This Row],[Course Title]],'TSD-Data'!$A$1:$E$83,2,FALSE)</f>
        <v>A-493-0331</v>
      </c>
      <c r="E110" s="200" t="str">
        <f>VLOOKUP(Table2[[#This Row],[Course Title]],'TSD-Data'!$A$1:$E$83,3,FALSE)</f>
        <v>10UG</v>
      </c>
      <c r="F110" s="530" t="s">
        <v>54</v>
      </c>
      <c r="G110" s="531">
        <v>46000</v>
      </c>
      <c r="H110" s="531">
        <v>46002</v>
      </c>
      <c r="I110" s="531" t="s">
        <v>42</v>
      </c>
      <c r="J110" s="532"/>
      <c r="K110" s="536">
        <v>0.5</v>
      </c>
      <c r="L110" s="536">
        <v>0.375</v>
      </c>
      <c r="M110" s="536">
        <v>0.83333333333333337</v>
      </c>
      <c r="N110" s="536">
        <v>0.75</v>
      </c>
      <c r="O110" s="536">
        <v>0.29166666666666669</v>
      </c>
      <c r="P110" s="536">
        <v>8.3333333333333329E-2</v>
      </c>
      <c r="Q110" s="535" t="s">
        <v>82</v>
      </c>
      <c r="R110" s="535"/>
      <c r="S110" s="535"/>
      <c r="T110" s="200">
        <f>VLOOKUP(Table2[[#This Row],[Course Title]],'TSD-Data'!$A$1:$E$83,4,FALSE)</f>
        <v>45</v>
      </c>
      <c r="U110" s="200">
        <f>VLOOKUP(Table2[[#This Row],[Course Title]],'TSD-Data'!$A$1:$F$83,6,FALSE)</f>
        <v>24</v>
      </c>
      <c r="V110" s="201">
        <f>VLOOKUP(Table2[[#This Row],[Course Title]],'TSD-Data'!$A$1:$F$83,5,FALSE)</f>
        <v>3</v>
      </c>
      <c r="W110" s="201">
        <v>844</v>
      </c>
      <c r="X110" s="200">
        <f>Table2[[#This Row],[Quotas]]-Table2[[#This Row],[Open Quotas]]</f>
        <v>43</v>
      </c>
      <c r="Y110" s="200">
        <v>0</v>
      </c>
      <c r="Z110" s="201">
        <v>28</v>
      </c>
      <c r="AA110" s="201">
        <v>4</v>
      </c>
      <c r="AB110" s="200">
        <v>13</v>
      </c>
      <c r="AC110" s="200">
        <v>0</v>
      </c>
      <c r="AD110" s="200">
        <v>0</v>
      </c>
      <c r="AE110" s="200" t="s">
        <v>429</v>
      </c>
      <c r="AF110" s="495">
        <f ca="1">Table2[[#This Row],[End Date]]+2-TODAY()</f>
        <v>-240</v>
      </c>
      <c r="AG110" s="496">
        <f>IF(ISBLANK(Table2[[#This Row],[Roster Received by]]),1,0)</f>
        <v>0</v>
      </c>
      <c r="AH110" s="496">
        <f ca="1">IF(Table2[[#This Row],[Start Date]]&gt;TODAY(),1,)</f>
        <v>0</v>
      </c>
      <c r="AI110" s="496">
        <f>IF(ISBLANK(Table2[[#This Row],[Primary Instructor]]),0,1)</f>
        <v>1</v>
      </c>
      <c r="AJ110" s="496">
        <f>IF(ISBLANK(Table2[[#This Row],[Instructor 2]]),0,1)</f>
        <v>0</v>
      </c>
      <c r="AK110" s="496">
        <f>Table2[[#This Row],[Course Length (Hours)]]/(Table2[[#This Row],[1 Instructor]]+Table2[[#This Row],[2 Instructors]])</f>
        <v>24</v>
      </c>
      <c r="AL110" s="318">
        <v>2</v>
      </c>
      <c r="AM110" s="496">
        <v>1</v>
      </c>
      <c r="AN110" s="496" t="str">
        <f>VLOOKUP(Table2[[#This Row],[Course Title]],'TSD-Data'!$A$1:$G$83,7,FALSE)</f>
        <v>N3</v>
      </c>
      <c r="AO110" s="500">
        <f>Table2[[#This Row],[Quotas]]-Table2[[#This Row],[Graduates]]-Table2[[#This Row],[Fail]]</f>
        <v>13</v>
      </c>
    </row>
    <row r="111" spans="2:41" s="202" customFormat="1" ht="15" customHeight="1" x14ac:dyDescent="0.25">
      <c r="B111" s="530"/>
      <c r="C111" s="530" t="s">
        <v>56</v>
      </c>
      <c r="D111" s="200" t="str">
        <f>VLOOKUP(Table2[[#This Row],[Course Title]],'TSD-Data'!$A$1:$E$83,2,FALSE)</f>
        <v>A-493-0550</v>
      </c>
      <c r="E111" s="200" t="str">
        <f>VLOOKUP(Table2[[#This Row],[Course Title]],'TSD-Data'!$A$1:$E$83,3,FALSE)</f>
        <v>09K5</v>
      </c>
      <c r="F111" s="530" t="s">
        <v>54</v>
      </c>
      <c r="G111" s="531">
        <v>46000</v>
      </c>
      <c r="H111" s="531">
        <v>46003</v>
      </c>
      <c r="I111" s="531" t="s">
        <v>42</v>
      </c>
      <c r="J111" s="532"/>
      <c r="K111" s="536">
        <v>0.5</v>
      </c>
      <c r="L111" s="536">
        <v>0.375</v>
      </c>
      <c r="M111" s="536">
        <v>0.83333333333333337</v>
      </c>
      <c r="N111" s="536">
        <v>0.75</v>
      </c>
      <c r="O111" s="536">
        <v>0.29166666666666669</v>
      </c>
      <c r="P111" s="536">
        <v>8.3333333333333329E-2</v>
      </c>
      <c r="Q111" s="535" t="s">
        <v>427</v>
      </c>
      <c r="R111" s="535"/>
      <c r="S111" s="535"/>
      <c r="T111" s="200">
        <f>VLOOKUP(Table2[[#This Row],[Course Title]],'TSD-Data'!$A$1:$E$83,4,FALSE)</f>
        <v>45</v>
      </c>
      <c r="U111" s="200">
        <f>VLOOKUP(Table2[[#This Row],[Course Title]],'TSD-Data'!$A$1:$F$83,6,FALSE)</f>
        <v>32</v>
      </c>
      <c r="V111" s="201">
        <f>VLOOKUP(Table2[[#This Row],[Course Title]],'TSD-Data'!$A$1:$F$83,5,FALSE)</f>
        <v>4</v>
      </c>
      <c r="W111" s="201">
        <v>864</v>
      </c>
      <c r="X111" s="200">
        <f>Table2[[#This Row],[Quotas]]-Table2[[#This Row],[Open Quotas]]</f>
        <v>44</v>
      </c>
      <c r="Y111" s="200">
        <v>0</v>
      </c>
      <c r="Z111" s="201">
        <v>42</v>
      </c>
      <c r="AA111" s="201">
        <v>0</v>
      </c>
      <c r="AB111" s="200">
        <v>4</v>
      </c>
      <c r="AC111" s="200">
        <v>0</v>
      </c>
      <c r="AD111" s="200">
        <v>0</v>
      </c>
      <c r="AE111" s="200" t="s">
        <v>431</v>
      </c>
      <c r="AF111" s="495">
        <f ca="1">Table2[[#This Row],[End Date]]+2-TODAY()</f>
        <v>-239</v>
      </c>
      <c r="AG111" s="496">
        <f>IF(ISBLANK(Table2[[#This Row],[Roster Received by]]),1,0)</f>
        <v>0</v>
      </c>
      <c r="AH111" s="496">
        <f ca="1">IF(Table2[[#This Row],[Start Date]]&gt;TODAY(),1,)</f>
        <v>0</v>
      </c>
      <c r="AI111" s="496">
        <f>IF(ISBLANK(Table2[[#This Row],[Primary Instructor]]),0,1)</f>
        <v>1</v>
      </c>
      <c r="AJ111" s="496">
        <f>IF(ISBLANK(Table2[[#This Row],[Instructor 2]]),0,1)</f>
        <v>0</v>
      </c>
      <c r="AK111" s="496">
        <f>Table2[[#This Row],[Course Length (Hours)]]/(Table2[[#This Row],[1 Instructor]]+Table2[[#This Row],[2 Instructors]])</f>
        <v>32</v>
      </c>
      <c r="AL111" s="318">
        <v>1</v>
      </c>
      <c r="AM111" s="496">
        <v>1</v>
      </c>
      <c r="AN111" s="496" t="str">
        <f>VLOOKUP(Table2[[#This Row],[Course Title]],'TSD-Data'!$A$1:$G$83,7,FALSE)</f>
        <v>N5</v>
      </c>
      <c r="AO111" s="500">
        <f>Table2[[#This Row],[Quotas]]-Table2[[#This Row],[Graduates]]-Table2[[#This Row],[Fail]]</f>
        <v>3</v>
      </c>
    </row>
    <row r="112" spans="2:41" s="202" customFormat="1" ht="15" customHeight="1" x14ac:dyDescent="0.25">
      <c r="B112" s="530" t="s">
        <v>447</v>
      </c>
      <c r="C112" s="542" t="s">
        <v>205</v>
      </c>
      <c r="D112" s="200" t="str">
        <f>VLOOKUP(Table2[[#This Row],[Course Title]],'TSD-Data'!$A$1:$E$83,2,FALSE)</f>
        <v>Function</v>
      </c>
      <c r="E112" s="200" t="str">
        <f>VLOOKUP(Table2[[#This Row],[Course Title]],'TSD-Data'!$A$1:$E$83,3,FALSE)</f>
        <v>Function</v>
      </c>
      <c r="F112" s="542" t="s">
        <v>130</v>
      </c>
      <c r="G112" s="531">
        <v>46001</v>
      </c>
      <c r="H112" s="531">
        <v>46001</v>
      </c>
      <c r="I112" s="531" t="s">
        <v>434</v>
      </c>
      <c r="J112" s="541"/>
      <c r="K112" s="541"/>
      <c r="L112" s="541"/>
      <c r="M112" s="541"/>
      <c r="N112" s="541"/>
      <c r="O112" s="541"/>
      <c r="P112" s="541"/>
      <c r="Q112" s="542" t="s">
        <v>435</v>
      </c>
      <c r="R112" s="542"/>
      <c r="S112" s="542"/>
      <c r="T112" s="200">
        <f>VLOOKUP(Table2[[#This Row],[Course Title]],'TSD-Data'!$A$1:$E$83,4,FALSE)</f>
        <v>0</v>
      </c>
      <c r="U112" s="200">
        <f>VLOOKUP(Table2[[#This Row],[Course Title]],'TSD-Data'!$A$1:$F$83,6,FALSE)</f>
        <v>0</v>
      </c>
      <c r="V112" s="201">
        <f>VLOOKUP(Table2[[#This Row],[Course Title]],'TSD-Data'!$A$1:$F$83,5,FALSE)</f>
        <v>0</v>
      </c>
      <c r="W112" s="543">
        <v>0</v>
      </c>
      <c r="X112" s="200">
        <f>Table2[[#This Row],[Quotas]]-Table2[[#This Row],[Open Quotas]]</f>
        <v>0</v>
      </c>
      <c r="Y112" s="541">
        <v>0</v>
      </c>
      <c r="Z112" s="541">
        <v>0</v>
      </c>
      <c r="AA112" s="541">
        <v>0</v>
      </c>
      <c r="AB112" s="541">
        <v>0</v>
      </c>
      <c r="AC112" s="541">
        <v>0</v>
      </c>
      <c r="AD112" s="541">
        <v>0</v>
      </c>
      <c r="AE112" s="541" t="s">
        <v>436</v>
      </c>
      <c r="AF112" s="495">
        <f ca="1">Table2[[#This Row],[End Date]]+2-TODAY()</f>
        <v>-241</v>
      </c>
      <c r="AG112" s="496">
        <f>IF(ISBLANK(Table2[[#This Row],[Roster Received by]]),1,0)</f>
        <v>0</v>
      </c>
      <c r="AH112" s="496">
        <f ca="1">IF(Table2[[#This Row],[Start Date]]&gt;TODAY(),1,)</f>
        <v>0</v>
      </c>
      <c r="AI112" s="496">
        <f>IF(ISBLANK(Table2[[#This Row],[Primary Instructor]]),0,1)</f>
        <v>1</v>
      </c>
      <c r="AJ112" s="496">
        <f>IF(ISBLANK(Table2[[#This Row],[Instructor 2]]),0,1)</f>
        <v>0</v>
      </c>
      <c r="AK112" s="496">
        <f>Table2[[#This Row],[Course Length (Hours)]]/(Table2[[#This Row],[1 Instructor]]+Table2[[#This Row],[2 Instructors]])</f>
        <v>0</v>
      </c>
      <c r="AL112" s="320">
        <v>0</v>
      </c>
      <c r="AM112" s="496">
        <v>1</v>
      </c>
      <c r="AN112" s="496" t="str">
        <f>VLOOKUP(Table2[[#This Row],[Course Title]],'TSD-Data'!$A$1:$G$83,7,FALSE)</f>
        <v>TSD</v>
      </c>
      <c r="AO112" s="500">
        <f>Table2[[#This Row],[Quotas]]-Table2[[#This Row],[Graduates]]-Table2[[#This Row],[Fail]]</f>
        <v>0</v>
      </c>
    </row>
    <row r="113" spans="2:41" s="202" customFormat="1" ht="15" customHeight="1" x14ac:dyDescent="0.25">
      <c r="B113" s="530"/>
      <c r="C113" s="530" t="s">
        <v>401</v>
      </c>
      <c r="D113" s="200" t="str">
        <f>VLOOKUP(Table2[[#This Row],[Course Title]],'TSD-Data'!$A$1:$E$83,2,FALSE)</f>
        <v>A-493-3002</v>
      </c>
      <c r="E113" s="200" t="str">
        <f>VLOOKUP(Table2[[#This Row],[Course Title]],'TSD-Data'!$A$1:$E$83,3,FALSE)</f>
        <v>31V4</v>
      </c>
      <c r="F113" s="530" t="s">
        <v>54</v>
      </c>
      <c r="G113" s="531">
        <v>46005</v>
      </c>
      <c r="H113" s="531">
        <v>46005</v>
      </c>
      <c r="I113" s="531" t="s">
        <v>42</v>
      </c>
      <c r="J113" s="532"/>
      <c r="K113" s="532">
        <v>0.75</v>
      </c>
      <c r="L113" s="553">
        <v>0.625</v>
      </c>
      <c r="M113" s="532">
        <v>8.3333333333333329E-2</v>
      </c>
      <c r="N113" s="532">
        <v>0</v>
      </c>
      <c r="O113" s="532">
        <v>0.54166666666666663</v>
      </c>
      <c r="P113" s="532">
        <v>0.33333333333333331</v>
      </c>
      <c r="Q113" s="535" t="s">
        <v>441</v>
      </c>
      <c r="R113" s="535"/>
      <c r="S113" s="535"/>
      <c r="T113" s="200">
        <f>VLOOKUP(Table2[[#This Row],[Course Title]],'TSD-Data'!$A$1:$E$83,4,FALSE)</f>
        <v>1000</v>
      </c>
      <c r="U113" s="200">
        <f>VLOOKUP(Table2[[#This Row],[Course Title]],'TSD-Data'!$A$1:$F$83,6,FALSE)</f>
        <v>8</v>
      </c>
      <c r="V113" s="201">
        <f>VLOOKUP(Table2[[#This Row],[Course Title]],'TSD-Data'!$A$1:$F$83,5,FALSE)</f>
        <v>1</v>
      </c>
      <c r="W113" s="201">
        <v>0</v>
      </c>
      <c r="X113" s="200">
        <f>Table2[[#This Row],[Quotas]]-Table2[[#This Row],[Open Quotas]]</f>
        <v>1</v>
      </c>
      <c r="Y113" s="200">
        <v>0</v>
      </c>
      <c r="Z113" s="201">
        <v>37</v>
      </c>
      <c r="AA113" s="201">
        <v>0</v>
      </c>
      <c r="AB113" s="200">
        <v>0</v>
      </c>
      <c r="AC113" s="200">
        <v>0</v>
      </c>
      <c r="AD113" s="200">
        <v>6</v>
      </c>
      <c r="AE113" s="200" t="s">
        <v>442</v>
      </c>
      <c r="AF113" s="495">
        <f ca="1">Table2[[#This Row],[End Date]]+2-TODAY()</f>
        <v>-237</v>
      </c>
      <c r="AG113" s="496">
        <f>IF(ISBLANK(Table2[[#This Row],[Roster Received by]]),1,0)</f>
        <v>0</v>
      </c>
      <c r="AH113" s="496">
        <f ca="1">IF(Table2[[#This Row],[Start Date]]&gt;TODAY(),1,)</f>
        <v>0</v>
      </c>
      <c r="AI113" s="496">
        <f>IF(ISBLANK(Table2[[#This Row],[Primary Instructor]]),0,1)</f>
        <v>1</v>
      </c>
      <c r="AJ113" s="496">
        <f>IF(ISBLANK(Table2[[#This Row],[Instructor 2]]),0,1)</f>
        <v>0</v>
      </c>
      <c r="AK113" s="496">
        <f>'TSD- FY26 Canceled Courses'!AJ44</f>
        <v>0</v>
      </c>
      <c r="AL113" s="318">
        <v>999</v>
      </c>
      <c r="AM113" s="496">
        <v>1</v>
      </c>
      <c r="AN113" s="496" t="str">
        <f>VLOOKUP(Table2[[#This Row],[Course Title]],'TSD-Data'!$A$1:$G$83,7,FALSE)</f>
        <v>N8-RMI</v>
      </c>
      <c r="AO113" s="500">
        <f>Table2[[#This Row],[Quotas]]-Table2[[#This Row],[Graduates]]-Table2[[#This Row],[Fail]]</f>
        <v>963</v>
      </c>
    </row>
    <row r="114" spans="2:41" s="202" customFormat="1" ht="15" customHeight="1" x14ac:dyDescent="0.25">
      <c r="B114" s="530"/>
      <c r="C114" s="530" t="s">
        <v>410</v>
      </c>
      <c r="D114" s="200" t="str">
        <f>VLOOKUP(Table2[[#This Row],[Course Title]],'TSD-Data'!$A$1:$E$83,2,FALSE)</f>
        <v>A-493-3006</v>
      </c>
      <c r="E114" s="200" t="str">
        <f>VLOOKUP(Table2[[#This Row],[Course Title]],'TSD-Data'!$A$1:$E$83,3,FALSE)</f>
        <v>31V8</v>
      </c>
      <c r="F114" s="530" t="s">
        <v>54</v>
      </c>
      <c r="G114" s="531">
        <v>46005</v>
      </c>
      <c r="H114" s="531">
        <v>46005</v>
      </c>
      <c r="I114" s="531" t="s">
        <v>42</v>
      </c>
      <c r="J114" s="532"/>
      <c r="K114" s="532">
        <v>0.95833333333333337</v>
      </c>
      <c r="L114" s="553">
        <v>0.83333333333333337</v>
      </c>
      <c r="M114" s="532">
        <v>0.29166666666666669</v>
      </c>
      <c r="N114" s="532">
        <v>0.20833333333333334</v>
      </c>
      <c r="O114" s="532">
        <v>0.75</v>
      </c>
      <c r="P114" s="532">
        <v>0.54166666666666663</v>
      </c>
      <c r="Q114" s="535" t="s">
        <v>441</v>
      </c>
      <c r="R114" s="535"/>
      <c r="S114" s="535"/>
      <c r="T114" s="200">
        <f>VLOOKUP(Table2[[#This Row],[Course Title]],'TSD-Data'!$A$1:$E$83,4,FALSE)</f>
        <v>1000</v>
      </c>
      <c r="U114" s="200">
        <f>VLOOKUP(Table2[[#This Row],[Course Title]],'TSD-Data'!$A$1:$F$83,6,FALSE)</f>
        <v>2</v>
      </c>
      <c r="V114" s="201">
        <f>VLOOKUP(Table2[[#This Row],[Course Title]],'TSD-Data'!$A$1:$F$83,5,FALSE)</f>
        <v>0.1</v>
      </c>
      <c r="W114" s="201"/>
      <c r="X114" s="200">
        <f>Table2[[#This Row],[Quotas]]-Table2[[#This Row],[Open Quotas]]</f>
        <v>1</v>
      </c>
      <c r="Y114" s="200">
        <v>0</v>
      </c>
      <c r="Z114" s="201">
        <v>37</v>
      </c>
      <c r="AA114" s="201">
        <v>0</v>
      </c>
      <c r="AB114" s="200">
        <v>0</v>
      </c>
      <c r="AC114" s="200">
        <v>0</v>
      </c>
      <c r="AD114" s="200">
        <v>6</v>
      </c>
      <c r="AE114" s="200" t="s">
        <v>442</v>
      </c>
      <c r="AF114" s="495">
        <f ca="1">Table2[[#This Row],[End Date]]+2-TODAY()</f>
        <v>-237</v>
      </c>
      <c r="AG114" s="496">
        <f>IF(ISBLANK(Table2[[#This Row],[Roster Received by]]),1,0)</f>
        <v>0</v>
      </c>
      <c r="AH114" s="496">
        <f ca="1">IF(Table2[[#This Row],[Start Date]]&gt;TODAY(),1,)</f>
        <v>0</v>
      </c>
      <c r="AI114" s="496">
        <f>IF(ISBLANK(Table2[[#This Row],[Primary Instructor]]),0,1)</f>
        <v>1</v>
      </c>
      <c r="AJ114" s="496">
        <f>IF(ISBLANK(Table2[[#This Row],[Instructor 2]]),0,1)</f>
        <v>0</v>
      </c>
      <c r="AK114" s="496">
        <f>'TSD- FY26 Canceled Courses'!AJ119</f>
        <v>0</v>
      </c>
      <c r="AL114" s="318">
        <v>999</v>
      </c>
      <c r="AM114" s="496">
        <v>1</v>
      </c>
      <c r="AN114" s="496" t="str">
        <f>VLOOKUP(Table2[[#This Row],[Course Title]],'TSD-Data'!$A$1:$G$83,7,FALSE)</f>
        <v>N8-RMI</v>
      </c>
      <c r="AO114" s="500">
        <f>Table2[[#This Row],[Quotas]]-Table2[[#This Row],[Graduates]]-Table2[[#This Row],[Fail]]</f>
        <v>963</v>
      </c>
    </row>
    <row r="115" spans="2:41" s="202" customFormat="1" ht="15" customHeight="1" x14ac:dyDescent="0.25">
      <c r="B115" s="530" t="s">
        <v>448</v>
      </c>
      <c r="C115" s="530" t="s">
        <v>196</v>
      </c>
      <c r="D115" s="200" t="str">
        <f>VLOOKUP(Table2[[#This Row],[Course Title]],'TSD-Data'!$A$1:$E$83,2,FALSE)</f>
        <v>A-4J-0022</v>
      </c>
      <c r="E115" s="200" t="str">
        <f>VLOOKUP(Table2[[#This Row],[Course Title]],'TSD-Data'!$A$1:$E$83,3,FALSE)</f>
        <v>09ER</v>
      </c>
      <c r="F115" s="530" t="s">
        <v>54</v>
      </c>
      <c r="G115" s="531">
        <v>46006</v>
      </c>
      <c r="H115" s="531">
        <v>46010</v>
      </c>
      <c r="I115" s="531" t="s">
        <v>42</v>
      </c>
      <c r="J115" s="532"/>
      <c r="K115" s="536">
        <v>0.5</v>
      </c>
      <c r="L115" s="536">
        <v>0.375</v>
      </c>
      <c r="M115" s="536">
        <v>0.83333333333333337</v>
      </c>
      <c r="N115" s="536">
        <v>0.75</v>
      </c>
      <c r="O115" s="536">
        <v>0.29166666666666669</v>
      </c>
      <c r="P115" s="536">
        <v>8.3333333333333329E-2</v>
      </c>
      <c r="Q115" s="535" t="s">
        <v>295</v>
      </c>
      <c r="R115" s="535"/>
      <c r="S115" s="535"/>
      <c r="T115" s="200">
        <f>VLOOKUP(Table2[[#This Row],[Course Title]],'TSD-Data'!$A$1:$E$83,4,FALSE)</f>
        <v>45</v>
      </c>
      <c r="U115" s="200">
        <f>VLOOKUP(Table2[[#This Row],[Course Title]],'TSD-Data'!$A$1:$F$83,6,FALSE)</f>
        <v>40</v>
      </c>
      <c r="V115" s="201">
        <f>VLOOKUP(Table2[[#This Row],[Course Title]],'TSD-Data'!$A$1:$F$83,5,FALSE)</f>
        <v>2</v>
      </c>
      <c r="W115" s="201">
        <v>130</v>
      </c>
      <c r="X115" s="200">
        <f>Table2[[#This Row],[Quotas]]-Table2[[#This Row],[Open Quotas]]</f>
        <v>24</v>
      </c>
      <c r="Y115" s="200">
        <v>0</v>
      </c>
      <c r="Z115" s="201">
        <v>19</v>
      </c>
      <c r="AA115" s="201">
        <v>1</v>
      </c>
      <c r="AB115" s="200">
        <v>3</v>
      </c>
      <c r="AC115" s="200">
        <v>0</v>
      </c>
      <c r="AD115" s="200">
        <v>0</v>
      </c>
      <c r="AE115" s="200" t="s">
        <v>431</v>
      </c>
      <c r="AF115" s="495">
        <f ca="1">Table2[[#This Row],[End Date]]+2-TODAY()</f>
        <v>-232</v>
      </c>
      <c r="AG115" s="496">
        <f>IF(ISBLANK(Table2[[#This Row],[Roster Received by]]),1,0)</f>
        <v>0</v>
      </c>
      <c r="AH115" s="496">
        <f ca="1">IF(Table2[[#This Row],[Start Date]]&gt;TODAY(),1,)</f>
        <v>0</v>
      </c>
      <c r="AI115" s="496">
        <f>IF(ISBLANK(Table2[[#This Row],[Primary Instructor]]),0,1)</f>
        <v>1</v>
      </c>
      <c r="AJ115" s="496">
        <f>IF(ISBLANK(Table2[[#This Row],[Instructor 2]]),0,1)</f>
        <v>0</v>
      </c>
      <c r="AK115" s="496">
        <f>Table2[[#This Row],[Course Length (Hours)]]/(Table2[[#This Row],[1 Instructor]]+Table2[[#This Row],[2 Instructors]])</f>
        <v>40</v>
      </c>
      <c r="AL115" s="318">
        <v>21</v>
      </c>
      <c r="AM115" s="496">
        <v>1</v>
      </c>
      <c r="AN115" s="496" t="str">
        <f>VLOOKUP(Table2[[#This Row],[Course Title]],'TSD-Data'!$A$1:$G$83,7,FALSE)</f>
        <v>N4</v>
      </c>
      <c r="AO115" s="500">
        <f>Table2[[#This Row],[Quotas]]-Table2[[#This Row],[Graduates]]-Table2[[#This Row],[Fail]]</f>
        <v>25</v>
      </c>
    </row>
    <row r="116" spans="2:41" s="202" customFormat="1" ht="15" customHeight="1" x14ac:dyDescent="0.25">
      <c r="B116" s="530"/>
      <c r="C116" s="530" t="s">
        <v>276</v>
      </c>
      <c r="D116" s="200" t="str">
        <f>VLOOKUP(Table2[[#This Row],[Course Title]],'TSD-Data'!$A$1:$E$83,2,FALSE)</f>
        <v>A-493-0103</v>
      </c>
      <c r="E116" s="200" t="str">
        <f>VLOOKUP(Table2[[#This Row],[Course Title]],'TSD-Data'!$A$1:$E$83,3,FALSE)</f>
        <v>12JY</v>
      </c>
      <c r="F116" s="550" t="s">
        <v>121</v>
      </c>
      <c r="G116" s="531">
        <v>46006</v>
      </c>
      <c r="H116" s="531">
        <v>46010</v>
      </c>
      <c r="I116" s="531" t="s">
        <v>42</v>
      </c>
      <c r="J116" s="532">
        <v>0.33333333333333331</v>
      </c>
      <c r="K116" s="532"/>
      <c r="L116" s="551"/>
      <c r="M116" s="531"/>
      <c r="N116" s="531"/>
      <c r="O116" s="531"/>
      <c r="P116" s="531"/>
      <c r="Q116" s="535" t="s">
        <v>280</v>
      </c>
      <c r="R116" s="535"/>
      <c r="S116" s="535"/>
      <c r="T116" s="200">
        <f>VLOOKUP(Table2[[#This Row],[Course Title]],'TSD-Data'!$A$1:$E$83,4,FALSE)</f>
        <v>25</v>
      </c>
      <c r="U116" s="200">
        <f>VLOOKUP(Table2[[#This Row],[Course Title]],'TSD-Data'!$A$1:$F$83,6,FALSE)</f>
        <v>40</v>
      </c>
      <c r="V116" s="201">
        <f>VLOOKUP(Table2[[#This Row],[Course Title]],'TSD-Data'!$A$1:$F$83,5,FALSE)</f>
        <v>5</v>
      </c>
      <c r="W116" s="201">
        <v>225</v>
      </c>
      <c r="X116" s="200">
        <f>Table2[[#This Row],[Quotas]]-Table2[[#This Row],[Open Quotas]]</f>
        <v>24</v>
      </c>
      <c r="Y116" s="200">
        <v>0</v>
      </c>
      <c r="Z116" s="201">
        <v>24</v>
      </c>
      <c r="AA116" s="201">
        <v>0</v>
      </c>
      <c r="AB116" s="200">
        <v>3</v>
      </c>
      <c r="AC116" s="200">
        <v>2</v>
      </c>
      <c r="AD116" s="200">
        <v>0</v>
      </c>
      <c r="AE116" s="200" t="s">
        <v>431</v>
      </c>
      <c r="AF116" s="495">
        <f ca="1">Table2[[#This Row],[End Date]]+2-TODAY()</f>
        <v>-232</v>
      </c>
      <c r="AG116" s="496">
        <f>IF(ISBLANK(Table2[[#This Row],[Roster Received by]]),1,0)</f>
        <v>0</v>
      </c>
      <c r="AH116" s="496">
        <f ca="1">IF(Table2[[#This Row],[Start Date]]&gt;TODAY(),1,)</f>
        <v>0</v>
      </c>
      <c r="AI116" s="496">
        <f>IF(ISBLANK(Table2[[#This Row],[Primary Instructor]]),0,1)</f>
        <v>1</v>
      </c>
      <c r="AJ116" s="496">
        <f>IF(ISBLANK(Table2[[#This Row],[Instructor 2]]),0,1)</f>
        <v>0</v>
      </c>
      <c r="AK116" s="496">
        <f>Table2[[#This Row],[Course Length (Hours)]]/(Table2[[#This Row],[1 Instructor]]+Table2[[#This Row],[2 Instructors]])</f>
        <v>40</v>
      </c>
      <c r="AL116" s="318">
        <v>1</v>
      </c>
      <c r="AM116" s="496">
        <v>1</v>
      </c>
      <c r="AN116" s="496" t="str">
        <f>VLOOKUP(Table2[[#This Row],[Course Title]],'TSD-Data'!$A$1:$G$83,7,FALSE)</f>
        <v>N5</v>
      </c>
      <c r="AO116" s="500">
        <f>Table2[[#This Row],[Quotas]]-Table2[[#This Row],[Graduates]]-Table2[[#This Row],[Fail]]</f>
        <v>1</v>
      </c>
    </row>
    <row r="117" spans="2:41" s="202" customFormat="1" ht="15" customHeight="1" x14ac:dyDescent="0.25">
      <c r="B117" s="530"/>
      <c r="C117" s="530" t="s">
        <v>271</v>
      </c>
      <c r="D117" s="200" t="str">
        <f>VLOOKUP(Table2[[#This Row],[Course Title]],'TSD-Data'!$A$1:$E$83,2,FALSE)</f>
        <v>A-493-0061</v>
      </c>
      <c r="E117" s="200" t="str">
        <f>VLOOKUP(Table2[[#This Row],[Course Title]],'TSD-Data'!$A$1:$E$83,3,FALSE)</f>
        <v>288E</v>
      </c>
      <c r="F117" s="530" t="s">
        <v>54</v>
      </c>
      <c r="G117" s="531">
        <v>46006</v>
      </c>
      <c r="H117" s="531">
        <v>46009</v>
      </c>
      <c r="I117" s="531" t="s">
        <v>42</v>
      </c>
      <c r="J117" s="532"/>
      <c r="K117" s="532">
        <v>0.79166666666666663</v>
      </c>
      <c r="L117" s="536">
        <v>0.66666666666666663</v>
      </c>
      <c r="M117" s="536">
        <v>0.125</v>
      </c>
      <c r="N117" s="536">
        <v>4.1666666666666664E-2</v>
      </c>
      <c r="O117" s="536">
        <v>0.58333333333333337</v>
      </c>
      <c r="P117" s="536">
        <v>0.375</v>
      </c>
      <c r="Q117" s="535" t="s">
        <v>148</v>
      </c>
      <c r="R117" s="535"/>
      <c r="S117" s="535"/>
      <c r="T117" s="200">
        <f>VLOOKUP(Table2[[#This Row],[Course Title]],'TSD-Data'!$A$1:$E$83,4,FALSE)</f>
        <v>45</v>
      </c>
      <c r="U117" s="200">
        <f>VLOOKUP(Table2[[#This Row],[Course Title]],'TSD-Data'!$A$1:$F$83,6,FALSE)</f>
        <v>30</v>
      </c>
      <c r="V117" s="201">
        <f>VLOOKUP(Table2[[#This Row],[Course Title]],'TSD-Data'!$A$1:$F$83,5,FALSE)</f>
        <v>4</v>
      </c>
      <c r="W117" s="201">
        <v>187</v>
      </c>
      <c r="X117" s="200">
        <f>Table2[[#This Row],[Quotas]]-Table2[[#This Row],[Open Quotas]]</f>
        <v>33</v>
      </c>
      <c r="Y117" s="200">
        <v>0</v>
      </c>
      <c r="Z117" s="201">
        <v>31</v>
      </c>
      <c r="AA117" s="201">
        <v>0</v>
      </c>
      <c r="AB117" s="200">
        <v>3</v>
      </c>
      <c r="AC117" s="200">
        <v>0</v>
      </c>
      <c r="AD117" s="200">
        <v>0</v>
      </c>
      <c r="AE117" s="200" t="s">
        <v>431</v>
      </c>
      <c r="AF117" s="495">
        <f ca="1">Table2[[#This Row],[End Date]]+2-TODAY()</f>
        <v>-233</v>
      </c>
      <c r="AG117" s="496">
        <f>IF(ISBLANK(Table2[[#This Row],[Roster Received by]]),1,0)</f>
        <v>0</v>
      </c>
      <c r="AH117" s="496">
        <f ca="1">IF(Table2[[#This Row],[Start Date]]&gt;TODAY(),1,)</f>
        <v>0</v>
      </c>
      <c r="AI117" s="496">
        <f>IF(ISBLANK(Table2[[#This Row],[Primary Instructor]]),0,1)</f>
        <v>1</v>
      </c>
      <c r="AJ117" s="496">
        <f>IF(ISBLANK(Table2[[#This Row],[Instructor 2]]),0,1)</f>
        <v>0</v>
      </c>
      <c r="AK117" s="496">
        <f>Table2[[#This Row],[Course Length (Hours)]]/(Table2[[#This Row],[1 Instructor]]+Table2[[#This Row],[2 Instructors]])</f>
        <v>30</v>
      </c>
      <c r="AL117" s="318">
        <v>12</v>
      </c>
      <c r="AM117" s="496">
        <v>1</v>
      </c>
      <c r="AN117" s="496" t="str">
        <f>VLOOKUP(Table2[[#This Row],[Course Title]],'TSD-Data'!$A$1:$G$83,7,FALSE)</f>
        <v>N5</v>
      </c>
      <c r="AO117" s="500">
        <f>Table2[[#This Row],[Quotas]]-Table2[[#This Row],[Graduates]]-Table2[[#This Row],[Fail]]</f>
        <v>14</v>
      </c>
    </row>
    <row r="118" spans="2:41" ht="15" customHeight="1" x14ac:dyDescent="0.25">
      <c r="B118" s="530"/>
      <c r="C118" s="530" t="s">
        <v>399</v>
      </c>
      <c r="D118" s="200" t="str">
        <f>VLOOKUP(Table2[[#This Row],[Course Title]],'TSD-Data'!$A$1:$E$83,2,FALSE)</f>
        <v>A-493-3011</v>
      </c>
      <c r="E118" s="200" t="str">
        <f>VLOOKUP(Table2[[#This Row],[Course Title]],'TSD-Data'!$A$1:$E$83,3,FALSE)</f>
        <v>31VD</v>
      </c>
      <c r="F118" s="530" t="s">
        <v>54</v>
      </c>
      <c r="G118" s="531">
        <v>46006</v>
      </c>
      <c r="H118" s="531">
        <v>46006</v>
      </c>
      <c r="I118" s="531" t="s">
        <v>42</v>
      </c>
      <c r="J118" s="532"/>
      <c r="K118" s="532">
        <v>0.95833333333333337</v>
      </c>
      <c r="L118" s="532">
        <v>0.83333333333333337</v>
      </c>
      <c r="M118" s="532">
        <v>0.29166666666666669</v>
      </c>
      <c r="N118" s="532">
        <v>0.20833333333333334</v>
      </c>
      <c r="O118" s="532">
        <v>0.75</v>
      </c>
      <c r="P118" s="532">
        <v>0.54166666666666663</v>
      </c>
      <c r="Q118" s="535" t="s">
        <v>441</v>
      </c>
      <c r="R118" s="535"/>
      <c r="S118" s="535"/>
      <c r="T118" s="200">
        <f>VLOOKUP(Table2[[#This Row],[Course Title]],'TSD-Data'!$A$1:$E$83,4,FALSE)</f>
        <v>1000</v>
      </c>
      <c r="U118" s="200">
        <f>VLOOKUP(Table2[[#This Row],[Course Title]],'TSD-Data'!$A$1:$F$83,6,FALSE)</f>
        <v>2.5</v>
      </c>
      <c r="V118" s="201">
        <f>VLOOKUP(Table2[[#This Row],[Course Title]],'TSD-Data'!$A$1:$F$83,5,FALSE)</f>
        <v>0.3</v>
      </c>
      <c r="W118" s="201">
        <v>0</v>
      </c>
      <c r="X118" s="200">
        <f>Table2[[#This Row],[Quotas]]-Table2[[#This Row],[Open Quotas]]</f>
        <v>1</v>
      </c>
      <c r="Y118" s="200">
        <v>0</v>
      </c>
      <c r="Z118" s="201">
        <v>33</v>
      </c>
      <c r="AA118" s="201">
        <v>0</v>
      </c>
      <c r="AB118" s="200">
        <v>0</v>
      </c>
      <c r="AC118" s="200">
        <v>0</v>
      </c>
      <c r="AD118" s="200">
        <v>8</v>
      </c>
      <c r="AE118" s="200" t="s">
        <v>442</v>
      </c>
      <c r="AF118" s="495">
        <f ca="1">Table2[[#This Row],[End Date]]+2-TODAY()</f>
        <v>-236</v>
      </c>
      <c r="AG118" s="496">
        <f>IF(ISBLANK(Table2[[#This Row],[Roster Received by]]),1,0)</f>
        <v>0</v>
      </c>
      <c r="AH118" s="496">
        <f ca="1">IF(Table2[[#This Row],[Start Date]]&gt;TODAY(),1,)</f>
        <v>0</v>
      </c>
      <c r="AI118" s="496">
        <f>IF(ISBLANK(Table2[[#This Row],[Primary Instructor]]),0,1)</f>
        <v>1</v>
      </c>
      <c r="AJ118" s="496">
        <f>IF(ISBLANK(Table2[[#This Row],[Instructor 2]]),0,1)</f>
        <v>0</v>
      </c>
      <c r="AK118" s="496">
        <f>AJ388</f>
        <v>1</v>
      </c>
      <c r="AL118" s="318">
        <v>999</v>
      </c>
      <c r="AM118" s="496">
        <v>1</v>
      </c>
      <c r="AN118" s="496" t="str">
        <f>VLOOKUP(Table2[[#This Row],[Course Title]],'TSD-Data'!$A$1:$G$83,7,FALSE)</f>
        <v>N8-RMI</v>
      </c>
      <c r="AO118" s="500">
        <f>Table2[[#This Row],[Quotas]]-Table2[[#This Row],[Graduates]]-Table2[[#This Row],[Fail]]</f>
        <v>967</v>
      </c>
    </row>
    <row r="119" spans="2:41" ht="15" customHeight="1" x14ac:dyDescent="0.25">
      <c r="B119" s="530"/>
      <c r="C119" s="530" t="s">
        <v>400</v>
      </c>
      <c r="D119" s="200" t="str">
        <f>VLOOKUP(Table2[[#This Row],[Course Title]],'TSD-Data'!$A$1:$E$83,2,FALSE)</f>
        <v>A-493-3010</v>
      </c>
      <c r="E119" s="200" t="str">
        <f>VLOOKUP(Table2[[#This Row],[Course Title]],'TSD-Data'!$A$1:$E$83,3,FALSE)</f>
        <v>31VC</v>
      </c>
      <c r="F119" s="530" t="s">
        <v>54</v>
      </c>
      <c r="G119" s="531">
        <v>46006</v>
      </c>
      <c r="H119" s="531">
        <v>46006</v>
      </c>
      <c r="I119" s="531" t="s">
        <v>42</v>
      </c>
      <c r="J119" s="532"/>
      <c r="K119" s="532">
        <v>0.75</v>
      </c>
      <c r="L119" s="532">
        <v>0.625</v>
      </c>
      <c r="M119" s="532">
        <v>8.3333333333333329E-2</v>
      </c>
      <c r="N119" s="532">
        <v>0</v>
      </c>
      <c r="O119" s="532">
        <v>0.54166666666666663</v>
      </c>
      <c r="P119" s="532">
        <v>0.33333333333333331</v>
      </c>
      <c r="Q119" s="535" t="s">
        <v>441</v>
      </c>
      <c r="R119" s="535"/>
      <c r="S119" s="535"/>
      <c r="T119" s="200">
        <f>VLOOKUP(Table2[[#This Row],[Course Title]],'TSD-Data'!$A$1:$E$83,4,FALSE)</f>
        <v>1000</v>
      </c>
      <c r="U119" s="200">
        <f>VLOOKUP(Table2[[#This Row],[Course Title]],'TSD-Data'!$A$1:$F$83,6,FALSE)</f>
        <v>4</v>
      </c>
      <c r="V119" s="201">
        <f>VLOOKUP(Table2[[#This Row],[Course Title]],'TSD-Data'!$A$1:$F$83,5,FALSE)</f>
        <v>0.5</v>
      </c>
      <c r="W119" s="201">
        <v>0</v>
      </c>
      <c r="X119" s="200">
        <f>Table2[[#This Row],[Quotas]]-Table2[[#This Row],[Open Quotas]]</f>
        <v>9</v>
      </c>
      <c r="Y119" s="200">
        <v>0</v>
      </c>
      <c r="Z119" s="201">
        <v>37</v>
      </c>
      <c r="AA119" s="201">
        <v>0</v>
      </c>
      <c r="AB119" s="200">
        <v>0</v>
      </c>
      <c r="AC119" s="200">
        <v>0</v>
      </c>
      <c r="AD119" s="200">
        <v>8</v>
      </c>
      <c r="AE119" s="200" t="s">
        <v>442</v>
      </c>
      <c r="AF119" s="495">
        <f ca="1">Table2[[#This Row],[End Date]]+2-TODAY()</f>
        <v>-236</v>
      </c>
      <c r="AG119" s="496">
        <f>IF(ISBLANK(Table2[[#This Row],[Roster Received by]]),1,0)</f>
        <v>0</v>
      </c>
      <c r="AH119" s="496">
        <f ca="1">IF(Table2[[#This Row],[Start Date]]&gt;TODAY(),1,)</f>
        <v>0</v>
      </c>
      <c r="AI119" s="496">
        <f>IF(ISBLANK(Table2[[#This Row],[Primary Instructor]]),0,1)</f>
        <v>1</v>
      </c>
      <c r="AJ119" s="496">
        <f>IF(ISBLANK(Table2[[#This Row],[Instructor 2]]),0,1)</f>
        <v>0</v>
      </c>
      <c r="AK119" s="496" t="e">
        <f>#REF!</f>
        <v>#REF!</v>
      </c>
      <c r="AL119" s="318">
        <v>991</v>
      </c>
      <c r="AM119" s="496">
        <v>1</v>
      </c>
      <c r="AN119" s="496" t="str">
        <f>VLOOKUP(Table2[[#This Row],[Course Title]],'TSD-Data'!$A$1:$G$83,7,FALSE)</f>
        <v>N8-RMI</v>
      </c>
      <c r="AO119" s="500">
        <f>Table2[[#This Row],[Quotas]]-Table2[[#This Row],[Graduates]]-Table2[[#This Row],[Fail]]</f>
        <v>963</v>
      </c>
    </row>
    <row r="120" spans="2:41" s="202" customFormat="1" ht="15" customHeight="1" x14ac:dyDescent="0.25">
      <c r="B120" s="530"/>
      <c r="C120" s="530" t="s">
        <v>407</v>
      </c>
      <c r="D120" s="200" t="str">
        <f>VLOOKUP(Table2[[#This Row],[Course Title]],'TSD-Data'!$A$1:$E$83,2,FALSE)</f>
        <v>A-493-3003</v>
      </c>
      <c r="E120" s="200" t="str">
        <f>VLOOKUP(Table2[[#This Row],[Course Title]],'TSD-Data'!$A$1:$E$83,3,FALSE)</f>
        <v>31V5</v>
      </c>
      <c r="F120" s="530" t="s">
        <v>54</v>
      </c>
      <c r="G120" s="531">
        <v>46006</v>
      </c>
      <c r="H120" s="531">
        <v>46006</v>
      </c>
      <c r="I120" s="531" t="s">
        <v>42</v>
      </c>
      <c r="J120" s="532"/>
      <c r="K120" s="532">
        <v>4.1666666666666664E-2</v>
      </c>
      <c r="L120" s="532">
        <v>0.91666666666666663</v>
      </c>
      <c r="M120" s="532">
        <v>0.375</v>
      </c>
      <c r="N120" s="532">
        <v>0.29166666666666669</v>
      </c>
      <c r="O120" s="532">
        <v>0.83333333333333337</v>
      </c>
      <c r="P120" s="532">
        <v>0.625</v>
      </c>
      <c r="Q120" s="535" t="s">
        <v>441</v>
      </c>
      <c r="R120" s="535"/>
      <c r="S120" s="535"/>
      <c r="T120" s="200">
        <f>VLOOKUP(Table2[[#This Row],[Course Title]],'TSD-Data'!$A$1:$E$83,4,FALSE)</f>
        <v>1000</v>
      </c>
      <c r="U120" s="200">
        <f>VLOOKUP(Table2[[#This Row],[Course Title]],'TSD-Data'!$A$1:$F$83,6,FALSE)</f>
        <v>2</v>
      </c>
      <c r="V120" s="201">
        <f>VLOOKUP(Table2[[#This Row],[Course Title]],'TSD-Data'!$A$1:$F$83,5,FALSE)</f>
        <v>0.25</v>
      </c>
      <c r="W120" s="201"/>
      <c r="X120" s="200">
        <f>Table2[[#This Row],[Quotas]]-Table2[[#This Row],[Open Quotas]]</f>
        <v>1</v>
      </c>
      <c r="Y120" s="200">
        <v>0</v>
      </c>
      <c r="Z120" s="201">
        <v>25</v>
      </c>
      <c r="AA120" s="201">
        <v>0</v>
      </c>
      <c r="AB120" s="200">
        <v>0</v>
      </c>
      <c r="AC120" s="200">
        <v>0</v>
      </c>
      <c r="AD120" s="200">
        <v>3</v>
      </c>
      <c r="AE120" s="200" t="s">
        <v>442</v>
      </c>
      <c r="AF120" s="495">
        <f ca="1">Table2[[#This Row],[End Date]]+2-TODAY()</f>
        <v>-236</v>
      </c>
      <c r="AG120" s="496">
        <f>IF(ISBLANK(Table2[[#This Row],[Roster Received by]]),1,0)</f>
        <v>0</v>
      </c>
      <c r="AH120" s="496">
        <f ca="1">IF(Table2[[#This Row],[Start Date]]&gt;TODAY(),1,)</f>
        <v>0</v>
      </c>
      <c r="AI120" s="496">
        <f>IF(ISBLANK(Table2[[#This Row],[Primary Instructor]]),0,1)</f>
        <v>1</v>
      </c>
      <c r="AJ120" s="496">
        <f>IF(ISBLANK(Table2[[#This Row],[Instructor 2]]),0,1)</f>
        <v>0</v>
      </c>
      <c r="AK120" s="496">
        <f>AJ389</f>
        <v>0</v>
      </c>
      <c r="AL120" s="318">
        <v>999</v>
      </c>
      <c r="AM120" s="496">
        <v>1</v>
      </c>
      <c r="AN120" s="496" t="str">
        <f>VLOOKUP(Table2[[#This Row],[Course Title]],'TSD-Data'!$A$1:$G$83,7,FALSE)</f>
        <v>N8-RMI</v>
      </c>
      <c r="AO120" s="500">
        <f>Table2[[#This Row],[Quotas]]-Table2[[#This Row],[Graduates]]-Table2[[#This Row],[Fail]]</f>
        <v>975</v>
      </c>
    </row>
    <row r="121" spans="2:41" s="202" customFormat="1" ht="15" customHeight="1" x14ac:dyDescent="0.25">
      <c r="B121" s="530"/>
      <c r="C121" s="530" t="s">
        <v>413</v>
      </c>
      <c r="D121" s="200" t="str">
        <f>VLOOKUP(Table2[[#This Row],[Course Title]],'TSD-Data'!$A$1:$E$83,2,FALSE)</f>
        <v>A-493-3007</v>
      </c>
      <c r="E121" s="200" t="str">
        <f>VLOOKUP(Table2[[#This Row],[Course Title]],'TSD-Data'!$A$1:$E$83,3,FALSE)</f>
        <v>31V9</v>
      </c>
      <c r="F121" s="530" t="s">
        <v>54</v>
      </c>
      <c r="G121" s="531">
        <v>46006</v>
      </c>
      <c r="H121" s="531">
        <v>46006</v>
      </c>
      <c r="I121" s="531" t="s">
        <v>42</v>
      </c>
      <c r="J121" s="532"/>
      <c r="K121" s="532">
        <v>6.9444444444444447E-4</v>
      </c>
      <c r="L121" s="532">
        <v>0.87569444444444444</v>
      </c>
      <c r="M121" s="532">
        <v>0.83402777777777781</v>
      </c>
      <c r="N121" s="532">
        <v>0.25069444444444444</v>
      </c>
      <c r="O121" s="532">
        <v>0.79236111111111107</v>
      </c>
      <c r="P121" s="532">
        <v>0.58402777777777781</v>
      </c>
      <c r="Q121" s="535" t="s">
        <v>441</v>
      </c>
      <c r="R121" s="535"/>
      <c r="S121" s="535"/>
      <c r="T121" s="200">
        <f>VLOOKUP(Table2[[#This Row],[Course Title]],'TSD-Data'!$A$1:$E$83,4,FALSE)</f>
        <v>1000</v>
      </c>
      <c r="U121" s="200">
        <f>VLOOKUP(Table2[[#This Row],[Course Title]],'TSD-Data'!$A$1:$F$83,6,FALSE)</f>
        <v>2.5</v>
      </c>
      <c r="V121" s="201">
        <f>VLOOKUP(Table2[[#This Row],[Course Title]],'TSD-Data'!$A$1:$F$83,5,FALSE)</f>
        <v>0.3</v>
      </c>
      <c r="W121" s="201"/>
      <c r="X121" s="200">
        <f>Table2[[#This Row],[Quotas]]-Table2[[#This Row],[Open Quotas]]</f>
        <v>1</v>
      </c>
      <c r="Y121" s="200">
        <v>0</v>
      </c>
      <c r="Z121" s="201">
        <v>32</v>
      </c>
      <c r="AA121" s="201">
        <v>0</v>
      </c>
      <c r="AB121" s="200">
        <v>0</v>
      </c>
      <c r="AC121" s="200">
        <v>0</v>
      </c>
      <c r="AD121" s="200">
        <v>4</v>
      </c>
      <c r="AE121" s="200" t="s">
        <v>442</v>
      </c>
      <c r="AF121" s="495">
        <f ca="1">Table2[[#This Row],[End Date]]+2-TODAY()</f>
        <v>-236</v>
      </c>
      <c r="AG121" s="496">
        <f>IF(ISBLANK(Table2[[#This Row],[Roster Received by]]),1,0)</f>
        <v>0</v>
      </c>
      <c r="AH121" s="496">
        <f ca="1">IF(Table2[[#This Row],[Start Date]]&gt;TODAY(),1,)</f>
        <v>0</v>
      </c>
      <c r="AI121" s="496">
        <f>IF(ISBLANK(Table2[[#This Row],[Primary Instructor]]),0,1)</f>
        <v>1</v>
      </c>
      <c r="AJ121" s="496">
        <f>IF(ISBLANK(Table2[[#This Row],[Instructor 2]]),0,1)</f>
        <v>0</v>
      </c>
      <c r="AK121" s="496" t="e">
        <f>#REF!</f>
        <v>#REF!</v>
      </c>
      <c r="AL121" s="318">
        <v>999</v>
      </c>
      <c r="AM121" s="496">
        <v>1</v>
      </c>
      <c r="AN121" s="496" t="str">
        <f>VLOOKUP(Table2[[#This Row],[Course Title]],'TSD-Data'!$A$1:$G$83,7,FALSE)</f>
        <v>N8-RMI</v>
      </c>
      <c r="AO121" s="500">
        <f>Table2[[#This Row],[Quotas]]-Table2[[#This Row],[Graduates]]-Table2[[#This Row],[Fail]]</f>
        <v>968</v>
      </c>
    </row>
    <row r="122" spans="2:41" s="202" customFormat="1" ht="15" customHeight="1" x14ac:dyDescent="0.25">
      <c r="B122" s="530" t="s">
        <v>449</v>
      </c>
      <c r="C122" s="530" t="s">
        <v>205</v>
      </c>
      <c r="D122" s="200" t="str">
        <f>VLOOKUP(Table2[[#This Row],[Course Title]],'TSD-Data'!$A$1:$E$83,2,FALSE)</f>
        <v>Function</v>
      </c>
      <c r="E122" s="200" t="str">
        <f>VLOOKUP(Table2[[#This Row],[Course Title]],'TSD-Data'!$A$1:$E$83,3,FALSE)</f>
        <v>Function</v>
      </c>
      <c r="F122" s="530" t="s">
        <v>54</v>
      </c>
      <c r="G122" s="531">
        <v>46007</v>
      </c>
      <c r="H122" s="531">
        <v>46007</v>
      </c>
      <c r="I122" s="531" t="s">
        <v>434</v>
      </c>
      <c r="J122" s="532"/>
      <c r="K122" s="532"/>
      <c r="L122" s="531"/>
      <c r="M122" s="531"/>
      <c r="N122" s="531"/>
      <c r="O122" s="531"/>
      <c r="P122" s="531"/>
      <c r="Q122" s="535"/>
      <c r="R122" s="535"/>
      <c r="S122" s="535"/>
      <c r="T122" s="200">
        <f>VLOOKUP(Table2[[#This Row],[Course Title]],'TSD-Data'!$A$1:$E$83,4,FALSE)</f>
        <v>0</v>
      </c>
      <c r="U122" s="200">
        <f>VLOOKUP(Table2[[#This Row],[Course Title]],'TSD-Data'!$A$1:$F$83,6,FALSE)</f>
        <v>0</v>
      </c>
      <c r="V122" s="201">
        <f>VLOOKUP(Table2[[#This Row],[Course Title]],'TSD-Data'!$A$1:$F$83,5,FALSE)</f>
        <v>0</v>
      </c>
      <c r="W122" s="543">
        <v>0</v>
      </c>
      <c r="X122" s="200">
        <f>Table2[[#This Row],[Quotas]]-Table2[[#This Row],[Open Quotas]]</f>
        <v>0</v>
      </c>
      <c r="Y122" s="541">
        <v>0</v>
      </c>
      <c r="Z122" s="541">
        <v>0</v>
      </c>
      <c r="AA122" s="541">
        <v>0</v>
      </c>
      <c r="AB122" s="541">
        <v>0</v>
      </c>
      <c r="AC122" s="541">
        <v>0</v>
      </c>
      <c r="AD122" s="541">
        <v>0</v>
      </c>
      <c r="AE122" s="541" t="s">
        <v>436</v>
      </c>
      <c r="AF122" s="495">
        <f ca="1">Table2[[#This Row],[End Date]]+2-TODAY()</f>
        <v>-235</v>
      </c>
      <c r="AG122" s="496">
        <f>IF(ISBLANK(Table2[[#This Row],[Roster Received by]]),1,0)</f>
        <v>0</v>
      </c>
      <c r="AH122" s="496">
        <f ca="1">IF(Table2[[#This Row],[Start Date]]&gt;TODAY(),1,)</f>
        <v>0</v>
      </c>
      <c r="AI122" s="496">
        <f>IF(ISBLANK(Table2[[#This Row],[Primary Instructor]]),0,1)</f>
        <v>0</v>
      </c>
      <c r="AJ122" s="496">
        <f>IF(ISBLANK(Table2[[#This Row],[Instructor 2]]),0,1)</f>
        <v>0</v>
      </c>
      <c r="AK122" s="496" t="e">
        <f>Table2[[#This Row],[Course Length (Hours)]]/(Table2[[#This Row],[1 Instructor]]+Table2[[#This Row],[2 Instructors]])</f>
        <v>#DIV/0!</v>
      </c>
      <c r="AL122" s="318"/>
      <c r="AM122" s="496">
        <v>0</v>
      </c>
      <c r="AN122" s="496" t="str">
        <f>VLOOKUP(Table2[[#This Row],[Course Title]],'TSD-Data'!$A$1:$G$83,7,FALSE)</f>
        <v>TSD</v>
      </c>
      <c r="AO122" s="500">
        <f>Table2[[#This Row],[Quotas]]-Table2[[#This Row],[Graduates]]-Table2[[#This Row],[Fail]]</f>
        <v>0</v>
      </c>
    </row>
    <row r="123" spans="2:41" s="202" customFormat="1" ht="15" customHeight="1" x14ac:dyDescent="0.25">
      <c r="B123" s="530"/>
      <c r="C123" s="530" t="s">
        <v>398</v>
      </c>
      <c r="D123" s="200" t="str">
        <f>VLOOKUP(Table2[[#This Row],[Course Title]],'TSD-Data'!$A$1:$E$83,2,FALSE)</f>
        <v>A-493-3004</v>
      </c>
      <c r="E123" s="200" t="str">
        <f>VLOOKUP(Table2[[#This Row],[Course Title]],'TSD-Data'!$A$1:$E$83,3,FALSE)</f>
        <v>31V6</v>
      </c>
      <c r="F123" s="530" t="s">
        <v>54</v>
      </c>
      <c r="G123" s="531">
        <v>46007</v>
      </c>
      <c r="H123" s="531">
        <v>46007</v>
      </c>
      <c r="I123" s="531" t="s">
        <v>42</v>
      </c>
      <c r="J123" s="532"/>
      <c r="K123" s="532">
        <v>0.9375</v>
      </c>
      <c r="L123" s="532">
        <v>0.8125</v>
      </c>
      <c r="M123" s="532">
        <v>0.27083333333333331</v>
      </c>
      <c r="N123" s="532">
        <v>0.1875</v>
      </c>
      <c r="O123" s="532">
        <v>0.72916666666666663</v>
      </c>
      <c r="P123" s="532">
        <v>0.52083333333333337</v>
      </c>
      <c r="Q123" s="535" t="s">
        <v>441</v>
      </c>
      <c r="R123" s="535"/>
      <c r="S123" s="535"/>
      <c r="T123" s="200">
        <f>VLOOKUP(Table2[[#This Row],[Course Title]],'TSD-Data'!$A$1:$E$83,4,FALSE)</f>
        <v>1000</v>
      </c>
      <c r="U123" s="200">
        <f>VLOOKUP(Table2[[#This Row],[Course Title]],'TSD-Data'!$A$1:$F$83,6,FALSE)</f>
        <v>2</v>
      </c>
      <c r="V123" s="201">
        <f>VLOOKUP(Table2[[#This Row],[Course Title]],'TSD-Data'!$A$1:$F$83,5,FALSE)</f>
        <v>0.25</v>
      </c>
      <c r="W123" s="201">
        <v>0</v>
      </c>
      <c r="X123" s="200">
        <f>Table2[[#This Row],[Quotas]]-Table2[[#This Row],[Open Quotas]]</f>
        <v>1</v>
      </c>
      <c r="Y123" s="200">
        <v>0</v>
      </c>
      <c r="Z123" s="201">
        <v>32</v>
      </c>
      <c r="AA123" s="201">
        <v>0</v>
      </c>
      <c r="AB123" s="200">
        <v>0</v>
      </c>
      <c r="AC123" s="200">
        <v>0</v>
      </c>
      <c r="AD123" s="200">
        <v>7</v>
      </c>
      <c r="AE123" s="200" t="s">
        <v>442</v>
      </c>
      <c r="AF123" s="495">
        <f ca="1">Table2[[#This Row],[End Date]]+2-TODAY()</f>
        <v>-235</v>
      </c>
      <c r="AG123" s="496">
        <f>IF(ISBLANK(Table2[[#This Row],[Roster Received by]]),1,0)</f>
        <v>0</v>
      </c>
      <c r="AH123" s="496">
        <f ca="1">IF(Table2[[#This Row],[Start Date]]&gt;TODAY(),1,)</f>
        <v>0</v>
      </c>
      <c r="AI123" s="496">
        <f>IF(ISBLANK(Table2[[#This Row],[Primary Instructor]]),0,1)</f>
        <v>1</v>
      </c>
      <c r="AJ123" s="496">
        <f>IF(ISBLANK(Table2[[#This Row],[Instructor 2]]),0,1)</f>
        <v>0</v>
      </c>
      <c r="AK123" s="496">
        <f>AJ391</f>
        <v>0</v>
      </c>
      <c r="AL123" s="318">
        <v>999</v>
      </c>
      <c r="AM123" s="496">
        <v>1</v>
      </c>
      <c r="AN123" s="496" t="str">
        <f>VLOOKUP(Table2[[#This Row],[Course Title]],'TSD-Data'!$A$1:$G$83,7,FALSE)</f>
        <v>N8-RMI</v>
      </c>
      <c r="AO123" s="500">
        <f>Table2[[#This Row],[Quotas]]-Table2[[#This Row],[Graduates]]-Table2[[#This Row],[Fail]]</f>
        <v>968</v>
      </c>
    </row>
    <row r="124" spans="2:41" s="202" customFormat="1" ht="15" customHeight="1" x14ac:dyDescent="0.25">
      <c r="B124" s="530"/>
      <c r="C124" s="530" t="s">
        <v>409</v>
      </c>
      <c r="D124" s="200" t="str">
        <f>VLOOKUP(Table2[[#This Row],[Course Title]],'TSD-Data'!$A$1:$E$83,2,FALSE)</f>
        <v>A-493-3001</v>
      </c>
      <c r="E124" s="200" t="str">
        <f>VLOOKUP(Table2[[#This Row],[Course Title]],'TSD-Data'!$A$1:$E$83,3,FALSE)</f>
        <v>31V3</v>
      </c>
      <c r="F124" s="530" t="s">
        <v>54</v>
      </c>
      <c r="G124" s="531">
        <v>46007</v>
      </c>
      <c r="H124" s="531">
        <v>46007</v>
      </c>
      <c r="I124" s="531" t="s">
        <v>42</v>
      </c>
      <c r="J124" s="532"/>
      <c r="K124" s="532">
        <v>0.75</v>
      </c>
      <c r="L124" s="532">
        <v>0.625</v>
      </c>
      <c r="M124" s="532">
        <v>8.3333333333333329E-2</v>
      </c>
      <c r="N124" s="532">
        <v>0</v>
      </c>
      <c r="O124" s="532">
        <v>0.54166666666666663</v>
      </c>
      <c r="P124" s="532">
        <v>0.33333333333333331</v>
      </c>
      <c r="Q124" s="535" t="s">
        <v>441</v>
      </c>
      <c r="R124" s="535"/>
      <c r="S124" s="535"/>
      <c r="T124" s="200">
        <f>VLOOKUP(Table2[[#This Row],[Course Title]],'TSD-Data'!$A$1:$E$83,4,FALSE)</f>
        <v>1000</v>
      </c>
      <c r="U124" s="200">
        <f>VLOOKUP(Table2[[#This Row],[Course Title]],'TSD-Data'!$A$1:$F$83,6,FALSE)</f>
        <v>2</v>
      </c>
      <c r="V124" s="201">
        <f>VLOOKUP(Table2[[#This Row],[Course Title]],'TSD-Data'!$A$1:$F$83,5,FALSE)</f>
        <v>0.25</v>
      </c>
      <c r="W124" s="201"/>
      <c r="X124" s="200">
        <f>Table2[[#This Row],[Quotas]]-Table2[[#This Row],[Open Quotas]]</f>
        <v>3</v>
      </c>
      <c r="Y124" s="200">
        <v>0</v>
      </c>
      <c r="Z124" s="201">
        <v>29</v>
      </c>
      <c r="AA124" s="201">
        <v>0</v>
      </c>
      <c r="AB124" s="200">
        <v>0</v>
      </c>
      <c r="AC124" s="200">
        <v>0</v>
      </c>
      <c r="AD124" s="200">
        <v>5</v>
      </c>
      <c r="AE124" s="200" t="s">
        <v>442</v>
      </c>
      <c r="AF124" s="495">
        <f ca="1">Table2[[#This Row],[End Date]]+2-TODAY()</f>
        <v>-235</v>
      </c>
      <c r="AG124" s="496">
        <f>IF(ISBLANK(Table2[[#This Row],[Roster Received by]]),1,0)</f>
        <v>0</v>
      </c>
      <c r="AH124" s="496">
        <f ca="1">IF(Table2[[#This Row],[Start Date]]&gt;TODAY(),1,)</f>
        <v>0</v>
      </c>
      <c r="AI124" s="496">
        <f>IF(ISBLANK(Table2[[#This Row],[Primary Instructor]]),0,1)</f>
        <v>1</v>
      </c>
      <c r="AJ124" s="496">
        <f>IF(ISBLANK(Table2[[#This Row],[Instructor 2]]),0,1)</f>
        <v>0</v>
      </c>
      <c r="AK124" s="496">
        <f>AJ392</f>
        <v>0</v>
      </c>
      <c r="AL124" s="318">
        <v>997</v>
      </c>
      <c r="AM124" s="496">
        <v>1</v>
      </c>
      <c r="AN124" s="496" t="str">
        <f>VLOOKUP(Table2[[#This Row],[Course Title]],'TSD-Data'!$A$1:$G$83,7,FALSE)</f>
        <v>N8-RMI</v>
      </c>
      <c r="AO124" s="500">
        <f>Table2[[#This Row],[Quotas]]-Table2[[#This Row],[Graduates]]-Table2[[#This Row],[Fail]]</f>
        <v>971</v>
      </c>
    </row>
    <row r="125" spans="2:41" s="202" customFormat="1" ht="15" customHeight="1" x14ac:dyDescent="0.25">
      <c r="B125" s="530"/>
      <c r="C125" s="530" t="s">
        <v>396</v>
      </c>
      <c r="D125" s="200" t="str">
        <f>VLOOKUP(Table2[[#This Row],[Course Title]],'TSD-Data'!$A$1:$E$83,2,FALSE)</f>
        <v>A-493-3018</v>
      </c>
      <c r="E125" s="200" t="str">
        <f>VLOOKUP(Table2[[#This Row],[Course Title]],'TSD-Data'!$A$1:$E$83,3,FALSE)</f>
        <v>31YM</v>
      </c>
      <c r="F125" s="530" t="s">
        <v>54</v>
      </c>
      <c r="G125" s="531">
        <v>46008</v>
      </c>
      <c r="H125" s="531">
        <v>46008</v>
      </c>
      <c r="I125" s="531" t="s">
        <v>42</v>
      </c>
      <c r="J125" s="532"/>
      <c r="K125" s="532">
        <v>2.0833333333333332E-2</v>
      </c>
      <c r="L125" s="532">
        <v>0.89583333333333337</v>
      </c>
      <c r="M125" s="532">
        <v>0.35416666666666669</v>
      </c>
      <c r="N125" s="532">
        <v>0.27083333333333331</v>
      </c>
      <c r="O125" s="532">
        <v>0.8125</v>
      </c>
      <c r="P125" s="532">
        <v>0.60416666666666663</v>
      </c>
      <c r="Q125" s="535" t="s">
        <v>441</v>
      </c>
      <c r="R125" s="535"/>
      <c r="S125" s="535"/>
      <c r="T125" s="200">
        <f>VLOOKUP(Table2[[#This Row],[Course Title]],'TSD-Data'!$A$1:$E$83,4,FALSE)</f>
        <v>1000</v>
      </c>
      <c r="U125" s="200">
        <f>VLOOKUP(Table2[[#This Row],[Course Title]],'TSD-Data'!$A$1:$F$83,6,FALSE)</f>
        <v>2</v>
      </c>
      <c r="V125" s="201">
        <f>VLOOKUP(Table2[[#This Row],[Course Title]],'TSD-Data'!$A$1:$F$83,5,FALSE)</f>
        <v>0.25</v>
      </c>
      <c r="W125" s="201"/>
      <c r="X125" s="200">
        <f>Table2[[#This Row],[Quotas]]-Table2[[#This Row],[Open Quotas]]</f>
        <v>1</v>
      </c>
      <c r="Y125" s="200">
        <v>0</v>
      </c>
      <c r="Z125" s="201">
        <v>24</v>
      </c>
      <c r="AA125" s="201">
        <v>0</v>
      </c>
      <c r="AB125" s="200">
        <v>0</v>
      </c>
      <c r="AC125" s="200">
        <v>0</v>
      </c>
      <c r="AD125" s="200">
        <v>5</v>
      </c>
      <c r="AE125" s="200" t="s">
        <v>442</v>
      </c>
      <c r="AF125" s="495">
        <f ca="1">Table2[[#This Row],[End Date]]+2-TODAY()</f>
        <v>-234</v>
      </c>
      <c r="AG125" s="496">
        <f>IF(ISBLANK(Table2[[#This Row],[Roster Received by]]),1,0)</f>
        <v>0</v>
      </c>
      <c r="AH125" s="496">
        <f ca="1">IF(Table2[[#This Row],[Start Date]]&gt;TODAY(),1,)</f>
        <v>0</v>
      </c>
      <c r="AI125" s="496">
        <f>IF(ISBLANK(Table2[[#This Row],[Primary Instructor]]),0,1)</f>
        <v>1</v>
      </c>
      <c r="AJ125" s="496">
        <f>IF(ISBLANK(Table2[[#This Row],[Instructor 2]]),0,1)</f>
        <v>0</v>
      </c>
      <c r="AK125" s="496">
        <f>AJ392</f>
        <v>0</v>
      </c>
      <c r="AL125" s="318">
        <v>999</v>
      </c>
      <c r="AM125" s="496">
        <v>1</v>
      </c>
      <c r="AN125" s="496" t="str">
        <f>VLOOKUP(Table2[[#This Row],[Course Title]],'TSD-Data'!$A$1:$G$83,7,FALSE)</f>
        <v>N8-RMI</v>
      </c>
      <c r="AO125" s="500">
        <f>Table2[[#This Row],[Quotas]]-Table2[[#This Row],[Graduates]]-Table2[[#This Row],[Fail]]</f>
        <v>976</v>
      </c>
    </row>
    <row r="126" spans="2:41" s="202" customFormat="1" ht="15" customHeight="1" x14ac:dyDescent="0.25">
      <c r="B126" s="530"/>
      <c r="C126" s="530" t="s">
        <v>403</v>
      </c>
      <c r="D126" s="200" t="str">
        <f>VLOOKUP(Table2[[#This Row],[Course Title]],'TSD-Data'!$A$1:$E$83,2,FALSE)</f>
        <v>A-493-3013</v>
      </c>
      <c r="E126" s="200" t="str">
        <f>VLOOKUP(Table2[[#This Row],[Course Title]],'TSD-Data'!$A$1:$E$83,3,FALSE)</f>
        <v>31YG</v>
      </c>
      <c r="F126" s="530" t="s">
        <v>54</v>
      </c>
      <c r="G126" s="531">
        <v>46008</v>
      </c>
      <c r="H126" s="531">
        <v>46008</v>
      </c>
      <c r="I126" s="531" t="s">
        <v>42</v>
      </c>
      <c r="J126" s="532"/>
      <c r="K126" s="532">
        <v>0.85416666666666663</v>
      </c>
      <c r="L126" s="532">
        <v>0.72916666666666663</v>
      </c>
      <c r="M126" s="532">
        <v>0.1875</v>
      </c>
      <c r="N126" s="532">
        <v>0.10416666666666667</v>
      </c>
      <c r="O126" s="532">
        <v>0.64583333333333337</v>
      </c>
      <c r="P126" s="532">
        <v>0.4375</v>
      </c>
      <c r="Q126" s="535" t="s">
        <v>441</v>
      </c>
      <c r="R126" s="535"/>
      <c r="S126" s="535"/>
      <c r="T126" s="200">
        <f>VLOOKUP(Table2[[#This Row],[Course Title]],'TSD-Data'!$A$1:$E$83,4,FALSE)</f>
        <v>1000</v>
      </c>
      <c r="U126" s="200">
        <f>VLOOKUP(Table2[[#This Row],[Course Title]],'TSD-Data'!$A$1:$F$83,6,FALSE)</f>
        <v>2</v>
      </c>
      <c r="V126" s="201">
        <f>VLOOKUP(Table2[[#This Row],[Course Title]],'TSD-Data'!$A$1:$F$83,5,FALSE)</f>
        <v>0.25</v>
      </c>
      <c r="W126" s="201"/>
      <c r="X126" s="200">
        <f>Table2[[#This Row],[Quotas]]-Table2[[#This Row],[Open Quotas]]</f>
        <v>1</v>
      </c>
      <c r="Y126" s="200">
        <v>0</v>
      </c>
      <c r="Z126" s="201">
        <v>23</v>
      </c>
      <c r="AA126" s="201">
        <v>0</v>
      </c>
      <c r="AB126" s="200">
        <v>0</v>
      </c>
      <c r="AC126" s="200">
        <v>0</v>
      </c>
      <c r="AD126" s="200">
        <v>2</v>
      </c>
      <c r="AE126" s="200" t="s">
        <v>442</v>
      </c>
      <c r="AF126" s="495">
        <f ca="1">Table2[[#This Row],[End Date]]+2-TODAY()</f>
        <v>-234</v>
      </c>
      <c r="AG126" s="496">
        <f>IF(ISBLANK(Table2[[#This Row],[Roster Received by]]),1,0)</f>
        <v>0</v>
      </c>
      <c r="AH126" s="496">
        <f ca="1">IF(Table2[[#This Row],[Start Date]]&gt;TODAY(),1,)</f>
        <v>0</v>
      </c>
      <c r="AI126" s="496">
        <f>IF(ISBLANK(Table2[[#This Row],[Primary Instructor]]),0,1)</f>
        <v>1</v>
      </c>
      <c r="AJ126" s="496">
        <f>IF(ISBLANK(Table2[[#This Row],[Instructor 2]]),0,1)</f>
        <v>0</v>
      </c>
      <c r="AK126" s="496">
        <f>AJ394</f>
        <v>0</v>
      </c>
      <c r="AL126" s="318">
        <v>999</v>
      </c>
      <c r="AM126" s="496">
        <v>1</v>
      </c>
      <c r="AN126" s="496" t="str">
        <f>VLOOKUP(Table2[[#This Row],[Course Title]],'TSD-Data'!$A$1:$G$83,7,FALSE)</f>
        <v>N8-RMI</v>
      </c>
      <c r="AO126" s="500">
        <f>Table2[[#This Row],[Quotas]]-Table2[[#This Row],[Graduates]]-Table2[[#This Row],[Fail]]</f>
        <v>977</v>
      </c>
    </row>
    <row r="127" spans="2:41" s="202" customFormat="1" ht="15" customHeight="1" x14ac:dyDescent="0.25">
      <c r="B127" s="530"/>
      <c r="C127" s="530" t="s">
        <v>404</v>
      </c>
      <c r="D127" s="200" t="str">
        <f>VLOOKUP(Table2[[#This Row],[Course Title]],'TSD-Data'!$A$1:$E$83,2,FALSE)</f>
        <v>A-493-3014</v>
      </c>
      <c r="E127" s="200" t="str">
        <f>VLOOKUP(Table2[[#This Row],[Course Title]],'TSD-Data'!$A$1:$E$83,3,FALSE)</f>
        <v>31Yh</v>
      </c>
      <c r="F127" s="530" t="s">
        <v>54</v>
      </c>
      <c r="G127" s="531">
        <v>46008</v>
      </c>
      <c r="H127" s="531">
        <v>46008</v>
      </c>
      <c r="I127" s="531" t="s">
        <v>42</v>
      </c>
      <c r="J127" s="532"/>
      <c r="K127" s="532">
        <v>0.9375</v>
      </c>
      <c r="L127" s="532">
        <v>0.8125</v>
      </c>
      <c r="M127" s="532">
        <v>0.27083333333333331</v>
      </c>
      <c r="N127" s="532">
        <v>0.1875</v>
      </c>
      <c r="O127" s="532">
        <v>0.72916666666666663</v>
      </c>
      <c r="P127" s="532">
        <v>0.52083333333333337</v>
      </c>
      <c r="Q127" s="535" t="s">
        <v>441</v>
      </c>
      <c r="R127" s="535"/>
      <c r="S127" s="535"/>
      <c r="T127" s="200">
        <f>VLOOKUP(Table2[[#This Row],[Course Title]],'TSD-Data'!$A$1:$E$83,4,FALSE)</f>
        <v>1000</v>
      </c>
      <c r="U127" s="200">
        <f>VLOOKUP(Table2[[#This Row],[Course Title]],'TSD-Data'!$A$1:$F$83,6,FALSE)</f>
        <v>1.5</v>
      </c>
      <c r="V127" s="201">
        <f>VLOOKUP(Table2[[#This Row],[Course Title]],'TSD-Data'!$A$1:$F$83,5,FALSE)</f>
        <v>0.1</v>
      </c>
      <c r="W127" s="201"/>
      <c r="X127" s="200">
        <f>Table2[[#This Row],[Quotas]]-Table2[[#This Row],[Open Quotas]]</f>
        <v>1</v>
      </c>
      <c r="Y127" s="200">
        <v>0</v>
      </c>
      <c r="Z127" s="201">
        <v>19</v>
      </c>
      <c r="AA127" s="201">
        <v>0</v>
      </c>
      <c r="AB127" s="200">
        <v>0</v>
      </c>
      <c r="AC127" s="200">
        <v>0</v>
      </c>
      <c r="AD127" s="200">
        <v>1</v>
      </c>
      <c r="AE127" s="200" t="s">
        <v>442</v>
      </c>
      <c r="AF127" s="495">
        <f ca="1">Table2[[#This Row],[End Date]]+2-TODAY()</f>
        <v>-234</v>
      </c>
      <c r="AG127" s="496">
        <f>IF(ISBLANK(Table2[[#This Row],[Roster Received by]]),1,0)</f>
        <v>0</v>
      </c>
      <c r="AH127" s="496">
        <f ca="1">IF(Table2[[#This Row],[Start Date]]&gt;TODAY(),1,)</f>
        <v>0</v>
      </c>
      <c r="AI127" s="496">
        <f>IF(ISBLANK(Table2[[#This Row],[Primary Instructor]]),0,1)</f>
        <v>1</v>
      </c>
      <c r="AJ127" s="496">
        <f>IF(ISBLANK(Table2[[#This Row],[Instructor 2]]),0,1)</f>
        <v>0</v>
      </c>
      <c r="AK127" s="496">
        <f>AJ395</f>
        <v>0</v>
      </c>
      <c r="AL127" s="318">
        <v>999</v>
      </c>
      <c r="AM127" s="496">
        <v>1</v>
      </c>
      <c r="AN127" s="496" t="str">
        <f>VLOOKUP(Table2[[#This Row],[Course Title]],'TSD-Data'!$A$1:$G$83,7,FALSE)</f>
        <v>N8-RMI</v>
      </c>
      <c r="AO127" s="500">
        <f>Table2[[#This Row],[Quotas]]-Table2[[#This Row],[Graduates]]-Table2[[#This Row],[Fail]]</f>
        <v>981</v>
      </c>
    </row>
    <row r="128" spans="2:41" s="202" customFormat="1" ht="15" customHeight="1" x14ac:dyDescent="0.25">
      <c r="B128" s="530"/>
      <c r="C128" s="530" t="s">
        <v>405</v>
      </c>
      <c r="D128" s="200" t="str">
        <f>VLOOKUP(Table2[[#This Row],[Course Title]],'TSD-Data'!$A$1:$E$83,2,FALSE)</f>
        <v>A-493-3015</v>
      </c>
      <c r="E128" s="200" t="str">
        <f>VLOOKUP(Table2[[#This Row],[Course Title]],'TSD-Data'!$A$1:$E$83,3,FALSE)</f>
        <v>31YJ</v>
      </c>
      <c r="F128" s="530" t="s">
        <v>54</v>
      </c>
      <c r="G128" s="531">
        <v>46008</v>
      </c>
      <c r="H128" s="531">
        <v>46008</v>
      </c>
      <c r="I128" s="531" t="s">
        <v>42</v>
      </c>
      <c r="J128" s="532"/>
      <c r="K128" s="532">
        <v>0.75</v>
      </c>
      <c r="L128" s="532">
        <v>0.625</v>
      </c>
      <c r="M128" s="532">
        <v>8.3333333333333329E-2</v>
      </c>
      <c r="N128" s="532">
        <v>0</v>
      </c>
      <c r="O128" s="532">
        <v>0.54166666666666663</v>
      </c>
      <c r="P128" s="532">
        <v>0.33333333333333331</v>
      </c>
      <c r="Q128" s="535" t="s">
        <v>441</v>
      </c>
      <c r="R128" s="535"/>
      <c r="S128" s="535"/>
      <c r="T128" s="200">
        <f>VLOOKUP(Table2[[#This Row],[Course Title]],'TSD-Data'!$A$1:$E$83,4,FALSE)</f>
        <v>1000</v>
      </c>
      <c r="U128" s="200">
        <f>VLOOKUP(Table2[[#This Row],[Course Title]],'TSD-Data'!$A$1:$F$83,6,FALSE)</f>
        <v>1.5</v>
      </c>
      <c r="V128" s="201">
        <f>VLOOKUP(Table2[[#This Row],[Course Title]],'TSD-Data'!$A$1:$F$83,5,FALSE)</f>
        <v>0.1</v>
      </c>
      <c r="W128" s="201"/>
      <c r="X128" s="200">
        <f>Table2[[#This Row],[Quotas]]-Table2[[#This Row],[Open Quotas]]</f>
        <v>1</v>
      </c>
      <c r="Y128" s="200">
        <v>0</v>
      </c>
      <c r="Z128" s="201">
        <v>24</v>
      </c>
      <c r="AA128" s="201">
        <v>0</v>
      </c>
      <c r="AB128" s="200">
        <v>0</v>
      </c>
      <c r="AC128" s="200">
        <v>0</v>
      </c>
      <c r="AD128" s="200">
        <v>1</v>
      </c>
      <c r="AE128" s="200" t="s">
        <v>442</v>
      </c>
      <c r="AF128" s="495">
        <f ca="1">Table2[[#This Row],[End Date]]+2-TODAY()</f>
        <v>-234</v>
      </c>
      <c r="AG128" s="496">
        <f>IF(ISBLANK(Table2[[#This Row],[Roster Received by]]),1,0)</f>
        <v>0</v>
      </c>
      <c r="AH128" s="496">
        <f ca="1">IF(Table2[[#This Row],[Start Date]]&gt;TODAY(),1,)</f>
        <v>0</v>
      </c>
      <c r="AI128" s="496">
        <f>IF(ISBLANK(Table2[[#This Row],[Primary Instructor]]),0,1)</f>
        <v>1</v>
      </c>
      <c r="AJ128" s="496">
        <f>IF(ISBLANK(Table2[[#This Row],[Instructor 2]]),0,1)</f>
        <v>0</v>
      </c>
      <c r="AK128" s="496" t="e">
        <f>#REF!</f>
        <v>#REF!</v>
      </c>
      <c r="AL128" s="318">
        <v>999</v>
      </c>
      <c r="AM128" s="496">
        <v>1</v>
      </c>
      <c r="AN128" s="496" t="str">
        <f>VLOOKUP(Table2[[#This Row],[Course Title]],'TSD-Data'!$A$1:$G$83,7,FALSE)</f>
        <v>N8-RMI</v>
      </c>
      <c r="AO128" s="500">
        <f>Table2[[#This Row],[Quotas]]-Table2[[#This Row],[Graduates]]-Table2[[#This Row],[Fail]]</f>
        <v>976</v>
      </c>
    </row>
    <row r="129" spans="2:41" s="202" customFormat="1" ht="15" customHeight="1" x14ac:dyDescent="0.25">
      <c r="B129" s="530"/>
      <c r="C129" s="530" t="s">
        <v>406</v>
      </c>
      <c r="D129" s="200" t="str">
        <f>VLOOKUP(Table2[[#This Row],[Course Title]],'TSD-Data'!$A$1:$E$83,2,FALSE)</f>
        <v>A-493-3016</v>
      </c>
      <c r="E129" s="200" t="str">
        <f>VLOOKUP(Table2[[#This Row],[Course Title]],'TSD-Data'!$A$1:$E$83,3,FALSE)</f>
        <v>31Yk</v>
      </c>
      <c r="F129" s="530" t="s">
        <v>54</v>
      </c>
      <c r="G129" s="531">
        <v>46008</v>
      </c>
      <c r="H129" s="531">
        <v>46008</v>
      </c>
      <c r="I129" s="531" t="s">
        <v>42</v>
      </c>
      <c r="J129" s="532"/>
      <c r="K129" s="532">
        <v>0.97916666666666663</v>
      </c>
      <c r="L129" s="532">
        <v>0.85416666666666663</v>
      </c>
      <c r="M129" s="532">
        <v>0.3125</v>
      </c>
      <c r="N129" s="532">
        <v>0.22916666666666666</v>
      </c>
      <c r="O129" s="532">
        <v>0.77083333333333337</v>
      </c>
      <c r="P129" s="532">
        <v>0.5625</v>
      </c>
      <c r="Q129" s="535" t="s">
        <v>441</v>
      </c>
      <c r="R129" s="535"/>
      <c r="S129" s="535"/>
      <c r="T129" s="200">
        <f>VLOOKUP(Table2[[#This Row],[Course Title]],'TSD-Data'!$A$1:$E$83,4,FALSE)</f>
        <v>1000</v>
      </c>
      <c r="U129" s="200">
        <f>VLOOKUP(Table2[[#This Row],[Course Title]],'TSD-Data'!$A$1:$F$83,6,FALSE)</f>
        <v>1.5</v>
      </c>
      <c r="V129" s="201">
        <f>VLOOKUP(Table2[[#This Row],[Course Title]],'TSD-Data'!$A$1:$F$83,5,FALSE)</f>
        <v>0.1</v>
      </c>
      <c r="W129" s="201"/>
      <c r="X129" s="200">
        <f>Table2[[#This Row],[Quotas]]-Table2[[#This Row],[Open Quotas]]</f>
        <v>1</v>
      </c>
      <c r="Y129" s="200">
        <v>0</v>
      </c>
      <c r="Z129" s="201">
        <v>24</v>
      </c>
      <c r="AA129" s="201">
        <v>0</v>
      </c>
      <c r="AB129" s="200">
        <v>0</v>
      </c>
      <c r="AC129" s="200">
        <v>0</v>
      </c>
      <c r="AD129" s="200">
        <v>2</v>
      </c>
      <c r="AE129" s="200" t="s">
        <v>442</v>
      </c>
      <c r="AF129" s="495">
        <f ca="1">Table2[[#This Row],[End Date]]+2-TODAY()</f>
        <v>-234</v>
      </c>
      <c r="AG129" s="496">
        <f>IF(ISBLANK(Table2[[#This Row],[Roster Received by]]),1,0)</f>
        <v>0</v>
      </c>
      <c r="AH129" s="496">
        <f ca="1">IF(Table2[[#This Row],[Start Date]]&gt;TODAY(),1,)</f>
        <v>0</v>
      </c>
      <c r="AI129" s="496">
        <f>IF(ISBLANK(Table2[[#This Row],[Primary Instructor]]),0,1)</f>
        <v>1</v>
      </c>
      <c r="AJ129" s="496">
        <f>IF(ISBLANK(Table2[[#This Row],[Instructor 2]]),0,1)</f>
        <v>0</v>
      </c>
      <c r="AK129" s="496" t="e">
        <f>#REF!</f>
        <v>#REF!</v>
      </c>
      <c r="AL129" s="318">
        <v>999</v>
      </c>
      <c r="AM129" s="496">
        <v>1</v>
      </c>
      <c r="AN129" s="496" t="str">
        <f>VLOOKUP(Table2[[#This Row],[Course Title]],'TSD-Data'!$A$1:$G$83,7,FALSE)</f>
        <v>N8-RMI</v>
      </c>
      <c r="AO129" s="500">
        <f>Table2[[#This Row],[Quotas]]-Table2[[#This Row],[Graduates]]-Table2[[#This Row],[Fail]]</f>
        <v>976</v>
      </c>
    </row>
    <row r="130" spans="2:41" s="202" customFormat="1" ht="15" customHeight="1" x14ac:dyDescent="0.25">
      <c r="B130" s="530"/>
      <c r="C130" s="530" t="s">
        <v>397</v>
      </c>
      <c r="D130" s="200" t="str">
        <f>VLOOKUP(Table2[[#This Row],[Course Title]],'TSD-Data'!$A$1:$E$83,2,FALSE)</f>
        <v>A-493-3005</v>
      </c>
      <c r="E130" s="200" t="str">
        <f>VLOOKUP(Table2[[#This Row],[Course Title]],'TSD-Data'!$A$1:$E$83,3,FALSE)</f>
        <v>31V7</v>
      </c>
      <c r="F130" s="530" t="s">
        <v>54</v>
      </c>
      <c r="G130" s="531">
        <v>46009</v>
      </c>
      <c r="H130" s="531">
        <v>46009</v>
      </c>
      <c r="I130" s="531" t="s">
        <v>42</v>
      </c>
      <c r="J130" s="532"/>
      <c r="K130" s="532">
        <v>0.86458333333333337</v>
      </c>
      <c r="L130" s="532">
        <v>0.73958333333333337</v>
      </c>
      <c r="M130" s="532">
        <v>0.19791666666666666</v>
      </c>
      <c r="N130" s="532">
        <v>0.11458333333333333</v>
      </c>
      <c r="O130" s="532">
        <v>0.65625</v>
      </c>
      <c r="P130" s="532">
        <v>0.44791666666666669</v>
      </c>
      <c r="Q130" s="535" t="s">
        <v>441</v>
      </c>
      <c r="R130" s="535"/>
      <c r="S130" s="535"/>
      <c r="T130" s="200">
        <f>VLOOKUP(Table2[[#This Row],[Course Title]],'TSD-Data'!$A$1:$E$83,4,FALSE)</f>
        <v>1000</v>
      </c>
      <c r="U130" s="200">
        <f>VLOOKUP(Table2[[#This Row],[Course Title]],'TSD-Data'!$A$1:$F$83,6,FALSE)</f>
        <v>2</v>
      </c>
      <c r="V130" s="201">
        <f>VLOOKUP(Table2[[#This Row],[Course Title]],'TSD-Data'!$A$1:$F$83,5,FALSE)</f>
        <v>0.25</v>
      </c>
      <c r="W130" s="201"/>
      <c r="X130" s="200">
        <f>Table2[[#This Row],[Quotas]]-Table2[[#This Row],[Open Quotas]]</f>
        <v>1</v>
      </c>
      <c r="Y130" s="200">
        <v>0</v>
      </c>
      <c r="Z130" s="201">
        <v>30</v>
      </c>
      <c r="AA130" s="201">
        <v>0</v>
      </c>
      <c r="AB130" s="200">
        <v>0</v>
      </c>
      <c r="AC130" s="200">
        <v>0</v>
      </c>
      <c r="AD130" s="200">
        <v>4</v>
      </c>
      <c r="AE130" s="200" t="s">
        <v>442</v>
      </c>
      <c r="AF130" s="495">
        <f ca="1">Table2[[#This Row],[End Date]]+2-TODAY()</f>
        <v>-233</v>
      </c>
      <c r="AG130" s="496">
        <f>IF(ISBLANK(Table2[[#This Row],[Roster Received by]]),1,0)</f>
        <v>0</v>
      </c>
      <c r="AH130" s="496">
        <f ca="1">IF(Table2[[#This Row],[Start Date]]&gt;TODAY(),1,)</f>
        <v>0</v>
      </c>
      <c r="AI130" s="496">
        <f>IF(ISBLANK(Table2[[#This Row],[Primary Instructor]]),0,1)</f>
        <v>1</v>
      </c>
      <c r="AJ130" s="496">
        <f>IF(ISBLANK(Table2[[#This Row],[Instructor 2]]),0,1)</f>
        <v>0</v>
      </c>
      <c r="AK130" s="496" t="e">
        <f>#REF!</f>
        <v>#REF!</v>
      </c>
      <c r="AL130" s="318">
        <v>999</v>
      </c>
      <c r="AM130" s="496">
        <v>1</v>
      </c>
      <c r="AN130" s="496" t="str">
        <f>VLOOKUP(Table2[[#This Row],[Course Title]],'TSD-Data'!$A$1:$G$83,7,FALSE)</f>
        <v>N8-RMI</v>
      </c>
      <c r="AO130" s="500">
        <f>Table2[[#This Row],[Quotas]]-Table2[[#This Row],[Graduates]]-Table2[[#This Row],[Fail]]</f>
        <v>970</v>
      </c>
    </row>
    <row r="131" spans="2:41" s="202" customFormat="1" ht="15" customHeight="1" x14ac:dyDescent="0.25">
      <c r="B131" s="530"/>
      <c r="C131" s="530" t="s">
        <v>402</v>
      </c>
      <c r="D131" s="200" t="str">
        <f>VLOOKUP(Table2[[#This Row],[Course Title]],'TSD-Data'!$A$1:$E$83,2,FALSE)</f>
        <v>A-493-3017</v>
      </c>
      <c r="E131" s="200" t="str">
        <f>VLOOKUP(Table2[[#This Row],[Course Title]],'TSD-Data'!$A$1:$E$83,3,FALSE)</f>
        <v>31YL</v>
      </c>
      <c r="F131" s="530" t="s">
        <v>54</v>
      </c>
      <c r="G131" s="531">
        <v>46009</v>
      </c>
      <c r="H131" s="531">
        <v>46009</v>
      </c>
      <c r="I131" s="531" t="s">
        <v>42</v>
      </c>
      <c r="J131" s="532"/>
      <c r="K131" s="532">
        <v>0.9375</v>
      </c>
      <c r="L131" s="532">
        <v>0.8125</v>
      </c>
      <c r="M131" s="532">
        <v>0.27083333333333331</v>
      </c>
      <c r="N131" s="532">
        <v>0.1875</v>
      </c>
      <c r="O131" s="532">
        <v>0.72916666666666663</v>
      </c>
      <c r="P131" s="532">
        <v>0.52083333333333337</v>
      </c>
      <c r="Q131" s="535" t="s">
        <v>441</v>
      </c>
      <c r="R131" s="535"/>
      <c r="S131" s="535"/>
      <c r="T131" s="200">
        <f>VLOOKUP(Table2[[#This Row],[Course Title]],'TSD-Data'!$A$1:$E$83,4,FALSE)</f>
        <v>1000</v>
      </c>
      <c r="U131" s="200">
        <f>VLOOKUP(Table2[[#This Row],[Course Title]],'TSD-Data'!$A$1:$F$83,6,FALSE)</f>
        <v>1.5</v>
      </c>
      <c r="V131" s="201">
        <f>VLOOKUP(Table2[[#This Row],[Course Title]],'TSD-Data'!$A$1:$F$83,5,FALSE)</f>
        <v>0.1</v>
      </c>
      <c r="W131" s="201"/>
      <c r="X131" s="200">
        <f>Table2[[#This Row],[Quotas]]-Table2[[#This Row],[Open Quotas]]</f>
        <v>1</v>
      </c>
      <c r="Y131" s="200">
        <v>0</v>
      </c>
      <c r="Z131" s="201">
        <v>24</v>
      </c>
      <c r="AA131" s="201">
        <v>0</v>
      </c>
      <c r="AB131" s="200">
        <v>0</v>
      </c>
      <c r="AC131" s="200">
        <v>0</v>
      </c>
      <c r="AD131" s="200">
        <v>1</v>
      </c>
      <c r="AE131" s="200" t="s">
        <v>442</v>
      </c>
      <c r="AF131" s="495">
        <f ca="1">Table2[[#This Row],[End Date]]+2-TODAY()</f>
        <v>-233</v>
      </c>
      <c r="AG131" s="496">
        <f>IF(ISBLANK(Table2[[#This Row],[Roster Received by]]),1,0)</f>
        <v>0</v>
      </c>
      <c r="AH131" s="496">
        <f ca="1">IF(Table2[[#This Row],[Start Date]]&gt;TODAY(),1,)</f>
        <v>0</v>
      </c>
      <c r="AI131" s="496">
        <f>IF(ISBLANK(Table2[[#This Row],[Primary Instructor]]),0,1)</f>
        <v>1</v>
      </c>
      <c r="AJ131" s="496">
        <f>IF(ISBLANK(Table2[[#This Row],[Instructor 2]]),0,1)</f>
        <v>0</v>
      </c>
      <c r="AK131" s="496">
        <f>AJ396</f>
        <v>0</v>
      </c>
      <c r="AL131" s="318">
        <v>999</v>
      </c>
      <c r="AM131" s="496">
        <v>1</v>
      </c>
      <c r="AN131" s="496" t="str">
        <f>VLOOKUP(Table2[[#This Row],[Course Title]],'TSD-Data'!$A$1:$G$83,7,FALSE)</f>
        <v>N8-RMI</v>
      </c>
      <c r="AO131" s="500">
        <f>Table2[[#This Row],[Quotas]]-Table2[[#This Row],[Graduates]]-Table2[[#This Row],[Fail]]</f>
        <v>976</v>
      </c>
    </row>
    <row r="132" spans="2:41" s="202" customFormat="1" ht="15" customHeight="1" x14ac:dyDescent="0.25">
      <c r="B132" s="530"/>
      <c r="C132" s="530" t="s">
        <v>408</v>
      </c>
      <c r="D132" s="200" t="str">
        <f>VLOOKUP(Table2[[#This Row],[Course Title]],'TSD-Data'!$A$1:$E$83,2,FALSE)</f>
        <v>A-493-3008</v>
      </c>
      <c r="E132" s="200" t="str">
        <f>VLOOKUP(Table2[[#This Row],[Course Title]],'TSD-Data'!$A$1:$E$83,3,FALSE)</f>
        <v>31VA</v>
      </c>
      <c r="F132" s="530" t="s">
        <v>54</v>
      </c>
      <c r="G132" s="531">
        <v>46009</v>
      </c>
      <c r="H132" s="531">
        <v>46009</v>
      </c>
      <c r="I132" s="531" t="s">
        <v>42</v>
      </c>
      <c r="J132" s="532"/>
      <c r="K132" s="532">
        <v>0.75</v>
      </c>
      <c r="L132" s="532">
        <v>0.625</v>
      </c>
      <c r="M132" s="532">
        <v>8.3333333333333329E-2</v>
      </c>
      <c r="N132" s="532">
        <v>0</v>
      </c>
      <c r="O132" s="532">
        <v>0.54166666666666663</v>
      </c>
      <c r="P132" s="532">
        <v>0.33333333333333331</v>
      </c>
      <c r="Q132" s="535" t="s">
        <v>441</v>
      </c>
      <c r="R132" s="535"/>
      <c r="S132" s="535"/>
      <c r="T132" s="200">
        <f>VLOOKUP(Table2[[#This Row],[Course Title]],'TSD-Data'!$A$1:$E$83,4,FALSE)</f>
        <v>1000</v>
      </c>
      <c r="U132" s="200">
        <f>VLOOKUP(Table2[[#This Row],[Course Title]],'TSD-Data'!$A$1:$F$83,6,FALSE)</f>
        <v>1.5</v>
      </c>
      <c r="V132" s="201">
        <f>VLOOKUP(Table2[[#This Row],[Course Title]],'TSD-Data'!$A$1:$F$83,5,FALSE)</f>
        <v>0.1</v>
      </c>
      <c r="W132" s="201">
        <v>0</v>
      </c>
      <c r="X132" s="200">
        <f>Table2[[#This Row],[Quotas]]-Table2[[#This Row],[Open Quotas]]</f>
        <v>2</v>
      </c>
      <c r="Y132" s="200">
        <v>0</v>
      </c>
      <c r="Z132" s="201">
        <v>33</v>
      </c>
      <c r="AA132" s="201">
        <v>0</v>
      </c>
      <c r="AB132" s="200">
        <v>0</v>
      </c>
      <c r="AC132" s="200">
        <v>0</v>
      </c>
      <c r="AD132" s="200">
        <v>2</v>
      </c>
      <c r="AE132" s="200" t="s">
        <v>442</v>
      </c>
      <c r="AF132" s="495">
        <f ca="1">Table2[[#This Row],[End Date]]+2-TODAY()</f>
        <v>-233</v>
      </c>
      <c r="AG132" s="496">
        <f>IF(ISBLANK(Table2[[#This Row],[Roster Received by]]),1,0)</f>
        <v>0</v>
      </c>
      <c r="AH132" s="496">
        <f ca="1">IF(Table2[[#This Row],[Start Date]]&gt;TODAY(),1,)</f>
        <v>0</v>
      </c>
      <c r="AI132" s="496">
        <f>IF(ISBLANK(Table2[[#This Row],[Primary Instructor]]),0,1)</f>
        <v>1</v>
      </c>
      <c r="AJ132" s="496">
        <f>IF(ISBLANK(Table2[[#This Row],[Instructor 2]]),0,1)</f>
        <v>0</v>
      </c>
      <c r="AK132" s="496">
        <f>AJ397</f>
        <v>1</v>
      </c>
      <c r="AL132" s="318">
        <v>998</v>
      </c>
      <c r="AM132" s="496">
        <v>1</v>
      </c>
      <c r="AN132" s="496" t="str">
        <f>VLOOKUP(Table2[[#This Row],[Course Title]],'TSD-Data'!$A$1:$G$83,7,FALSE)</f>
        <v>N8-RMI</v>
      </c>
      <c r="AO132" s="500">
        <f>Table2[[#This Row],[Quotas]]-Table2[[#This Row],[Graduates]]-Table2[[#This Row],[Fail]]</f>
        <v>967</v>
      </c>
    </row>
    <row r="133" spans="2:41" ht="15" customHeight="1" x14ac:dyDescent="0.25">
      <c r="B133" s="530"/>
      <c r="C133" s="530" t="s">
        <v>411</v>
      </c>
      <c r="D133" s="200" t="str">
        <f>VLOOKUP(Table2[[#This Row],[Course Title]],'TSD-Data'!$A$1:$E$83,2,FALSE)</f>
        <v>A-493-3012</v>
      </c>
      <c r="E133" s="200" t="str">
        <f>VLOOKUP(Table2[[#This Row],[Course Title]],'TSD-Data'!$A$1:$E$83,3,FALSE)</f>
        <v>31YF</v>
      </c>
      <c r="F133" s="530" t="s">
        <v>54</v>
      </c>
      <c r="G133" s="531">
        <v>46009</v>
      </c>
      <c r="H133" s="531">
        <v>46009</v>
      </c>
      <c r="I133" s="531" t="s">
        <v>42</v>
      </c>
      <c r="J133" s="532"/>
      <c r="K133" s="532">
        <v>4.1666666666666664E-2</v>
      </c>
      <c r="L133" s="532">
        <v>0.91666666666666663</v>
      </c>
      <c r="M133" s="532">
        <v>0.375</v>
      </c>
      <c r="N133" s="532">
        <v>0.29166666666666669</v>
      </c>
      <c r="O133" s="532">
        <v>0.83333333333333337</v>
      </c>
      <c r="P133" s="532">
        <v>0.625</v>
      </c>
      <c r="Q133" s="535" t="s">
        <v>441</v>
      </c>
      <c r="R133" s="535"/>
      <c r="S133" s="535"/>
      <c r="T133" s="200">
        <f>VLOOKUP(Table2[[#This Row],[Course Title]],'TSD-Data'!$A$1:$E$83,4,FALSE)</f>
        <v>1000</v>
      </c>
      <c r="U133" s="200">
        <f>VLOOKUP(Table2[[#This Row],[Course Title]],'TSD-Data'!$A$1:$F$83,6,FALSE)</f>
        <v>1</v>
      </c>
      <c r="V133" s="201">
        <f>VLOOKUP(Table2[[#This Row],[Course Title]],'TSD-Data'!$A$1:$F$83,5,FALSE)</f>
        <v>0.1</v>
      </c>
      <c r="W133" s="201"/>
      <c r="X133" s="200">
        <f>Table2[[#This Row],[Quotas]]-Table2[[#This Row],[Open Quotas]]</f>
        <v>1</v>
      </c>
      <c r="Y133" s="200">
        <v>0</v>
      </c>
      <c r="Z133" s="201">
        <v>21</v>
      </c>
      <c r="AA133" s="201">
        <v>0</v>
      </c>
      <c r="AB133" s="200">
        <v>0</v>
      </c>
      <c r="AC133" s="200">
        <v>0</v>
      </c>
      <c r="AD133" s="200">
        <v>1</v>
      </c>
      <c r="AE133" s="200" t="s">
        <v>442</v>
      </c>
      <c r="AF133" s="495">
        <f ca="1">Table2[[#This Row],[End Date]]+2-TODAY()</f>
        <v>-233</v>
      </c>
      <c r="AG133" s="496">
        <f>IF(ISBLANK(Table2[[#This Row],[Roster Received by]]),1,0)</f>
        <v>0</v>
      </c>
      <c r="AH133" s="496">
        <f ca="1">IF(Table2[[#This Row],[Start Date]]&gt;TODAY(),1,)</f>
        <v>0</v>
      </c>
      <c r="AI133" s="496">
        <f>IF(ISBLANK(Table2[[#This Row],[Primary Instructor]]),0,1)</f>
        <v>1</v>
      </c>
      <c r="AJ133" s="496">
        <f>IF(ISBLANK(Table2[[#This Row],[Instructor 2]]),0,1)</f>
        <v>0</v>
      </c>
      <c r="AK133" s="496" t="e">
        <f>#REF!</f>
        <v>#REF!</v>
      </c>
      <c r="AL133" s="318">
        <v>999</v>
      </c>
      <c r="AM133" s="496">
        <v>1</v>
      </c>
      <c r="AN133" s="496" t="str">
        <f>VLOOKUP(Table2[[#This Row],[Course Title]],'TSD-Data'!$A$1:$G$83,7,FALSE)</f>
        <v>N8-RMI</v>
      </c>
      <c r="AO133" s="500">
        <f>Table2[[#This Row],[Quotas]]-Table2[[#This Row],[Graduates]]-Table2[[#This Row],[Fail]]</f>
        <v>979</v>
      </c>
    </row>
    <row r="134" spans="2:41" s="322" customFormat="1" ht="15" customHeight="1" x14ac:dyDescent="0.25">
      <c r="B134" s="530"/>
      <c r="C134" s="530" t="s">
        <v>412</v>
      </c>
      <c r="D134" s="200" t="str">
        <f>VLOOKUP(Table2[[#This Row],[Course Title]],'TSD-Data'!$A$1:$E$83,2,FALSE)</f>
        <v>A-493-3009</v>
      </c>
      <c r="E134" s="200" t="str">
        <f>VLOOKUP(Table2[[#This Row],[Course Title]],'TSD-Data'!$A$1:$E$83,3,FALSE)</f>
        <v>31VB</v>
      </c>
      <c r="F134" s="530" t="s">
        <v>54</v>
      </c>
      <c r="G134" s="531">
        <v>46009</v>
      </c>
      <c r="H134" s="531">
        <v>46009</v>
      </c>
      <c r="I134" s="531" t="s">
        <v>42</v>
      </c>
      <c r="J134" s="532"/>
      <c r="K134" s="532">
        <v>0.8125</v>
      </c>
      <c r="L134" s="532">
        <v>0.6875</v>
      </c>
      <c r="M134" s="532">
        <v>0.14583333333333334</v>
      </c>
      <c r="N134" s="532">
        <v>6.25E-2</v>
      </c>
      <c r="O134" s="532">
        <v>0.6875</v>
      </c>
      <c r="P134" s="532">
        <v>0.39583333333333331</v>
      </c>
      <c r="Q134" s="535" t="s">
        <v>441</v>
      </c>
      <c r="R134" s="535"/>
      <c r="S134" s="535"/>
      <c r="T134" s="200">
        <f>VLOOKUP(Table2[[#This Row],[Course Title]],'TSD-Data'!$A$1:$E$83,4,FALSE)</f>
        <v>1000</v>
      </c>
      <c r="U134" s="200">
        <f>VLOOKUP(Table2[[#This Row],[Course Title]],'TSD-Data'!$A$1:$F$83,6,FALSE)</f>
        <v>1.5</v>
      </c>
      <c r="V134" s="201">
        <f>VLOOKUP(Table2[[#This Row],[Course Title]],'TSD-Data'!$A$1:$F$83,5,FALSE)</f>
        <v>0.1</v>
      </c>
      <c r="W134" s="201">
        <v>0</v>
      </c>
      <c r="X134" s="200">
        <f>Table2[[#This Row],[Quotas]]-Table2[[#This Row],[Open Quotas]]</f>
        <v>2</v>
      </c>
      <c r="Y134" s="200">
        <v>0</v>
      </c>
      <c r="Z134" s="201">
        <v>29</v>
      </c>
      <c r="AA134" s="201">
        <v>0</v>
      </c>
      <c r="AB134" s="200">
        <v>0</v>
      </c>
      <c r="AC134" s="200">
        <v>0</v>
      </c>
      <c r="AD134" s="200">
        <v>5</v>
      </c>
      <c r="AE134" s="200" t="s">
        <v>442</v>
      </c>
      <c r="AF134" s="495">
        <f ca="1">Table2[[#This Row],[End Date]]+2-TODAY()</f>
        <v>-233</v>
      </c>
      <c r="AG134" s="496">
        <f>IF(ISBLANK(Table2[[#This Row],[Roster Received by]]),1,0)</f>
        <v>0</v>
      </c>
      <c r="AH134" s="496">
        <f ca="1">IF(Table2[[#This Row],[Start Date]]&gt;TODAY(),1,)</f>
        <v>0</v>
      </c>
      <c r="AI134" s="496">
        <f>IF(ISBLANK(Table2[[#This Row],[Primary Instructor]]),0,1)</f>
        <v>1</v>
      </c>
      <c r="AJ134" s="496">
        <f>IF(ISBLANK(Table2[[#This Row],[Instructor 2]]),0,1)</f>
        <v>0</v>
      </c>
      <c r="AK134" s="496">
        <f>AJ398</f>
        <v>0</v>
      </c>
      <c r="AL134" s="318">
        <v>998</v>
      </c>
      <c r="AM134" s="496">
        <v>1</v>
      </c>
      <c r="AN134" s="496" t="str">
        <f>VLOOKUP(Table2[[#This Row],[Course Title]],'TSD-Data'!$A$1:$G$83,7,FALSE)</f>
        <v>N8-RMI</v>
      </c>
      <c r="AO134" s="500">
        <f>Table2[[#This Row],[Quotas]]-Table2[[#This Row],[Graduates]]-Table2[[#This Row],[Fail]]</f>
        <v>971</v>
      </c>
    </row>
    <row r="135" spans="2:41" s="202" customFormat="1" ht="15" customHeight="1" x14ac:dyDescent="0.25">
      <c r="B135" s="530"/>
      <c r="C135" s="542" t="s">
        <v>218</v>
      </c>
      <c r="D135" s="200" t="str">
        <f>VLOOKUP(Table2[[#This Row],[Course Title]],'TSD-Data'!$A$1:$E$83,2,FALSE)</f>
        <v>Holiday</v>
      </c>
      <c r="E135" s="200" t="str">
        <f>VLOOKUP(Table2[[#This Row],[Course Title]],'TSD-Data'!$A$1:$E$83,3,FALSE)</f>
        <v>Holiday</v>
      </c>
      <c r="F135" s="542" t="s">
        <v>218</v>
      </c>
      <c r="G135" s="531">
        <v>46016</v>
      </c>
      <c r="H135" s="531">
        <v>46016</v>
      </c>
      <c r="I135" s="531" t="s">
        <v>434</v>
      </c>
      <c r="J135" s="541"/>
      <c r="K135" s="541"/>
      <c r="L135" s="541"/>
      <c r="M135" s="541"/>
      <c r="N135" s="541"/>
      <c r="O135" s="541"/>
      <c r="P135" s="541"/>
      <c r="Q135" s="542" t="s">
        <v>435</v>
      </c>
      <c r="R135" s="542"/>
      <c r="S135" s="542"/>
      <c r="T135" s="200">
        <f>VLOOKUP(Table2[[#This Row],[Course Title]],'TSD-Data'!$A$1:$E$83,4,FALSE)</f>
        <v>0</v>
      </c>
      <c r="U135" s="200">
        <f>VLOOKUP(Table2[[#This Row],[Course Title]],'TSD-Data'!$A$1:$F$83,6,FALSE)</f>
        <v>0</v>
      </c>
      <c r="V135" s="201">
        <f>VLOOKUP(Table2[[#This Row],[Course Title]],'TSD-Data'!$A$1:$F$83,5,FALSE)</f>
        <v>0</v>
      </c>
      <c r="W135" s="543">
        <v>0</v>
      </c>
      <c r="X135" s="200">
        <f>Table2[[#This Row],[Quotas]]-Table2[[#This Row],[Open Quotas]]</f>
        <v>0</v>
      </c>
      <c r="Y135" s="541">
        <v>0</v>
      </c>
      <c r="Z135" s="541">
        <v>0</v>
      </c>
      <c r="AA135" s="541">
        <v>0</v>
      </c>
      <c r="AB135" s="541">
        <v>0</v>
      </c>
      <c r="AC135" s="541">
        <v>0</v>
      </c>
      <c r="AD135" s="541">
        <v>0</v>
      </c>
      <c r="AE135" s="541" t="s">
        <v>436</v>
      </c>
      <c r="AF135" s="495">
        <f ca="1">Table2[[#This Row],[End Date]]+2-TODAY()</f>
        <v>-226</v>
      </c>
      <c r="AG135" s="496">
        <f>IF(ISBLANK(Table2[[#This Row],[Roster Received by]]),1,0)</f>
        <v>0</v>
      </c>
      <c r="AH135" s="496">
        <f ca="1">IF(Table2[[#This Row],[Start Date]]&gt;TODAY(),1,)</f>
        <v>0</v>
      </c>
      <c r="AI135" s="496">
        <f>IF(ISBLANK(Table2[[#This Row],[Primary Instructor]]),0,1)</f>
        <v>1</v>
      </c>
      <c r="AJ135" s="496">
        <f>IF(ISBLANK(Table2[[#This Row],[Instructor 2]]),0,1)</f>
        <v>0</v>
      </c>
      <c r="AK135" s="496">
        <f>Table2[[#This Row],[Course Length (Hours)]]/(Table2[[#This Row],[1 Instructor]]+Table2[[#This Row],[2 Instructors]])</f>
        <v>0</v>
      </c>
      <c r="AL135" s="320">
        <v>0</v>
      </c>
      <c r="AM135" s="496">
        <v>1</v>
      </c>
      <c r="AN135" s="496" t="str">
        <f>VLOOKUP(Table2[[#This Row],[Course Title]],'TSD-Data'!$A$1:$G$83,7,FALSE)</f>
        <v>TSD</v>
      </c>
      <c r="AO135" s="500">
        <f>Table2[[#This Row],[Quotas]]-Table2[[#This Row],[Graduates]]-Table2[[#This Row],[Fail]]</f>
        <v>0</v>
      </c>
    </row>
    <row r="136" spans="2:41" s="202" customFormat="1" ht="15" customHeight="1" x14ac:dyDescent="0.25">
      <c r="B136" s="530"/>
      <c r="C136" s="542" t="s">
        <v>218</v>
      </c>
      <c r="D136" s="200" t="str">
        <f>VLOOKUP(Table2[[#This Row],[Course Title]],'TSD-Data'!$A$1:$E$83,2,FALSE)</f>
        <v>Holiday</v>
      </c>
      <c r="E136" s="200" t="str">
        <f>VLOOKUP(Table2[[#This Row],[Course Title]],'TSD-Data'!$A$1:$E$83,3,FALSE)</f>
        <v>Holiday</v>
      </c>
      <c r="F136" s="542" t="s">
        <v>218</v>
      </c>
      <c r="G136" s="531">
        <v>46023</v>
      </c>
      <c r="H136" s="531">
        <v>46023</v>
      </c>
      <c r="I136" s="531" t="s">
        <v>434</v>
      </c>
      <c r="J136" s="541"/>
      <c r="K136" s="541"/>
      <c r="L136" s="541"/>
      <c r="M136" s="541"/>
      <c r="N136" s="541"/>
      <c r="O136" s="541"/>
      <c r="P136" s="541"/>
      <c r="Q136" s="542" t="s">
        <v>435</v>
      </c>
      <c r="R136" s="542"/>
      <c r="S136" s="542"/>
      <c r="T136" s="200">
        <f>VLOOKUP(Table2[[#This Row],[Course Title]],'TSD-Data'!$A$1:$E$83,4,FALSE)</f>
        <v>0</v>
      </c>
      <c r="U136" s="200">
        <f>VLOOKUP(Table2[[#This Row],[Course Title]],'TSD-Data'!$A$1:$F$83,6,FALSE)</f>
        <v>0</v>
      </c>
      <c r="V136" s="201">
        <f>VLOOKUP(Table2[[#This Row],[Course Title]],'TSD-Data'!$A$1:$F$83,5,FALSE)</f>
        <v>0</v>
      </c>
      <c r="W136" s="543">
        <v>0</v>
      </c>
      <c r="X136" s="200">
        <f>Table2[[#This Row],[Quotas]]-Table2[[#This Row],[Open Quotas]]</f>
        <v>0</v>
      </c>
      <c r="Y136" s="541">
        <v>0</v>
      </c>
      <c r="Z136" s="541">
        <v>0</v>
      </c>
      <c r="AA136" s="541">
        <v>0</v>
      </c>
      <c r="AB136" s="541">
        <v>0</v>
      </c>
      <c r="AC136" s="541">
        <v>0</v>
      </c>
      <c r="AD136" s="541">
        <v>0</v>
      </c>
      <c r="AE136" s="541" t="s">
        <v>436</v>
      </c>
      <c r="AF136" s="495">
        <f ca="1">Table2[[#This Row],[End Date]]+2-TODAY()</f>
        <v>-219</v>
      </c>
      <c r="AG136" s="496">
        <f>IF(ISBLANK(Table2[[#This Row],[Roster Received by]]),1,0)</f>
        <v>0</v>
      </c>
      <c r="AH136" s="496">
        <f ca="1">IF(Table2[[#This Row],[Start Date]]&gt;TODAY(),1,)</f>
        <v>0</v>
      </c>
      <c r="AI136" s="496">
        <f>IF(ISBLANK(Table2[[#This Row],[Primary Instructor]]),0,1)</f>
        <v>1</v>
      </c>
      <c r="AJ136" s="496">
        <f>IF(ISBLANK(Table2[[#This Row],[Instructor 2]]),0,1)</f>
        <v>0</v>
      </c>
      <c r="AK136" s="496">
        <f>Table2[[#This Row],[Course Length (Hours)]]/(Table2[[#This Row],[1 Instructor]]+Table2[[#This Row],[2 Instructors]])</f>
        <v>0</v>
      </c>
      <c r="AL136" s="320">
        <v>0</v>
      </c>
      <c r="AM136" s="497">
        <v>2</v>
      </c>
      <c r="AN136" s="496" t="str">
        <f>VLOOKUP(Table2[[#This Row],[Course Title]],'TSD-Data'!$A$1:$G$83,7,FALSE)</f>
        <v>TSD</v>
      </c>
      <c r="AO136" s="500">
        <f>Table2[[#This Row],[Quotas]]-Table2[[#This Row],[Graduates]]-Table2[[#This Row],[Fail]]</f>
        <v>0</v>
      </c>
    </row>
    <row r="137" spans="2:41" s="202" customFormat="1" ht="15" customHeight="1" x14ac:dyDescent="0.25">
      <c r="B137" s="530"/>
      <c r="C137" s="530" t="s">
        <v>276</v>
      </c>
      <c r="D137" s="200" t="str">
        <f>VLOOKUP(Table2[[#This Row],[Course Title]],'TSD-Data'!$A$1:$E$83,2,FALSE)</f>
        <v>A-493-0103</v>
      </c>
      <c r="E137" s="200" t="str">
        <f>VLOOKUP(Table2[[#This Row],[Course Title]],'TSD-Data'!$A$1:$E$83,3,FALSE)</f>
        <v>12JY</v>
      </c>
      <c r="F137" s="530" t="s">
        <v>112</v>
      </c>
      <c r="G137" s="531">
        <v>46027</v>
      </c>
      <c r="H137" s="531">
        <v>46031</v>
      </c>
      <c r="I137" s="531" t="s">
        <v>42</v>
      </c>
      <c r="J137" s="532">
        <v>0.33333333333333331</v>
      </c>
      <c r="K137" s="532"/>
      <c r="L137" s="531"/>
      <c r="M137" s="531"/>
      <c r="N137" s="531"/>
      <c r="O137" s="531"/>
      <c r="P137" s="531"/>
      <c r="Q137" s="535" t="s">
        <v>280</v>
      </c>
      <c r="R137" s="535"/>
      <c r="S137" s="535"/>
      <c r="T137" s="200">
        <f>VLOOKUP(Table2[[#This Row],[Course Title]],'TSD-Data'!$A$1:$E$83,4,FALSE)</f>
        <v>25</v>
      </c>
      <c r="U137" s="200">
        <f>VLOOKUP(Table2[[#This Row],[Course Title]],'TSD-Data'!$A$1:$F$83,6,FALSE)</f>
        <v>40</v>
      </c>
      <c r="V137" s="201">
        <f>VLOOKUP(Table2[[#This Row],[Course Title]],'TSD-Data'!$A$1:$F$83,5,FALSE)</f>
        <v>5</v>
      </c>
      <c r="W137" s="201">
        <v>90</v>
      </c>
      <c r="X137" s="200">
        <f>Table2[[#This Row],[Quotas]]-Table2[[#This Row],[Open Quotas]]</f>
        <v>10</v>
      </c>
      <c r="Y137" s="200">
        <v>0</v>
      </c>
      <c r="Z137" s="201">
        <v>9</v>
      </c>
      <c r="AA137" s="201">
        <v>0</v>
      </c>
      <c r="AB137" s="200">
        <v>1</v>
      </c>
      <c r="AC137" s="200">
        <v>3</v>
      </c>
      <c r="AD137" s="200">
        <v>0</v>
      </c>
      <c r="AE137" s="200" t="s">
        <v>431</v>
      </c>
      <c r="AF137" s="495">
        <f ca="1">Table2[[#This Row],[End Date]]+2-TODAY()</f>
        <v>-211</v>
      </c>
      <c r="AG137" s="496">
        <f>IF(ISBLANK(Table2[[#This Row],[Roster Received by]]),1,0)</f>
        <v>0</v>
      </c>
      <c r="AH137" s="496">
        <f ca="1">IF(Table2[[#This Row],[Start Date]]&gt;TODAY(),1,)</f>
        <v>0</v>
      </c>
      <c r="AI137" s="496">
        <f>IF(ISBLANK(Table2[[#This Row],[Primary Instructor]]),0,1)</f>
        <v>1</v>
      </c>
      <c r="AJ137" s="496">
        <f>IF(ISBLANK(Table2[[#This Row],[Instructor 2]]),0,1)</f>
        <v>0</v>
      </c>
      <c r="AK137" s="496">
        <f>Table2[[#This Row],[Course Length (Hours)]]/(Table2[[#This Row],[1 Instructor]]+Table2[[#This Row],[2 Instructors]])</f>
        <v>40</v>
      </c>
      <c r="AL137" s="318">
        <v>15</v>
      </c>
      <c r="AM137" s="497">
        <v>2</v>
      </c>
      <c r="AN137" s="496" t="str">
        <f>VLOOKUP(Table2[[#This Row],[Course Title]],'TSD-Data'!$A$1:$G$83,7,FALSE)</f>
        <v>N5</v>
      </c>
      <c r="AO137" s="500">
        <f>Table2[[#This Row],[Quotas]]-Table2[[#This Row],[Graduates]]-Table2[[#This Row],[Fail]]</f>
        <v>16</v>
      </c>
    </row>
    <row r="138" spans="2:41" s="202" customFormat="1" ht="15" customHeight="1" x14ac:dyDescent="0.25">
      <c r="B138" s="530"/>
      <c r="C138" s="530" t="s">
        <v>213</v>
      </c>
      <c r="D138" s="200" t="str">
        <f>VLOOKUP(Table2[[#This Row],[Course Title]],'TSD-Data'!$A$1:$E$83,2,FALSE)</f>
        <v>A-322-2604</v>
      </c>
      <c r="E138" s="200" t="str">
        <f>VLOOKUP(Table2[[#This Row],[Course Title]],'TSD-Data'!$A$1:$E$83,3,FALSE)</f>
        <v>10ZZ</v>
      </c>
      <c r="F138" s="530" t="s">
        <v>54</v>
      </c>
      <c r="G138" s="531">
        <v>46027</v>
      </c>
      <c r="H138" s="531">
        <v>46029</v>
      </c>
      <c r="I138" s="531" t="s">
        <v>42</v>
      </c>
      <c r="J138" s="532"/>
      <c r="K138" s="532">
        <v>0.33333333333333331</v>
      </c>
      <c r="L138" s="553">
        <v>0.20833333333333334</v>
      </c>
      <c r="M138" s="541">
        <v>1600</v>
      </c>
      <c r="N138" s="541">
        <v>1400</v>
      </c>
      <c r="O138" s="532">
        <v>0.125</v>
      </c>
      <c r="P138" s="541">
        <v>2200</v>
      </c>
      <c r="Q138" s="535" t="s">
        <v>79</v>
      </c>
      <c r="R138" s="535"/>
      <c r="S138" s="535"/>
      <c r="T138" s="200">
        <f>VLOOKUP(Table2[[#This Row],[Course Title]],'TSD-Data'!$A$1:$E$83,4,FALSE)</f>
        <v>45</v>
      </c>
      <c r="U138" s="200">
        <f>VLOOKUP(Table2[[#This Row],[Course Title]],'TSD-Data'!$A$1:$F$83,6,FALSE)</f>
        <v>24</v>
      </c>
      <c r="V138" s="201">
        <f>VLOOKUP(Table2[[#This Row],[Course Title]],'TSD-Data'!$A$1:$F$83,5,FALSE)</f>
        <v>3</v>
      </c>
      <c r="W138" s="201">
        <v>316</v>
      </c>
      <c r="X138" s="200">
        <f>Table2[[#This Row],[Quotas]]-Table2[[#This Row],[Open Quotas]]</f>
        <v>43</v>
      </c>
      <c r="Y138" s="200">
        <v>0</v>
      </c>
      <c r="Z138" s="201">
        <v>30</v>
      </c>
      <c r="AA138" s="201">
        <v>3</v>
      </c>
      <c r="AB138" s="200">
        <v>13</v>
      </c>
      <c r="AC138" s="200">
        <v>1</v>
      </c>
      <c r="AD138" s="200">
        <v>0</v>
      </c>
      <c r="AE138" s="200" t="s">
        <v>431</v>
      </c>
      <c r="AF138" s="495">
        <f ca="1">Table2[[#This Row],[End Date]]+2-TODAY()</f>
        <v>-213</v>
      </c>
      <c r="AG138" s="496">
        <f>IF(ISBLANK(Table2[[#This Row],[Roster Received by]]),1,0)</f>
        <v>0</v>
      </c>
      <c r="AH138" s="496">
        <f ca="1">IF(Table2[[#This Row],[Start Date]]&gt;TODAY(),1,)</f>
        <v>0</v>
      </c>
      <c r="AI138" s="496">
        <f>IF(ISBLANK(Table2[[#This Row],[Primary Instructor]]),0,1)</f>
        <v>1</v>
      </c>
      <c r="AJ138" s="496">
        <f>IF(ISBLANK(Table2[[#This Row],[Instructor 2]]),0,1)</f>
        <v>0</v>
      </c>
      <c r="AK138" s="496">
        <f>Table2[[#This Row],[Course Length (Hours)]]/(Table2[[#This Row],[1 Instructor]]+Table2[[#This Row],[2 Instructors]])</f>
        <v>24</v>
      </c>
      <c r="AL138" s="318">
        <v>2</v>
      </c>
      <c r="AM138" s="497">
        <v>2</v>
      </c>
      <c r="AN138" s="496" t="str">
        <f>VLOOKUP(Table2[[#This Row],[Course Title]],'TSD-Data'!$A$1:$G$83,7,FALSE)</f>
        <v>N8</v>
      </c>
      <c r="AO138" s="500">
        <f>Table2[[#This Row],[Quotas]]-Table2[[#This Row],[Graduates]]-Table2[[#This Row],[Fail]]</f>
        <v>12</v>
      </c>
    </row>
    <row r="139" spans="2:41" s="202" customFormat="1" ht="15" customHeight="1" x14ac:dyDescent="0.25">
      <c r="B139" s="155"/>
      <c r="C139" s="321" t="s">
        <v>49</v>
      </c>
      <c r="D139" s="200" t="str">
        <f>VLOOKUP(Table2[[#This Row],[Course Title]],'TSD-Data'!$A$1:$E$83,2,FALSE)</f>
        <v>A-493-0012</v>
      </c>
      <c r="E139" s="200">
        <f>VLOOKUP(Table2[[#This Row],[Course Title]],'TSD-Data'!$A$1:$E$83,3,FALSE)</f>
        <v>3682</v>
      </c>
      <c r="F139" s="321" t="s">
        <v>81</v>
      </c>
      <c r="G139" s="531">
        <v>46027</v>
      </c>
      <c r="H139" s="531">
        <v>46031</v>
      </c>
      <c r="I139" s="531" t="s">
        <v>42</v>
      </c>
      <c r="J139" s="532">
        <v>0.33333333333333331</v>
      </c>
      <c r="K139" s="532"/>
      <c r="L139" s="531"/>
      <c r="M139" s="531"/>
      <c r="N139" s="531"/>
      <c r="O139" s="531"/>
      <c r="P139" s="531"/>
      <c r="Q139" s="535" t="s">
        <v>450</v>
      </c>
      <c r="R139" s="535"/>
      <c r="S139" s="535"/>
      <c r="T139" s="200">
        <f>VLOOKUP(Table2[[#This Row],[Course Title]],'TSD-Data'!$A$1:$E$83,4,FALSE)</f>
        <v>40</v>
      </c>
      <c r="U139" s="200">
        <f>VLOOKUP(Table2[[#This Row],[Course Title]],'TSD-Data'!$A$1:$F$83,6,FALSE)</f>
        <v>40</v>
      </c>
      <c r="V139" s="201">
        <f>VLOOKUP(Table2[[#This Row],[Course Title]],'TSD-Data'!$A$1:$F$83,5,FALSE)</f>
        <v>5</v>
      </c>
      <c r="W139" s="200">
        <v>45</v>
      </c>
      <c r="X139" s="200">
        <f>Table2[[#This Row],[Quotas]]-Table2[[#This Row],[Open Quotas]]</f>
        <v>31</v>
      </c>
      <c r="Y139" s="200">
        <v>0</v>
      </c>
      <c r="Z139" s="201">
        <v>36</v>
      </c>
      <c r="AA139" s="201">
        <v>0</v>
      </c>
      <c r="AB139" s="200">
        <v>0</v>
      </c>
      <c r="AC139" s="200">
        <v>5</v>
      </c>
      <c r="AD139" s="200">
        <v>0</v>
      </c>
      <c r="AE139" s="200" t="s">
        <v>428</v>
      </c>
      <c r="AF139" s="495">
        <f ca="1">Table2[[#This Row],[End Date]]+2-TODAY()</f>
        <v>-211</v>
      </c>
      <c r="AG139" s="496">
        <f>IF(ISBLANK(Table2[[#This Row],[Roster Received by]]),1,0)</f>
        <v>0</v>
      </c>
      <c r="AH139" s="496">
        <f ca="1">IF(Table2[[#This Row],[Start Date]]&gt;TODAY(),1,)</f>
        <v>0</v>
      </c>
      <c r="AI139" s="496">
        <f>IF(ISBLANK(Table2[[#This Row],[Primary Instructor]]),0,1)</f>
        <v>1</v>
      </c>
      <c r="AJ139" s="496">
        <f>IF(ISBLANK(Table2[[#This Row],[Instructor 2]]),0,1)</f>
        <v>0</v>
      </c>
      <c r="AK139" s="496">
        <f>Table2[[#This Row],[Course Length (Hours)]]/(Table2[[#This Row],[1 Instructor]]+Table2[[#This Row],[2 Instructors]])</f>
        <v>40</v>
      </c>
      <c r="AL139" s="318">
        <v>9</v>
      </c>
      <c r="AM139" s="497">
        <v>2</v>
      </c>
      <c r="AN139" s="496" t="str">
        <f>VLOOKUP(Table2[[#This Row],[Course Title]],'TSD-Data'!$A$1:$G$83,7,FALSE)</f>
        <v>N4</v>
      </c>
      <c r="AO139" s="500">
        <f>Table2[[#This Row],[Quotas]]-Table2[[#This Row],[Graduates]]-Table2[[#This Row],[Fail]]</f>
        <v>4</v>
      </c>
    </row>
    <row r="140" spans="2:41" s="202" customFormat="1" ht="15" customHeight="1" x14ac:dyDescent="0.25">
      <c r="B140" s="530"/>
      <c r="C140" s="530" t="s">
        <v>77</v>
      </c>
      <c r="D140" s="200" t="str">
        <f>VLOOKUP(Table2[[#This Row],[Course Title]],'TSD-Data'!$A$1:$E$83,2,FALSE)</f>
        <v>A-493-0072</v>
      </c>
      <c r="E140" s="200" t="str">
        <f>VLOOKUP(Table2[[#This Row],[Course Title]],'TSD-Data'!$A$1:$E$83,3,FALSE)</f>
        <v>713U</v>
      </c>
      <c r="F140" s="530" t="s">
        <v>41</v>
      </c>
      <c r="G140" s="531">
        <v>46027</v>
      </c>
      <c r="H140" s="531">
        <v>46031</v>
      </c>
      <c r="I140" s="531" t="s">
        <v>42</v>
      </c>
      <c r="J140" s="532">
        <v>0.33333333333333331</v>
      </c>
      <c r="K140" s="532"/>
      <c r="L140" s="531"/>
      <c r="M140" s="531"/>
      <c r="N140" s="531"/>
      <c r="O140" s="531"/>
      <c r="P140" s="531"/>
      <c r="Q140" s="535" t="s">
        <v>62</v>
      </c>
      <c r="R140" s="535"/>
      <c r="S140" s="535" t="s">
        <v>451</v>
      </c>
      <c r="T140" s="200">
        <f>VLOOKUP(Table2[[#This Row],[Course Title]],'TSD-Data'!$A$1:$E$83,4,FALSE)</f>
        <v>30</v>
      </c>
      <c r="U140" s="200">
        <f>VLOOKUP(Table2[[#This Row],[Course Title]],'TSD-Data'!$A$1:$F$83,6,FALSE)</f>
        <v>40</v>
      </c>
      <c r="V140" s="201">
        <f>VLOOKUP(Table2[[#This Row],[Course Title]],'TSD-Data'!$A$1:$F$83,5,FALSE)</f>
        <v>5</v>
      </c>
      <c r="W140" s="201">
        <v>33</v>
      </c>
      <c r="X140" s="200">
        <f>Table2[[#This Row],[Quotas]]-Table2[[#This Row],[Open Quotas]]</f>
        <v>27</v>
      </c>
      <c r="Y140" s="200">
        <v>0</v>
      </c>
      <c r="Z140" s="201">
        <v>21</v>
      </c>
      <c r="AA140" s="201">
        <v>0</v>
      </c>
      <c r="AB140" s="200">
        <v>8</v>
      </c>
      <c r="AC140" s="200">
        <v>1</v>
      </c>
      <c r="AD140" s="200">
        <v>0</v>
      </c>
      <c r="AE140" s="200" t="s">
        <v>429</v>
      </c>
      <c r="AF140" s="495">
        <f ca="1">Table2[[#This Row],[End Date]]+2-TODAY()</f>
        <v>-211</v>
      </c>
      <c r="AG140" s="496">
        <f>IF(ISBLANK(Table2[[#This Row],[Roster Received by]]),1,0)</f>
        <v>0</v>
      </c>
      <c r="AH140" s="496">
        <f ca="1">IF(Table2[[#This Row],[Start Date]]&gt;TODAY(),1,)</f>
        <v>0</v>
      </c>
      <c r="AI140" s="496">
        <f>IF(ISBLANK(Table2[[#This Row],[Primary Instructor]]),0,1)</f>
        <v>1</v>
      </c>
      <c r="AJ140" s="496">
        <f>IF(ISBLANK(Table2[[#This Row],[Instructor 2]]),0,1)</f>
        <v>0</v>
      </c>
      <c r="AK140" s="496">
        <f>Table2[[#This Row],[Course Length (Hours)]]/(Table2[[#This Row],[1 Instructor]]+Table2[[#This Row],[2 Instructors]])</f>
        <v>40</v>
      </c>
      <c r="AL140" s="318">
        <v>3</v>
      </c>
      <c r="AM140" s="496">
        <v>1</v>
      </c>
      <c r="AN140" s="496" t="str">
        <f>VLOOKUP(Table2[[#This Row],[Course Title]],'TSD-Data'!$A$1:$G$83,7,FALSE)</f>
        <v>N3</v>
      </c>
      <c r="AO140" s="500">
        <f>Table2[[#This Row],[Quotas]]-Table2[[#This Row],[Graduates]]-Table2[[#This Row],[Fail]]</f>
        <v>9</v>
      </c>
    </row>
    <row r="141" spans="2:41" ht="15" customHeight="1" x14ac:dyDescent="0.25">
      <c r="B141" s="530"/>
      <c r="C141" s="530" t="s">
        <v>236</v>
      </c>
      <c r="D141" s="200" t="str">
        <f>VLOOKUP(Table2[[#This Row],[Course Title]],'TSD-Data'!$A$1:$E$83,2,FALSE)</f>
        <v>A-493-2098</v>
      </c>
      <c r="E141" s="200" t="str">
        <f>VLOOKUP(Table2[[#This Row],[Course Title]],'TSD-Data'!$A$1:$E$83,3,FALSE)</f>
        <v>09WW</v>
      </c>
      <c r="F141" s="530" t="s">
        <v>54</v>
      </c>
      <c r="G141" s="531">
        <v>46027</v>
      </c>
      <c r="H141" s="531">
        <v>46029</v>
      </c>
      <c r="I141" s="531" t="s">
        <v>42</v>
      </c>
      <c r="J141" s="532"/>
      <c r="K141" s="536">
        <v>0.5</v>
      </c>
      <c r="L141" s="536">
        <v>0.375</v>
      </c>
      <c r="M141" s="536">
        <v>0.83333333333333337</v>
      </c>
      <c r="N141" s="536">
        <v>0.75</v>
      </c>
      <c r="O141" s="536">
        <v>0.29166666666666669</v>
      </c>
      <c r="P141" s="536">
        <v>8.3333333333333329E-2</v>
      </c>
      <c r="Q141" s="535" t="s">
        <v>43</v>
      </c>
      <c r="R141" s="535"/>
      <c r="S141" s="535"/>
      <c r="T141" s="200">
        <f>VLOOKUP(Table2[[#This Row],[Course Title]],'TSD-Data'!$A$1:$E$83,4,FALSE)</f>
        <v>100</v>
      </c>
      <c r="U141" s="200">
        <f>VLOOKUP(Table2[[#This Row],[Course Title]],'TSD-Data'!$A$1:$F$83,6,FALSE)</f>
        <v>16</v>
      </c>
      <c r="V141" s="201">
        <f>VLOOKUP(Table2[[#This Row],[Course Title]],'TSD-Data'!$A$1:$F$83,5,FALSE)</f>
        <v>3</v>
      </c>
      <c r="W141" s="201">
        <v>1882</v>
      </c>
      <c r="X141" s="200">
        <f>Table2[[#This Row],[Quotas]]-Table2[[#This Row],[Open Quotas]]</f>
        <v>92</v>
      </c>
      <c r="Y141" s="200">
        <v>0</v>
      </c>
      <c r="Z141" s="201">
        <v>78</v>
      </c>
      <c r="AA141" s="201">
        <v>1</v>
      </c>
      <c r="AB141" s="200">
        <v>15</v>
      </c>
      <c r="AC141" s="200">
        <v>2</v>
      </c>
      <c r="AD141" s="200">
        <v>0</v>
      </c>
      <c r="AE141" s="200" t="s">
        <v>428</v>
      </c>
      <c r="AF141" s="495">
        <f ca="1">Table2[[#This Row],[End Date]]+2-TODAY()</f>
        <v>-213</v>
      </c>
      <c r="AG141" s="496">
        <f>IF(ISBLANK(Table2[[#This Row],[Roster Received by]]),1,0)</f>
        <v>0</v>
      </c>
      <c r="AH141" s="496">
        <f ca="1">IF(Table2[[#This Row],[Start Date]]&gt;TODAY(),1,)</f>
        <v>0</v>
      </c>
      <c r="AI141" s="496">
        <f>IF(ISBLANK(Table2[[#This Row],[Primary Instructor]]),0,1)</f>
        <v>1</v>
      </c>
      <c r="AJ141" s="496">
        <f>IF(ISBLANK(Table2[[#This Row],[Instructor 2]]),0,1)</f>
        <v>0</v>
      </c>
      <c r="AK141" s="496">
        <f>Table2[[#This Row],[Course Length (Hours)]]/(Table2[[#This Row],[1 Instructor]]+Table2[[#This Row],[2 Instructors]])</f>
        <v>16</v>
      </c>
      <c r="AL141" s="318">
        <v>8</v>
      </c>
      <c r="AM141" s="497">
        <v>2</v>
      </c>
      <c r="AN141" s="496" t="str">
        <f>VLOOKUP(Table2[[#This Row],[Course Title]],'TSD-Data'!$A$1:$G$83,7,FALSE)</f>
        <v>N8</v>
      </c>
      <c r="AO141" s="500">
        <f>Table2[[#This Row],[Quotas]]-Table2[[#This Row],[Graduates]]-Table2[[#This Row],[Fail]]</f>
        <v>21</v>
      </c>
    </row>
    <row r="142" spans="2:41" ht="15" customHeight="1" x14ac:dyDescent="0.25">
      <c r="B142" s="530"/>
      <c r="C142" s="530" t="s">
        <v>53</v>
      </c>
      <c r="D142" s="200" t="str">
        <f>VLOOKUP(Table2[[#This Row],[Course Title]],'TSD-Data'!$A$1:$E$83,2,FALSE)</f>
        <v>A-493-0078</v>
      </c>
      <c r="E142" s="200">
        <f>VLOOKUP(Table2[[#This Row],[Course Title]],'TSD-Data'!$A$1:$E$83,3,FALSE)</f>
        <v>1228</v>
      </c>
      <c r="F142" s="530" t="s">
        <v>54</v>
      </c>
      <c r="G142" s="531">
        <v>46028</v>
      </c>
      <c r="H142" s="531">
        <v>46031</v>
      </c>
      <c r="I142" s="531" t="s">
        <v>42</v>
      </c>
      <c r="J142" s="532"/>
      <c r="K142" s="536">
        <v>0.5</v>
      </c>
      <c r="L142" s="536">
        <v>0.375</v>
      </c>
      <c r="M142" s="536">
        <v>0.83333333333333337</v>
      </c>
      <c r="N142" s="536">
        <v>0.75</v>
      </c>
      <c r="O142" s="536">
        <v>0.29166666666666669</v>
      </c>
      <c r="P142" s="536">
        <v>8.3333333333333329E-2</v>
      </c>
      <c r="Q142" s="535" t="s">
        <v>55</v>
      </c>
      <c r="R142" s="535"/>
      <c r="S142" s="535"/>
      <c r="T142" s="200">
        <f>VLOOKUP(Table2[[#This Row],[Course Title]],'TSD-Data'!$A$1:$E$83,4,FALSE)</f>
        <v>45</v>
      </c>
      <c r="U142" s="200">
        <f>VLOOKUP(Table2[[#This Row],[Course Title]],'TSD-Data'!$A$1:$F$83,6,FALSE)</f>
        <v>32</v>
      </c>
      <c r="V142" s="201">
        <f>VLOOKUP(Table2[[#This Row],[Course Title]],'TSD-Data'!$A$1:$F$83,5,FALSE)</f>
        <v>4</v>
      </c>
      <c r="W142" s="201">
        <v>568</v>
      </c>
      <c r="X142" s="200">
        <f>Table2[[#This Row],[Quotas]]-Table2[[#This Row],[Open Quotas]]</f>
        <v>45</v>
      </c>
      <c r="Y142" s="200">
        <v>0</v>
      </c>
      <c r="Z142" s="201">
        <v>39</v>
      </c>
      <c r="AA142" s="201">
        <v>2</v>
      </c>
      <c r="AB142" s="200">
        <v>6</v>
      </c>
      <c r="AC142" s="200">
        <v>2</v>
      </c>
      <c r="AD142" s="200">
        <v>0</v>
      </c>
      <c r="AE142" s="200" t="s">
        <v>431</v>
      </c>
      <c r="AF142" s="495">
        <f ca="1">Table2[[#This Row],[End Date]]+2-TODAY()</f>
        <v>-211</v>
      </c>
      <c r="AG142" s="496">
        <f>IF(ISBLANK(Table2[[#This Row],[Roster Received by]]),1,0)</f>
        <v>0</v>
      </c>
      <c r="AH142" s="496">
        <f ca="1">IF(Table2[[#This Row],[Start Date]]&gt;TODAY(),1,)</f>
        <v>0</v>
      </c>
      <c r="AI142" s="496">
        <f>IF(ISBLANK(Table2[[#This Row],[Primary Instructor]]),0,1)</f>
        <v>1</v>
      </c>
      <c r="AJ142" s="496">
        <f>IF(ISBLANK(Table2[[#This Row],[Instructor 2]]),0,1)</f>
        <v>0</v>
      </c>
      <c r="AK142" s="496">
        <f>Table2[[#This Row],[Course Length (Hours)]]/(Table2[[#This Row],[1 Instructor]]+Table2[[#This Row],[2 Instructors]])</f>
        <v>32</v>
      </c>
      <c r="AL142" s="318">
        <v>0</v>
      </c>
      <c r="AM142" s="497">
        <v>2</v>
      </c>
      <c r="AN142" s="496" t="str">
        <f>VLOOKUP(Table2[[#This Row],[Course Title]],'TSD-Data'!$A$1:$G$83,7,FALSE)</f>
        <v>N5</v>
      </c>
      <c r="AO142" s="500">
        <f>Table2[[#This Row],[Quotas]]-Table2[[#This Row],[Graduates]]-Table2[[#This Row],[Fail]]</f>
        <v>4</v>
      </c>
    </row>
    <row r="143" spans="2:41" s="202" customFormat="1" ht="15" customHeight="1" x14ac:dyDescent="0.25">
      <c r="B143" s="530"/>
      <c r="C143" s="530" t="s">
        <v>196</v>
      </c>
      <c r="D143" s="200" t="str">
        <f>VLOOKUP(Table2[[#This Row],[Course Title]],'TSD-Data'!$A$1:$E$83,2,FALSE)</f>
        <v>A-4J-0022</v>
      </c>
      <c r="E143" s="200" t="str">
        <f>VLOOKUP(Table2[[#This Row],[Course Title]],'TSD-Data'!$A$1:$E$83,3,FALSE)</f>
        <v>09ER</v>
      </c>
      <c r="F143" s="530" t="s">
        <v>54</v>
      </c>
      <c r="G143" s="531">
        <v>46034</v>
      </c>
      <c r="H143" s="531">
        <v>46038</v>
      </c>
      <c r="I143" s="531" t="s">
        <v>42</v>
      </c>
      <c r="J143" s="532"/>
      <c r="K143" s="536">
        <v>0.5</v>
      </c>
      <c r="L143" s="536">
        <v>0.375</v>
      </c>
      <c r="M143" s="536">
        <v>0.83333333333333337</v>
      </c>
      <c r="N143" s="536">
        <v>0.75</v>
      </c>
      <c r="O143" s="536">
        <v>0.29166666666666669</v>
      </c>
      <c r="P143" s="536">
        <v>8.3333333333333329E-2</v>
      </c>
      <c r="Q143" s="535" t="s">
        <v>295</v>
      </c>
      <c r="R143" s="535"/>
      <c r="S143" s="535"/>
      <c r="T143" s="200">
        <f>VLOOKUP(Table2[[#This Row],[Course Title]],'TSD-Data'!$A$1:$E$83,4,FALSE)</f>
        <v>45</v>
      </c>
      <c r="U143" s="200">
        <f>VLOOKUP(Table2[[#This Row],[Course Title]],'TSD-Data'!$A$1:$F$83,6,FALSE)</f>
        <v>40</v>
      </c>
      <c r="V143" s="201">
        <f>VLOOKUP(Table2[[#This Row],[Course Title]],'TSD-Data'!$A$1:$F$83,5,FALSE)</f>
        <v>2</v>
      </c>
      <c r="W143" s="201">
        <v>130</v>
      </c>
      <c r="X143" s="200">
        <f>Table2[[#This Row],[Quotas]]-Table2[[#This Row],[Open Quotas]]</f>
        <v>13</v>
      </c>
      <c r="Y143" s="200">
        <v>0</v>
      </c>
      <c r="Z143" s="201">
        <v>12</v>
      </c>
      <c r="AA143" s="201">
        <v>0</v>
      </c>
      <c r="AB143" s="200">
        <v>1</v>
      </c>
      <c r="AC143" s="200">
        <v>0</v>
      </c>
      <c r="AD143" s="200">
        <v>0</v>
      </c>
      <c r="AE143" s="200" t="s">
        <v>428</v>
      </c>
      <c r="AF143" s="495">
        <f ca="1">Table2[[#This Row],[End Date]]+2-TODAY()</f>
        <v>-204</v>
      </c>
      <c r="AG143" s="496">
        <f>IF(ISBLANK(Table2[[#This Row],[Roster Received by]]),1,0)</f>
        <v>0</v>
      </c>
      <c r="AH143" s="496">
        <f ca="1">IF(Table2[[#This Row],[Start Date]]&gt;TODAY(),1,)</f>
        <v>0</v>
      </c>
      <c r="AI143" s="496">
        <f>IF(ISBLANK(Table2[[#This Row],[Primary Instructor]]),0,1)</f>
        <v>1</v>
      </c>
      <c r="AJ143" s="496">
        <f>IF(ISBLANK(Table2[[#This Row],[Instructor 2]]),0,1)</f>
        <v>0</v>
      </c>
      <c r="AK143" s="496">
        <f>Table2[[#This Row],[Course Length (Hours)]]/(Table2[[#This Row],[1 Instructor]]+Table2[[#This Row],[2 Instructors]])</f>
        <v>40</v>
      </c>
      <c r="AL143" s="318">
        <v>32</v>
      </c>
      <c r="AM143" s="497">
        <v>2</v>
      </c>
      <c r="AN143" s="496" t="str">
        <f>VLOOKUP(Table2[[#This Row],[Course Title]],'TSD-Data'!$A$1:$G$83,7,FALSE)</f>
        <v>N4</v>
      </c>
      <c r="AO143" s="500">
        <f>Table2[[#This Row],[Quotas]]-Table2[[#This Row],[Graduates]]-Table2[[#This Row],[Fail]]</f>
        <v>33</v>
      </c>
    </row>
    <row r="144" spans="2:41" s="202" customFormat="1" ht="15" customHeight="1" x14ac:dyDescent="0.25">
      <c r="B144" s="530"/>
      <c r="C144" s="530" t="s">
        <v>200</v>
      </c>
      <c r="D144" s="200" t="str">
        <f>VLOOKUP(Table2[[#This Row],[Course Title]],'TSD-Data'!$A$1:$E$83,2,FALSE)</f>
        <v>A-493-0665</v>
      </c>
      <c r="E144" s="200" t="str">
        <f>VLOOKUP(Table2[[#This Row],[Course Title]],'TSD-Data'!$A$1:$E$83,3,FALSE)</f>
        <v>10KW</v>
      </c>
      <c r="F144" s="530" t="s">
        <v>54</v>
      </c>
      <c r="G144" s="531">
        <v>46034</v>
      </c>
      <c r="H144" s="531">
        <v>46036</v>
      </c>
      <c r="I144" s="531" t="s">
        <v>42</v>
      </c>
      <c r="J144" s="532"/>
      <c r="K144" s="532">
        <v>0.33333333333333331</v>
      </c>
      <c r="L144" s="532">
        <v>0.20833333333333334</v>
      </c>
      <c r="M144" s="541">
        <v>1600</v>
      </c>
      <c r="N144" s="541">
        <v>1400</v>
      </c>
      <c r="O144" s="532">
        <v>0.125</v>
      </c>
      <c r="P144" s="541">
        <v>2200</v>
      </c>
      <c r="Q144" s="535" t="s">
        <v>79</v>
      </c>
      <c r="R144" s="535"/>
      <c r="S144" s="535"/>
      <c r="T144" s="200">
        <f>VLOOKUP(Table2[[#This Row],[Course Title]],'TSD-Data'!$A$1:$E$83,4,FALSE)</f>
        <v>45</v>
      </c>
      <c r="U144" s="200">
        <f>VLOOKUP(Table2[[#This Row],[Course Title]],'TSD-Data'!$A$1:$F$83,6,FALSE)</f>
        <v>24</v>
      </c>
      <c r="V144" s="201">
        <f>VLOOKUP(Table2[[#This Row],[Course Title]],'TSD-Data'!$A$1:$F$83,5,FALSE)</f>
        <v>3</v>
      </c>
      <c r="W144" s="201">
        <v>140</v>
      </c>
      <c r="X144" s="200">
        <f>Table2[[#This Row],[Quotas]]-Table2[[#This Row],[Open Quotas]]</f>
        <v>26</v>
      </c>
      <c r="Y144" s="200">
        <v>0</v>
      </c>
      <c r="Z144" s="201">
        <v>22</v>
      </c>
      <c r="AA144" s="201">
        <v>1</v>
      </c>
      <c r="AB144" s="200">
        <v>2</v>
      </c>
      <c r="AC144" s="200">
        <v>0</v>
      </c>
      <c r="AD144" s="200">
        <v>0</v>
      </c>
      <c r="AE144" s="200" t="s">
        <v>442</v>
      </c>
      <c r="AF144" s="495">
        <f ca="1">Table2[[#This Row],[End Date]]+2-TODAY()</f>
        <v>-206</v>
      </c>
      <c r="AG144" s="496">
        <f>IF(ISBLANK(Table2[[#This Row],[Roster Received by]]),1,0)</f>
        <v>0</v>
      </c>
      <c r="AH144" s="496">
        <f ca="1">IF(Table2[[#This Row],[Start Date]]&gt;TODAY(),1,)</f>
        <v>0</v>
      </c>
      <c r="AI144" s="496">
        <f>IF(ISBLANK(Table2[[#This Row],[Primary Instructor]]),0,1)</f>
        <v>1</v>
      </c>
      <c r="AJ144" s="496">
        <f>IF(ISBLANK(Table2[[#This Row],[Instructor 2]]),0,1)</f>
        <v>0</v>
      </c>
      <c r="AK144" s="496">
        <f>Table2[[#This Row],[Course Length (Hours)]]/(Table2[[#This Row],[1 Instructor]]+Table2[[#This Row],[2 Instructors]])</f>
        <v>24</v>
      </c>
      <c r="AL144" s="318">
        <v>19</v>
      </c>
      <c r="AM144" s="497">
        <v>2</v>
      </c>
      <c r="AN144" s="496" t="str">
        <f>VLOOKUP(Table2[[#This Row],[Course Title]],'TSD-Data'!$A$1:$G$83,7,FALSE)</f>
        <v>N8</v>
      </c>
      <c r="AO144" s="500">
        <f>Table2[[#This Row],[Quotas]]-Table2[[#This Row],[Graduates]]-Table2[[#This Row],[Fail]]</f>
        <v>22</v>
      </c>
    </row>
    <row r="145" spans="2:41" ht="15" customHeight="1" x14ac:dyDescent="0.25">
      <c r="B145" s="530"/>
      <c r="C145" s="530" t="s">
        <v>276</v>
      </c>
      <c r="D145" s="200" t="str">
        <f>VLOOKUP(Table2[[#This Row],[Course Title]],'TSD-Data'!$A$1:$E$83,2,FALSE)</f>
        <v>A-493-0103</v>
      </c>
      <c r="E145" s="200" t="str">
        <f>VLOOKUP(Table2[[#This Row],[Course Title]],'TSD-Data'!$A$1:$E$83,3,FALSE)</f>
        <v>12JY</v>
      </c>
      <c r="F145" s="530" t="s">
        <v>112</v>
      </c>
      <c r="G145" s="531">
        <v>46034</v>
      </c>
      <c r="H145" s="531">
        <v>46038</v>
      </c>
      <c r="I145" s="531" t="s">
        <v>42</v>
      </c>
      <c r="J145" s="532">
        <v>0.33333333333333331</v>
      </c>
      <c r="K145" s="532"/>
      <c r="L145" s="531"/>
      <c r="M145" s="531"/>
      <c r="N145" s="531"/>
      <c r="O145" s="531"/>
      <c r="P145" s="531"/>
      <c r="Q145" s="535" t="s">
        <v>280</v>
      </c>
      <c r="R145" s="535"/>
      <c r="S145" s="535"/>
      <c r="T145" s="200">
        <f>VLOOKUP(Table2[[#This Row],[Course Title]],'TSD-Data'!$A$1:$E$83,4,FALSE)</f>
        <v>25</v>
      </c>
      <c r="U145" s="200">
        <f>VLOOKUP(Table2[[#This Row],[Course Title]],'TSD-Data'!$A$1:$F$83,6,FALSE)</f>
        <v>40</v>
      </c>
      <c r="V145" s="201">
        <f>VLOOKUP(Table2[[#This Row],[Course Title]],'TSD-Data'!$A$1:$F$83,5,FALSE)</f>
        <v>5</v>
      </c>
      <c r="W145" s="201">
        <v>90</v>
      </c>
      <c r="X145" s="200">
        <f>Table2[[#This Row],[Quotas]]-Table2[[#This Row],[Open Quotas]]</f>
        <v>8</v>
      </c>
      <c r="Y145" s="200">
        <v>0</v>
      </c>
      <c r="Z145" s="201">
        <v>7</v>
      </c>
      <c r="AA145" s="201">
        <v>0</v>
      </c>
      <c r="AB145" s="200">
        <v>1</v>
      </c>
      <c r="AC145" s="200">
        <v>0</v>
      </c>
      <c r="AD145" s="200">
        <v>0</v>
      </c>
      <c r="AE145" s="200" t="s">
        <v>431</v>
      </c>
      <c r="AF145" s="495">
        <f ca="1">Table2[[#This Row],[End Date]]+2-TODAY()</f>
        <v>-204</v>
      </c>
      <c r="AG145" s="496">
        <f>IF(ISBLANK(Table2[[#This Row],[Roster Received by]]),1,0)</f>
        <v>0</v>
      </c>
      <c r="AH145" s="496">
        <f ca="1">IF(Table2[[#This Row],[Start Date]]&gt;TODAY(),1,)</f>
        <v>0</v>
      </c>
      <c r="AI145" s="496">
        <f>IF(ISBLANK(Table2[[#This Row],[Primary Instructor]]),0,1)</f>
        <v>1</v>
      </c>
      <c r="AJ145" s="496">
        <f>IF(ISBLANK(Table2[[#This Row],[Instructor 2]]),0,1)</f>
        <v>0</v>
      </c>
      <c r="AK145" s="496">
        <f>Table2[[#This Row],[Course Length (Hours)]]/(Table2[[#This Row],[1 Instructor]]+Table2[[#This Row],[2 Instructors]])</f>
        <v>40</v>
      </c>
      <c r="AL145" s="318">
        <v>17</v>
      </c>
      <c r="AM145" s="497">
        <v>2</v>
      </c>
      <c r="AN145" s="496" t="str">
        <f>VLOOKUP(Table2[[#This Row],[Course Title]],'TSD-Data'!$A$1:$G$83,7,FALSE)</f>
        <v>N5</v>
      </c>
      <c r="AO145" s="500">
        <f>Table2[[#This Row],[Quotas]]-Table2[[#This Row],[Graduates]]-Table2[[#This Row],[Fail]]</f>
        <v>18</v>
      </c>
    </row>
    <row r="146" spans="2:41" ht="15" customHeight="1" x14ac:dyDescent="0.25">
      <c r="B146" s="530"/>
      <c r="C146" s="530" t="s">
        <v>276</v>
      </c>
      <c r="D146" s="200" t="str">
        <f>VLOOKUP(Table2[[#This Row],[Course Title]],'TSD-Data'!$A$1:$E$83,2,FALSE)</f>
        <v>A-493-0103</v>
      </c>
      <c r="E146" s="200" t="str">
        <f>VLOOKUP(Table2[[#This Row],[Course Title]],'TSD-Data'!$A$1:$E$83,3,FALSE)</f>
        <v>12JY</v>
      </c>
      <c r="F146" s="530" t="s">
        <v>102</v>
      </c>
      <c r="G146" s="531">
        <v>46034</v>
      </c>
      <c r="H146" s="531">
        <v>46038</v>
      </c>
      <c r="I146" s="531" t="s">
        <v>42</v>
      </c>
      <c r="J146" s="532">
        <v>0.33333333333333331</v>
      </c>
      <c r="K146" s="532"/>
      <c r="L146" s="531"/>
      <c r="M146" s="531"/>
      <c r="N146" s="531"/>
      <c r="O146" s="531"/>
      <c r="P146" s="531"/>
      <c r="Q146" s="535" t="s">
        <v>280</v>
      </c>
      <c r="R146" s="535"/>
      <c r="S146" s="535"/>
      <c r="T146" s="200">
        <f>VLOOKUP(Table2[[#This Row],[Course Title]],'TSD-Data'!$A$1:$E$83,4,FALSE)</f>
        <v>25</v>
      </c>
      <c r="U146" s="200">
        <f>VLOOKUP(Table2[[#This Row],[Course Title]],'TSD-Data'!$A$1:$F$83,6,FALSE)</f>
        <v>40</v>
      </c>
      <c r="V146" s="201">
        <f>VLOOKUP(Table2[[#This Row],[Course Title]],'TSD-Data'!$A$1:$F$83,5,FALSE)</f>
        <v>5</v>
      </c>
      <c r="W146" s="201">
        <v>35</v>
      </c>
      <c r="X146" s="200">
        <f>Table2[[#This Row],[Quotas]]-Table2[[#This Row],[Open Quotas]]</f>
        <v>20</v>
      </c>
      <c r="Y146" s="200">
        <v>0</v>
      </c>
      <c r="Z146" s="201">
        <v>20</v>
      </c>
      <c r="AA146" s="201">
        <v>0</v>
      </c>
      <c r="AB146" s="200">
        <v>4</v>
      </c>
      <c r="AC146" s="200">
        <v>1</v>
      </c>
      <c r="AD146" s="200">
        <v>0</v>
      </c>
      <c r="AE146" s="200" t="s">
        <v>431</v>
      </c>
      <c r="AF146" s="495">
        <f ca="1">Table2[[#This Row],[End Date]]+2-TODAY()</f>
        <v>-204</v>
      </c>
      <c r="AG146" s="496">
        <f>IF(ISBLANK(Table2[[#This Row],[Roster Received by]]),1,0)</f>
        <v>0</v>
      </c>
      <c r="AH146" s="496">
        <f ca="1">IF(Table2[[#This Row],[Start Date]]&gt;TODAY(),1,)</f>
        <v>0</v>
      </c>
      <c r="AI146" s="496">
        <f>IF(ISBLANK(Table2[[#This Row],[Primary Instructor]]),0,1)</f>
        <v>1</v>
      </c>
      <c r="AJ146" s="496">
        <f>IF(ISBLANK(Table2[[#This Row],[Instructor 2]]),0,1)</f>
        <v>0</v>
      </c>
      <c r="AK146" s="496">
        <f>Table2[[#This Row],[Course Length (Hours)]]/(Table2[[#This Row],[1 Instructor]]+Table2[[#This Row],[2 Instructors]])</f>
        <v>40</v>
      </c>
      <c r="AL146" s="318">
        <v>5</v>
      </c>
      <c r="AM146" s="497">
        <v>2</v>
      </c>
      <c r="AN146" s="496" t="str">
        <f>VLOOKUP(Table2[[#This Row],[Course Title]],'TSD-Data'!$A$1:$G$83,7,FALSE)</f>
        <v>N5</v>
      </c>
      <c r="AO146" s="500">
        <f>Table2[[#This Row],[Quotas]]-Table2[[#This Row],[Graduates]]-Table2[[#This Row],[Fail]]</f>
        <v>5</v>
      </c>
    </row>
    <row r="147" spans="2:41" ht="15" customHeight="1" x14ac:dyDescent="0.25">
      <c r="B147" s="530"/>
      <c r="C147" s="530" t="s">
        <v>395</v>
      </c>
      <c r="D147" s="200" t="str">
        <f>VLOOKUP(Table2[[#This Row],[Course Title]],'TSD-Data'!$A$1:$E$83,2,FALSE)</f>
        <v>A-493-0030</v>
      </c>
      <c r="E147" s="200" t="str">
        <f>VLOOKUP(Table2[[#This Row],[Course Title]],'TSD-Data'!$A$1:$E$83,3,FALSE)</f>
        <v>286X</v>
      </c>
      <c r="F147" s="530" t="s">
        <v>258</v>
      </c>
      <c r="G147" s="531">
        <v>46034</v>
      </c>
      <c r="H147" s="531">
        <v>46038</v>
      </c>
      <c r="I147" s="531" t="s">
        <v>42</v>
      </c>
      <c r="J147" s="532">
        <v>0.33333333333333331</v>
      </c>
      <c r="K147" s="545"/>
      <c r="L147" s="531"/>
      <c r="M147" s="531"/>
      <c r="N147" s="531"/>
      <c r="O147" s="531"/>
      <c r="P147" s="531"/>
      <c r="Q147" s="535" t="s">
        <v>438</v>
      </c>
      <c r="R147" s="535"/>
      <c r="S147" s="535"/>
      <c r="T147" s="200">
        <f>VLOOKUP(Table2[[#This Row],[Course Title]],'TSD-Data'!$A$1:$E$83,4,FALSE)</f>
        <v>25</v>
      </c>
      <c r="U147" s="200">
        <f>VLOOKUP(Table2[[#This Row],[Course Title]],'TSD-Data'!$A$1:$F$83,6,FALSE)</f>
        <v>40</v>
      </c>
      <c r="V147" s="201">
        <f>VLOOKUP(Table2[[#This Row],[Course Title]],'TSD-Data'!$A$1:$F$83,5,FALSE)</f>
        <v>5</v>
      </c>
      <c r="W147" s="201">
        <v>43</v>
      </c>
      <c r="X147" s="200">
        <f>Table2[[#This Row],[Quotas]]-Table2[[#This Row],[Open Quotas]]</f>
        <v>14</v>
      </c>
      <c r="Y147" s="200">
        <v>0</v>
      </c>
      <c r="Z147" s="201">
        <v>11</v>
      </c>
      <c r="AA147" s="201">
        <v>1</v>
      </c>
      <c r="AB147" s="200">
        <v>4</v>
      </c>
      <c r="AC147" s="200">
        <v>0</v>
      </c>
      <c r="AD147" s="200">
        <v>0</v>
      </c>
      <c r="AE147" s="200" t="s">
        <v>429</v>
      </c>
      <c r="AF147" s="495">
        <f ca="1">Table2[[#This Row],[End Date]]+2-TODAY()</f>
        <v>-204</v>
      </c>
      <c r="AG147" s="496">
        <f>IF(ISBLANK(Table2[[#This Row],[Roster Received by]]),1,0)</f>
        <v>0</v>
      </c>
      <c r="AH147" s="496">
        <f ca="1">IF(Table2[[#This Row],[Start Date]]&gt;TODAY(),1,)</f>
        <v>0</v>
      </c>
      <c r="AI147" s="496">
        <f>IF(ISBLANK(Table2[[#This Row],[Primary Instructor]]),0,1)</f>
        <v>1</v>
      </c>
      <c r="AJ147" s="496">
        <f>IF(ISBLANK(Table2[[#This Row],[Instructor 2]]),0,1)</f>
        <v>0</v>
      </c>
      <c r="AK147" s="496">
        <f>Table2[[#This Row],[Course Length (Hours)]]/(Table2[[#This Row],[1 Instructor]]+Table2[[#This Row],[2 Instructors]])</f>
        <v>40</v>
      </c>
      <c r="AL147" s="318">
        <v>11</v>
      </c>
      <c r="AM147" s="497">
        <v>2</v>
      </c>
      <c r="AN147" s="496" t="str">
        <f>VLOOKUP(Table2[[#This Row],[Course Title]],'TSD-Data'!$A$1:$G$83,7,FALSE)</f>
        <v>N3</v>
      </c>
      <c r="AO147" s="500">
        <f>Table2[[#This Row],[Quotas]]-Table2[[#This Row],[Graduates]]-Table2[[#This Row],[Fail]]</f>
        <v>13</v>
      </c>
    </row>
    <row r="148" spans="2:41" s="202" customFormat="1" ht="15" customHeight="1" x14ac:dyDescent="0.25">
      <c r="B148" s="155"/>
      <c r="C148" s="321" t="s">
        <v>49</v>
      </c>
      <c r="D148" s="200" t="str">
        <f>VLOOKUP(Table2[[#This Row],[Course Title]],'TSD-Data'!$A$1:$E$83,2,FALSE)</f>
        <v>A-493-0012</v>
      </c>
      <c r="E148" s="200">
        <f>VLOOKUP(Table2[[#This Row],[Course Title]],'TSD-Data'!$A$1:$E$83,3,FALSE)</f>
        <v>3682</v>
      </c>
      <c r="F148" s="321" t="s">
        <v>52</v>
      </c>
      <c r="G148" s="531">
        <v>46034</v>
      </c>
      <c r="H148" s="531">
        <v>46038</v>
      </c>
      <c r="I148" s="531" t="s">
        <v>42</v>
      </c>
      <c r="J148" s="532">
        <v>0.33333333333333331</v>
      </c>
      <c r="K148" s="532"/>
      <c r="L148" s="531"/>
      <c r="M148" s="531"/>
      <c r="N148" s="531"/>
      <c r="O148" s="531"/>
      <c r="P148" s="531"/>
      <c r="Q148" s="535" t="s">
        <v>439</v>
      </c>
      <c r="R148" s="535"/>
      <c r="S148" s="535"/>
      <c r="T148" s="200">
        <f>VLOOKUP(Table2[[#This Row],[Course Title]],'TSD-Data'!$A$1:$E$83,4,FALSE)</f>
        <v>40</v>
      </c>
      <c r="U148" s="200">
        <f>VLOOKUP(Table2[[#This Row],[Course Title]],'TSD-Data'!$A$1:$F$83,6,FALSE)</f>
        <v>40</v>
      </c>
      <c r="V148" s="201">
        <f>VLOOKUP(Table2[[#This Row],[Course Title]],'TSD-Data'!$A$1:$F$83,5,FALSE)</f>
        <v>5</v>
      </c>
      <c r="W148" s="200">
        <v>42</v>
      </c>
      <c r="X148" s="200">
        <f>Table2[[#This Row],[Quotas]]-Table2[[#This Row],[Open Quotas]]</f>
        <v>25</v>
      </c>
      <c r="Y148" s="200">
        <v>0</v>
      </c>
      <c r="Z148" s="201">
        <v>24</v>
      </c>
      <c r="AA148" s="201">
        <v>1</v>
      </c>
      <c r="AB148" s="200">
        <v>1</v>
      </c>
      <c r="AC148" s="200">
        <v>1</v>
      </c>
      <c r="AD148" s="200">
        <v>0</v>
      </c>
      <c r="AE148" s="200" t="s">
        <v>428</v>
      </c>
      <c r="AF148" s="495">
        <f ca="1">Table2[[#This Row],[End Date]]+2-TODAY()</f>
        <v>-204</v>
      </c>
      <c r="AG148" s="496">
        <f>IF(ISBLANK(Table2[[#This Row],[Roster Received by]]),1,0)</f>
        <v>0</v>
      </c>
      <c r="AH148" s="496">
        <f ca="1">IF(Table2[[#This Row],[Start Date]]&gt;TODAY(),1,)</f>
        <v>0</v>
      </c>
      <c r="AI148" s="496">
        <f>IF(ISBLANK(Table2[[#This Row],[Primary Instructor]]),0,1)</f>
        <v>1</v>
      </c>
      <c r="AJ148" s="496">
        <f>IF(ISBLANK(Table2[[#This Row],[Instructor 2]]),0,1)</f>
        <v>0</v>
      </c>
      <c r="AK148" s="496">
        <f>Table2[[#This Row],[Course Length (Hours)]]/(Table2[[#This Row],[1 Instructor]]+Table2[[#This Row],[2 Instructors]])</f>
        <v>40</v>
      </c>
      <c r="AL148" s="318">
        <v>15</v>
      </c>
      <c r="AM148" s="497">
        <v>2</v>
      </c>
      <c r="AN148" s="496" t="str">
        <f>VLOOKUP(Table2[[#This Row],[Course Title]],'TSD-Data'!$A$1:$G$83,7,FALSE)</f>
        <v>N4</v>
      </c>
      <c r="AO148" s="500">
        <f>Table2[[#This Row],[Quotas]]-Table2[[#This Row],[Graduates]]-Table2[[#This Row],[Fail]]</f>
        <v>15</v>
      </c>
    </row>
    <row r="149" spans="2:41" ht="15" customHeight="1" x14ac:dyDescent="0.25">
      <c r="B149" s="530"/>
      <c r="C149" s="530" t="s">
        <v>56</v>
      </c>
      <c r="D149" s="200" t="str">
        <f>VLOOKUP(Table2[[#This Row],[Course Title]],'TSD-Data'!$A$1:$E$83,2,FALSE)</f>
        <v>A-493-0550</v>
      </c>
      <c r="E149" s="200" t="str">
        <f>VLOOKUP(Table2[[#This Row],[Course Title]],'TSD-Data'!$A$1:$E$83,3,FALSE)</f>
        <v>09K5</v>
      </c>
      <c r="F149" s="530" t="s">
        <v>54</v>
      </c>
      <c r="G149" s="531">
        <v>46034</v>
      </c>
      <c r="H149" s="531">
        <v>46037</v>
      </c>
      <c r="I149" s="531" t="s">
        <v>42</v>
      </c>
      <c r="J149" s="532"/>
      <c r="K149" s="532">
        <v>0.33333333333333331</v>
      </c>
      <c r="L149" s="532">
        <v>0.20833333333333334</v>
      </c>
      <c r="M149" s="541">
        <v>1600</v>
      </c>
      <c r="N149" s="541">
        <v>1400</v>
      </c>
      <c r="O149" s="532">
        <v>0.125</v>
      </c>
      <c r="P149" s="541">
        <v>2200</v>
      </c>
      <c r="Q149" s="535" t="s">
        <v>427</v>
      </c>
      <c r="R149" s="535"/>
      <c r="S149" s="535"/>
      <c r="T149" s="200">
        <f>VLOOKUP(Table2[[#This Row],[Course Title]],'TSD-Data'!$A$1:$E$83,4,FALSE)</f>
        <v>45</v>
      </c>
      <c r="U149" s="200">
        <f>VLOOKUP(Table2[[#This Row],[Course Title]],'TSD-Data'!$A$1:$F$83,6,FALSE)</f>
        <v>32</v>
      </c>
      <c r="V149" s="201">
        <f>VLOOKUP(Table2[[#This Row],[Course Title]],'TSD-Data'!$A$1:$F$83,5,FALSE)</f>
        <v>4</v>
      </c>
      <c r="W149" s="201">
        <v>455</v>
      </c>
      <c r="X149" s="200">
        <f>Table2[[#This Row],[Quotas]]-Table2[[#This Row],[Open Quotas]]</f>
        <v>42</v>
      </c>
      <c r="Y149" s="200">
        <v>2</v>
      </c>
      <c r="Z149" s="201">
        <v>36</v>
      </c>
      <c r="AA149" s="201">
        <v>0</v>
      </c>
      <c r="AB149" s="200">
        <v>7</v>
      </c>
      <c r="AC149" s="200">
        <v>0</v>
      </c>
      <c r="AD149" s="200">
        <v>0</v>
      </c>
      <c r="AE149" s="200" t="s">
        <v>431</v>
      </c>
      <c r="AF149" s="495">
        <f ca="1">Table2[[#This Row],[End Date]]+2-TODAY()</f>
        <v>-205</v>
      </c>
      <c r="AG149" s="496">
        <f>IF(ISBLANK(Table2[[#This Row],[Roster Received by]]),1,0)</f>
        <v>0</v>
      </c>
      <c r="AH149" s="496">
        <f ca="1">IF(Table2[[#This Row],[Start Date]]&gt;TODAY(),1,)</f>
        <v>0</v>
      </c>
      <c r="AI149" s="496">
        <f>IF(ISBLANK(Table2[[#This Row],[Primary Instructor]]),0,1)</f>
        <v>1</v>
      </c>
      <c r="AJ149" s="496">
        <f>IF(ISBLANK(Table2[[#This Row],[Instructor 2]]),0,1)</f>
        <v>0</v>
      </c>
      <c r="AK149" s="496">
        <f>Table2[[#This Row],[Course Length (Hours)]]/(Table2[[#This Row],[1 Instructor]]+Table2[[#This Row],[2 Instructors]])</f>
        <v>32</v>
      </c>
      <c r="AL149" s="318">
        <v>3</v>
      </c>
      <c r="AM149" s="497">
        <v>2</v>
      </c>
      <c r="AN149" s="496" t="str">
        <f>VLOOKUP(Table2[[#This Row],[Course Title]],'TSD-Data'!$A$1:$G$83,7,FALSE)</f>
        <v>N5</v>
      </c>
      <c r="AO149" s="500">
        <f>Table2[[#This Row],[Quotas]]-Table2[[#This Row],[Graduates]]-Table2[[#This Row],[Fail]]</f>
        <v>9</v>
      </c>
    </row>
    <row r="150" spans="2:41" s="202" customFormat="1" ht="15" customHeight="1" x14ac:dyDescent="0.25">
      <c r="B150" s="530"/>
      <c r="C150" s="530" t="s">
        <v>70</v>
      </c>
      <c r="D150" s="200" t="str">
        <f>VLOOKUP(Table2[[#This Row],[Course Title]],'TSD-Data'!$A$1:$E$83,2,FALSE)</f>
        <v>A-493-0077</v>
      </c>
      <c r="E150" s="200" t="str">
        <f>VLOOKUP(Table2[[#This Row],[Course Title]],'TSD-Data'!$A$1:$E$83,3,FALSE)</f>
        <v>0381</v>
      </c>
      <c r="F150" s="530" t="s">
        <v>69</v>
      </c>
      <c r="G150" s="531">
        <v>46034</v>
      </c>
      <c r="H150" s="531">
        <v>46036</v>
      </c>
      <c r="I150" s="531" t="s">
        <v>42</v>
      </c>
      <c r="J150" s="532">
        <v>0.33333333333333331</v>
      </c>
      <c r="K150" s="532"/>
      <c r="L150" s="531"/>
      <c r="M150" s="531"/>
      <c r="N150" s="531"/>
      <c r="O150" s="531"/>
      <c r="P150" s="531"/>
      <c r="Q150" s="535" t="s">
        <v>48</v>
      </c>
      <c r="R150" s="535"/>
      <c r="S150" s="535"/>
      <c r="T150" s="200">
        <f>VLOOKUP(Table2[[#This Row],[Course Title]],'TSD-Data'!$A$1:$E$83,4,FALSE)</f>
        <v>25</v>
      </c>
      <c r="U150" s="200">
        <f>VLOOKUP(Table2[[#This Row],[Course Title]],'TSD-Data'!$A$1:$F$83,6,FALSE)</f>
        <v>24</v>
      </c>
      <c r="V150" s="201">
        <f>VLOOKUP(Table2[[#This Row],[Course Title]],'TSD-Data'!$A$1:$F$83,5,FALSE)</f>
        <v>3</v>
      </c>
      <c r="W150" s="201">
        <v>59</v>
      </c>
      <c r="X150" s="200">
        <f>Table2[[#This Row],[Quotas]]-Table2[[#This Row],[Open Quotas]]</f>
        <v>25</v>
      </c>
      <c r="Y150" s="200">
        <v>0</v>
      </c>
      <c r="Z150" s="201">
        <v>25</v>
      </c>
      <c r="AA150" s="201">
        <v>0</v>
      </c>
      <c r="AB150" s="200">
        <v>6</v>
      </c>
      <c r="AC150" s="200">
        <v>6</v>
      </c>
      <c r="AD150" s="200">
        <v>0</v>
      </c>
      <c r="AE150" s="200" t="s">
        <v>428</v>
      </c>
      <c r="AF150" s="495">
        <f ca="1">Table2[[#This Row],[End Date]]+2-TODAY()</f>
        <v>-206</v>
      </c>
      <c r="AG150" s="496">
        <f>IF(ISBLANK(Table2[[#This Row],[Roster Received by]]),1,0)</f>
        <v>0</v>
      </c>
      <c r="AH150" s="496">
        <f ca="1">IF(Table2[[#This Row],[Start Date]]&gt;TODAY(),1,)</f>
        <v>0</v>
      </c>
      <c r="AI150" s="496">
        <f>IF(ISBLANK(Table2[[#This Row],[Primary Instructor]]),0,1)</f>
        <v>1</v>
      </c>
      <c r="AJ150" s="496">
        <f>IF(ISBLANK(Table2[[#This Row],[Instructor 2]]),0,1)</f>
        <v>0</v>
      </c>
      <c r="AK150" s="496">
        <f>Table2[[#This Row],[Course Length (Hours)]]/(Table2[[#This Row],[1 Instructor]]+Table2[[#This Row],[2 Instructors]])</f>
        <v>24</v>
      </c>
      <c r="AL150" s="318">
        <v>0</v>
      </c>
      <c r="AM150" s="497">
        <v>2</v>
      </c>
      <c r="AN150" s="496" t="str">
        <f>VLOOKUP(Table2[[#This Row],[Course Title]],'TSD-Data'!$A$1:$G$83,7,FALSE)</f>
        <v>N4</v>
      </c>
      <c r="AO150" s="500">
        <f>Table2[[#This Row],[Quotas]]-Table2[[#This Row],[Graduates]]-Table2[[#This Row],[Fail]]</f>
        <v>0</v>
      </c>
    </row>
    <row r="151" spans="2:41" s="202" customFormat="1" ht="15" customHeight="1" x14ac:dyDescent="0.25">
      <c r="B151" s="530" t="s">
        <v>448</v>
      </c>
      <c r="C151" s="530" t="s">
        <v>255</v>
      </c>
      <c r="D151" s="200" t="str">
        <f>VLOOKUP(Table2[[#This Row],[Course Title]],'TSD-Data'!$A$1:$E$83,2,FALSE)</f>
        <v>A-493-0085</v>
      </c>
      <c r="E151" s="200">
        <f>VLOOKUP(Table2[[#This Row],[Course Title]],'TSD-Data'!$A$1:$E$83,3,FALSE)</f>
        <v>3555</v>
      </c>
      <c r="F151" s="530" t="s">
        <v>54</v>
      </c>
      <c r="G151" s="531">
        <v>46034</v>
      </c>
      <c r="H151" s="531">
        <v>46037</v>
      </c>
      <c r="I151" s="531" t="s">
        <v>42</v>
      </c>
      <c r="J151" s="532"/>
      <c r="K151" s="536">
        <v>0.5</v>
      </c>
      <c r="L151" s="536">
        <v>0.375</v>
      </c>
      <c r="M151" s="536">
        <v>0.83333333333333337</v>
      </c>
      <c r="N151" s="536">
        <v>0.75</v>
      </c>
      <c r="O151" s="536">
        <v>0.29166666666666669</v>
      </c>
      <c r="P151" s="536">
        <v>8.3333333333333329E-2</v>
      </c>
      <c r="Q151" s="535" t="s">
        <v>67</v>
      </c>
      <c r="R151" s="535"/>
      <c r="S151" s="535"/>
      <c r="T151" s="200">
        <f>VLOOKUP(Table2[[#This Row],[Course Title]],'TSD-Data'!$A$1:$E$83,4,FALSE)</f>
        <v>45</v>
      </c>
      <c r="U151" s="200">
        <f>VLOOKUP(Table2[[#This Row],[Course Title]],'TSD-Data'!$A$1:$F$83,6,FALSE)</f>
        <v>32</v>
      </c>
      <c r="V151" s="201">
        <f>VLOOKUP(Table2[[#This Row],[Course Title]],'TSD-Data'!$A$1:$F$83,5,FALSE)</f>
        <v>4</v>
      </c>
      <c r="W151" s="201">
        <v>688</v>
      </c>
      <c r="X151" s="200">
        <f>Table2[[#This Row],[Quotas]]-Table2[[#This Row],[Open Quotas]]</f>
        <v>18</v>
      </c>
      <c r="Y151" s="200">
        <v>0</v>
      </c>
      <c r="Z151" s="201">
        <v>17</v>
      </c>
      <c r="AA151" s="201">
        <v>0</v>
      </c>
      <c r="AB151" s="200">
        <v>2</v>
      </c>
      <c r="AC151" s="200">
        <v>1</v>
      </c>
      <c r="AD151" s="200">
        <v>0</v>
      </c>
      <c r="AE151" s="200" t="s">
        <v>429</v>
      </c>
      <c r="AF151" s="495">
        <f ca="1">Table2[[#This Row],[End Date]]+2-TODAY()</f>
        <v>-205</v>
      </c>
      <c r="AG151" s="496">
        <f>IF(ISBLANK(Table2[[#This Row],[Roster Received by]]),1,0)</f>
        <v>0</v>
      </c>
      <c r="AH151" s="496">
        <f ca="1">IF(Table2[[#This Row],[Start Date]]&gt;TODAY(),1,)</f>
        <v>0</v>
      </c>
      <c r="AI151" s="496">
        <f>IF(ISBLANK(Table2[[#This Row],[Primary Instructor]]),0,1)</f>
        <v>1</v>
      </c>
      <c r="AJ151" s="496">
        <f>IF(ISBLANK(Table2[[#This Row],[Instructor 2]]),0,1)</f>
        <v>0</v>
      </c>
      <c r="AK151" s="496">
        <f>Table2[[#This Row],[Course Length (Hours)]]/(Table2[[#This Row],[1 Instructor]]+Table2[[#This Row],[2 Instructors]])</f>
        <v>32</v>
      </c>
      <c r="AL151" s="318">
        <v>27</v>
      </c>
      <c r="AM151" s="497">
        <v>2</v>
      </c>
      <c r="AN151" s="496" t="str">
        <f>VLOOKUP(Table2[[#This Row],[Course Title]],'TSD-Data'!$A$1:$G$83,7,FALSE)</f>
        <v>N3</v>
      </c>
      <c r="AO151" s="500">
        <f>Table2[[#This Row],[Quotas]]-Table2[[#This Row],[Graduates]]-Table2[[#This Row],[Fail]]</f>
        <v>28</v>
      </c>
    </row>
    <row r="152" spans="2:41" s="202" customFormat="1" ht="15" customHeight="1" x14ac:dyDescent="0.25">
      <c r="B152" s="530"/>
      <c r="C152" s="530" t="s">
        <v>229</v>
      </c>
      <c r="D152" s="200" t="str">
        <f>VLOOKUP(Table2[[#This Row],[Course Title]],'TSD-Data'!$A$1:$E$83,2,FALSE)</f>
        <v>A-570-0100</v>
      </c>
      <c r="E152" s="200" t="str">
        <f>VLOOKUP(Table2[[#This Row],[Course Title]],'TSD-Data'!$A$1:$E$83,3,FALSE)</f>
        <v>18B7</v>
      </c>
      <c r="F152" s="530" t="s">
        <v>54</v>
      </c>
      <c r="G152" s="531">
        <v>46034</v>
      </c>
      <c r="H152" s="531">
        <v>46035</v>
      </c>
      <c r="I152" s="531" t="s">
        <v>42</v>
      </c>
      <c r="J152" s="532"/>
      <c r="K152" s="532">
        <v>0.33333333333333331</v>
      </c>
      <c r="L152" s="532">
        <v>0.20833333333333334</v>
      </c>
      <c r="M152" s="541">
        <v>1600</v>
      </c>
      <c r="N152" s="541">
        <v>1400</v>
      </c>
      <c r="O152" s="532">
        <v>0.125</v>
      </c>
      <c r="P152" s="541">
        <v>2200</v>
      </c>
      <c r="Q152" s="535" t="s">
        <v>432</v>
      </c>
      <c r="R152" s="535"/>
      <c r="S152" s="535"/>
      <c r="T152" s="200">
        <f>VLOOKUP(Table2[[#This Row],[Course Title]],'TSD-Data'!$A$1:$E$83,4,FALSE)</f>
        <v>45</v>
      </c>
      <c r="U152" s="200">
        <f>VLOOKUP(Table2[[#This Row],[Course Title]],'TSD-Data'!$A$1:$F$83,6,FALSE)</f>
        <v>16</v>
      </c>
      <c r="V152" s="201">
        <f>VLOOKUP(Table2[[#This Row],[Course Title]],'TSD-Data'!$A$1:$F$83,5,FALSE)</f>
        <v>2</v>
      </c>
      <c r="W152" s="201">
        <v>326</v>
      </c>
      <c r="X152" s="200">
        <f>Table2[[#This Row],[Quotas]]-Table2[[#This Row],[Open Quotas]]</f>
        <v>19</v>
      </c>
      <c r="Y152" s="200">
        <v>0</v>
      </c>
      <c r="Z152" s="201">
        <v>17</v>
      </c>
      <c r="AA152" s="201">
        <v>0</v>
      </c>
      <c r="AB152" s="200">
        <v>2</v>
      </c>
      <c r="AC152" s="200">
        <v>0</v>
      </c>
      <c r="AD152" s="200">
        <v>0</v>
      </c>
      <c r="AE152" s="200" t="s">
        <v>429</v>
      </c>
      <c r="AF152" s="495">
        <f ca="1">Table2[[#This Row],[End Date]]+2-TODAY()</f>
        <v>-207</v>
      </c>
      <c r="AG152" s="496">
        <f>IF(ISBLANK(Table2[[#This Row],[Roster Received by]]),1,0)</f>
        <v>0</v>
      </c>
      <c r="AH152" s="496">
        <f ca="1">IF(Table2[[#This Row],[Start Date]]&gt;TODAY(),1,)</f>
        <v>0</v>
      </c>
      <c r="AI152" s="496">
        <f>IF(ISBLANK(Table2[[#This Row],[Primary Instructor]]),0,1)</f>
        <v>1</v>
      </c>
      <c r="AJ152" s="496">
        <f>IF(ISBLANK(Table2[[#This Row],[Instructor 2]]),0,1)</f>
        <v>0</v>
      </c>
      <c r="AK152" s="496">
        <f>Table2[[#This Row],[Course Length (Hours)]]/(Table2[[#This Row],[1 Instructor]]+Table2[[#This Row],[2 Instructors]])</f>
        <v>16</v>
      </c>
      <c r="AL152" s="318">
        <v>26</v>
      </c>
      <c r="AM152" s="497">
        <v>2</v>
      </c>
      <c r="AN152" s="496" t="str">
        <f>VLOOKUP(Table2[[#This Row],[Course Title]],'TSD-Data'!$A$1:$G$83,7,FALSE)</f>
        <v>N8</v>
      </c>
      <c r="AO152" s="500">
        <f>Table2[[#This Row],[Quotas]]-Table2[[#This Row],[Graduates]]-Table2[[#This Row],[Fail]]</f>
        <v>28</v>
      </c>
    </row>
    <row r="153" spans="2:41" ht="15" customHeight="1" x14ac:dyDescent="0.25">
      <c r="B153" s="530"/>
      <c r="C153" s="530" t="s">
        <v>77</v>
      </c>
      <c r="D153" s="200" t="str">
        <f>VLOOKUP(Table2[[#This Row],[Course Title]],'TSD-Data'!$A$1:$E$83,2,FALSE)</f>
        <v>A-493-0072</v>
      </c>
      <c r="E153" s="200" t="str">
        <f>VLOOKUP(Table2[[#This Row],[Course Title]],'TSD-Data'!$A$1:$E$83,3,FALSE)</f>
        <v>713U</v>
      </c>
      <c r="F153" s="530" t="s">
        <v>258</v>
      </c>
      <c r="G153" s="531">
        <v>46034</v>
      </c>
      <c r="H153" s="531">
        <v>46038</v>
      </c>
      <c r="I153" s="531" t="s">
        <v>42</v>
      </c>
      <c r="J153" s="532">
        <v>0.33333333333333331</v>
      </c>
      <c r="K153" s="532"/>
      <c r="L153" s="531"/>
      <c r="M153" s="531"/>
      <c r="N153" s="531"/>
      <c r="O153" s="531"/>
      <c r="P153" s="531"/>
      <c r="Q153" s="535" t="s">
        <v>62</v>
      </c>
      <c r="R153" s="535"/>
      <c r="S153" s="535" t="s">
        <v>55</v>
      </c>
      <c r="T153" s="200">
        <f>VLOOKUP(Table2[[#This Row],[Course Title]],'TSD-Data'!$A$1:$E$83,4,FALSE)</f>
        <v>30</v>
      </c>
      <c r="U153" s="200">
        <f>VLOOKUP(Table2[[#This Row],[Course Title]],'TSD-Data'!$A$1:$F$83,6,FALSE)</f>
        <v>40</v>
      </c>
      <c r="V153" s="201">
        <f>VLOOKUP(Table2[[#This Row],[Course Title]],'TSD-Data'!$A$1:$F$83,5,FALSE)</f>
        <v>5</v>
      </c>
      <c r="W153" s="201">
        <v>56</v>
      </c>
      <c r="X153" s="200">
        <f>Table2[[#This Row],[Quotas]]-Table2[[#This Row],[Open Quotas]]</f>
        <v>27</v>
      </c>
      <c r="Y153" s="200">
        <v>1</v>
      </c>
      <c r="Z153" s="201">
        <v>27</v>
      </c>
      <c r="AA153" s="201">
        <v>0</v>
      </c>
      <c r="AB153" s="200">
        <v>2</v>
      </c>
      <c r="AC153" s="200">
        <v>1</v>
      </c>
      <c r="AD153" s="200">
        <v>0</v>
      </c>
      <c r="AE153" s="200" t="s">
        <v>429</v>
      </c>
      <c r="AF153" s="495">
        <f ca="1">Table2[[#This Row],[End Date]]+2-TODAY()</f>
        <v>-204</v>
      </c>
      <c r="AG153" s="496">
        <f>IF(ISBLANK(Table2[[#This Row],[Roster Received by]]),1,0)</f>
        <v>0</v>
      </c>
      <c r="AH153" s="496">
        <f ca="1">IF(Table2[[#This Row],[Start Date]]&gt;TODAY(),1,)</f>
        <v>0</v>
      </c>
      <c r="AI153" s="496">
        <f>IF(ISBLANK(Table2[[#This Row],[Primary Instructor]]),0,1)</f>
        <v>1</v>
      </c>
      <c r="AJ153" s="496">
        <f>IF(ISBLANK(Table2[[#This Row],[Instructor 2]]),0,1)</f>
        <v>0</v>
      </c>
      <c r="AK153" s="496">
        <f>Table2[[#This Row],[Course Length (Hours)]]/(Table2[[#This Row],[1 Instructor]]+Table2[[#This Row],[2 Instructors]])</f>
        <v>40</v>
      </c>
      <c r="AL153" s="318">
        <v>3</v>
      </c>
      <c r="AM153" s="497">
        <v>2</v>
      </c>
      <c r="AN153" s="496" t="str">
        <f>VLOOKUP(Table2[[#This Row],[Course Title]],'TSD-Data'!$A$1:$G$83,7,FALSE)</f>
        <v>N3</v>
      </c>
      <c r="AO153" s="500">
        <f>Table2[[#This Row],[Quotas]]-Table2[[#This Row],[Graduates]]-Table2[[#This Row],[Fail]]</f>
        <v>3</v>
      </c>
    </row>
    <row r="154" spans="2:41" ht="15" customHeight="1" x14ac:dyDescent="0.25">
      <c r="B154" s="530"/>
      <c r="C154" s="530" t="s">
        <v>401</v>
      </c>
      <c r="D154" s="200" t="str">
        <f>VLOOKUP(Table2[[#This Row],[Course Title]],'TSD-Data'!$A$1:$E$83,2,FALSE)</f>
        <v>A-493-3002</v>
      </c>
      <c r="E154" s="200" t="str">
        <f>VLOOKUP(Table2[[#This Row],[Course Title]],'TSD-Data'!$A$1:$E$83,3,FALSE)</f>
        <v>31V4</v>
      </c>
      <c r="F154" s="530" t="s">
        <v>54</v>
      </c>
      <c r="G154" s="531">
        <v>46034</v>
      </c>
      <c r="H154" s="531">
        <v>46034</v>
      </c>
      <c r="I154" s="531" t="s">
        <v>42</v>
      </c>
      <c r="J154" s="532"/>
      <c r="K154" s="532">
        <v>0.33333333333333331</v>
      </c>
      <c r="L154" s="532">
        <v>0.20833333333333334</v>
      </c>
      <c r="M154" s="532">
        <v>0.66666666666666663</v>
      </c>
      <c r="N154" s="532">
        <v>0.58333333333333337</v>
      </c>
      <c r="O154" s="532">
        <v>0.125</v>
      </c>
      <c r="P154" s="532">
        <v>0.91666666666666663</v>
      </c>
      <c r="Q154" s="535" t="s">
        <v>441</v>
      </c>
      <c r="R154" s="535"/>
      <c r="S154" s="535"/>
      <c r="T154" s="200">
        <f>VLOOKUP(Table2[[#This Row],[Course Title]],'TSD-Data'!$A$1:$E$83,4,FALSE)</f>
        <v>1000</v>
      </c>
      <c r="U154" s="200">
        <f>VLOOKUP(Table2[[#This Row],[Course Title]],'TSD-Data'!$A$1:$F$83,6,FALSE)</f>
        <v>8</v>
      </c>
      <c r="V154" s="201">
        <f>VLOOKUP(Table2[[#This Row],[Course Title]],'TSD-Data'!$A$1:$F$83,5,FALSE)</f>
        <v>1</v>
      </c>
      <c r="W154" s="201"/>
      <c r="X154" s="200">
        <f>Table2[[#This Row],[Quotas]]-Table2[[#This Row],[Open Quotas]]</f>
        <v>51</v>
      </c>
      <c r="Y154" s="200">
        <v>0</v>
      </c>
      <c r="Z154" s="201">
        <v>16</v>
      </c>
      <c r="AA154" s="201">
        <v>0</v>
      </c>
      <c r="AB154" s="200">
        <v>0</v>
      </c>
      <c r="AC154" s="200">
        <v>0</v>
      </c>
      <c r="AD154" s="200">
        <v>0</v>
      </c>
      <c r="AE154" s="200" t="s">
        <v>440</v>
      </c>
      <c r="AF154" s="495">
        <f ca="1">Table2[[#This Row],[End Date]]+2-TODAY()</f>
        <v>-208</v>
      </c>
      <c r="AG154" s="496">
        <f>IF(ISBLANK(Table2[[#This Row],[Roster Received by]]),1,0)</f>
        <v>0</v>
      </c>
      <c r="AH154" s="496">
        <f ca="1">IF(Table2[[#This Row],[Start Date]]&gt;TODAY(),1,)</f>
        <v>0</v>
      </c>
      <c r="AI154" s="496">
        <f>IF(ISBLANK(Table2[[#This Row],[Primary Instructor]]),0,1)</f>
        <v>1</v>
      </c>
      <c r="AJ154" s="496">
        <f>IF(ISBLANK(Table2[[#This Row],[Instructor 2]]),0,1)</f>
        <v>0</v>
      </c>
      <c r="AK154" s="496">
        <f>AJ417</f>
        <v>1</v>
      </c>
      <c r="AL154" s="318">
        <v>949</v>
      </c>
      <c r="AM154" s="496">
        <v>2</v>
      </c>
      <c r="AN154" s="496" t="str">
        <f>VLOOKUP(Table2[[#This Row],[Course Title]],'TSD-Data'!$A$1:$G$83,7,FALSE)</f>
        <v>N8-RMI</v>
      </c>
      <c r="AO154" s="500">
        <f>Table2[[#This Row],[Quotas]]-Table2[[#This Row],[Graduates]]-Table2[[#This Row],[Fail]]</f>
        <v>984</v>
      </c>
    </row>
    <row r="155" spans="2:41" s="202" customFormat="1" ht="15" customHeight="1" x14ac:dyDescent="0.25">
      <c r="B155" s="530"/>
      <c r="C155" s="530" t="s">
        <v>99</v>
      </c>
      <c r="D155" s="200" t="str">
        <f>VLOOKUP(Table2[[#This Row],[Course Title]],'TSD-Data'!$A$1:$E$83,2,FALSE)</f>
        <v>A-493-2501</v>
      </c>
      <c r="E155" s="200" t="str">
        <f>VLOOKUP(Table2[[#This Row],[Course Title]],'TSD-Data'!$A$1:$E$83,3,FALSE)</f>
        <v>05ZE</v>
      </c>
      <c r="F155" s="530" t="s">
        <v>81</v>
      </c>
      <c r="G155" s="531">
        <v>46034</v>
      </c>
      <c r="H155" s="531">
        <v>46034</v>
      </c>
      <c r="I155" s="531" t="s">
        <v>42</v>
      </c>
      <c r="J155" s="532">
        <v>0.33333333333333331</v>
      </c>
      <c r="K155" s="532"/>
      <c r="L155" s="531"/>
      <c r="M155" s="531"/>
      <c r="N155" s="531"/>
      <c r="O155" s="531"/>
      <c r="P155" s="531"/>
      <c r="Q155" s="535" t="s">
        <v>48</v>
      </c>
      <c r="R155" s="535"/>
      <c r="S155" s="535"/>
      <c r="T155" s="200">
        <f>VLOOKUP(Table2[[#This Row],[Course Title]],'TSD-Data'!$A$1:$E$83,4,FALSE)</f>
        <v>30</v>
      </c>
      <c r="U155" s="200">
        <f>VLOOKUP(Table2[[#This Row],[Course Title]],'TSD-Data'!$A$1:$F$83,6,FALSE)</f>
        <v>8</v>
      </c>
      <c r="V155" s="201">
        <f>VLOOKUP(Table2[[#This Row],[Course Title]],'TSD-Data'!$A$1:$F$83,5,FALSE)</f>
        <v>1</v>
      </c>
      <c r="W155" s="201">
        <v>47</v>
      </c>
      <c r="X155" s="200">
        <f>Table2[[#This Row],[Quotas]]-Table2[[#This Row],[Open Quotas]]</f>
        <v>12</v>
      </c>
      <c r="Y155" s="200">
        <v>0</v>
      </c>
      <c r="Z155" s="201">
        <v>9</v>
      </c>
      <c r="AA155" s="201">
        <v>0</v>
      </c>
      <c r="AB155" s="200">
        <v>1</v>
      </c>
      <c r="AC155" s="200">
        <v>0</v>
      </c>
      <c r="AD155" s="200">
        <v>0</v>
      </c>
      <c r="AE155" s="200" t="s">
        <v>442</v>
      </c>
      <c r="AF155" s="495">
        <f ca="1">Table2[[#This Row],[End Date]]+2-TODAY()</f>
        <v>-208</v>
      </c>
      <c r="AG155" s="496">
        <f>IF(ISBLANK(Table2[[#This Row],[Roster Received by]]),1,0)</f>
        <v>0</v>
      </c>
      <c r="AH155" s="496">
        <f ca="1">IF(Table2[[#This Row],[Start Date]]&gt;TODAY(),1,)</f>
        <v>0</v>
      </c>
      <c r="AI155" s="496">
        <f>IF(ISBLANK(Table2[[#This Row],[Primary Instructor]]),0,1)</f>
        <v>1</v>
      </c>
      <c r="AJ155" s="496">
        <f>IF(ISBLANK(Table2[[#This Row],[Instructor 2]]),0,1)</f>
        <v>0</v>
      </c>
      <c r="AK155" s="496">
        <f>Table2[[#This Row],[Course Length (Hours)]]/(Table2[[#This Row],[1 Instructor]]+Table2[[#This Row],[2 Instructors]])</f>
        <v>8</v>
      </c>
      <c r="AL155" s="318">
        <v>18</v>
      </c>
      <c r="AM155" s="497">
        <v>2</v>
      </c>
      <c r="AN155" s="496" t="str">
        <f>VLOOKUP(Table2[[#This Row],[Course Title]],'TSD-Data'!$A$1:$G$83,7,FALSE)</f>
        <v>N4</v>
      </c>
      <c r="AO155" s="500">
        <f>Table2[[#This Row],[Quotas]]-Table2[[#This Row],[Graduates]]-Table2[[#This Row],[Fail]]</f>
        <v>21</v>
      </c>
    </row>
    <row r="156" spans="2:41" s="202" customFormat="1" ht="15" customHeight="1" x14ac:dyDescent="0.25">
      <c r="B156" s="530"/>
      <c r="C156" s="530" t="s">
        <v>407</v>
      </c>
      <c r="D156" s="200" t="str">
        <f>VLOOKUP(Table2[[#This Row],[Course Title]],'TSD-Data'!$A$1:$E$83,2,FALSE)</f>
        <v>A-493-3003</v>
      </c>
      <c r="E156" s="200" t="str">
        <f>VLOOKUP(Table2[[#This Row],[Course Title]],'TSD-Data'!$A$1:$E$83,3,FALSE)</f>
        <v>31V5</v>
      </c>
      <c r="F156" s="530" t="s">
        <v>54</v>
      </c>
      <c r="G156" s="531">
        <v>46034</v>
      </c>
      <c r="H156" s="531">
        <v>46034</v>
      </c>
      <c r="I156" s="531" t="s">
        <v>42</v>
      </c>
      <c r="J156" s="532"/>
      <c r="K156" s="532">
        <v>0.625</v>
      </c>
      <c r="L156" s="532">
        <v>0.5</v>
      </c>
      <c r="M156" s="532">
        <v>0.95833333333333337</v>
      </c>
      <c r="N156" s="532">
        <v>0.875</v>
      </c>
      <c r="O156" s="532">
        <v>0.41666666666666669</v>
      </c>
      <c r="P156" s="532">
        <v>0.20833333333333334</v>
      </c>
      <c r="Q156" s="535" t="s">
        <v>441</v>
      </c>
      <c r="R156" s="535"/>
      <c r="S156" s="535"/>
      <c r="T156" s="200">
        <f>VLOOKUP(Table2[[#This Row],[Course Title]],'TSD-Data'!$A$1:$E$83,4,FALSE)</f>
        <v>1000</v>
      </c>
      <c r="U156" s="200">
        <f>VLOOKUP(Table2[[#This Row],[Course Title]],'TSD-Data'!$A$1:$F$83,6,FALSE)</f>
        <v>2</v>
      </c>
      <c r="V156" s="201">
        <f>VLOOKUP(Table2[[#This Row],[Course Title]],'TSD-Data'!$A$1:$F$83,5,FALSE)</f>
        <v>0.25</v>
      </c>
      <c r="W156" s="201"/>
      <c r="X156" s="200">
        <f>Table2[[#This Row],[Quotas]]-Table2[[#This Row],[Open Quotas]]</f>
        <v>51</v>
      </c>
      <c r="Y156" s="200">
        <v>0</v>
      </c>
      <c r="Z156" s="201">
        <v>14</v>
      </c>
      <c r="AA156" s="201">
        <v>0</v>
      </c>
      <c r="AB156" s="200">
        <v>0</v>
      </c>
      <c r="AC156" s="200">
        <v>0</v>
      </c>
      <c r="AD156" s="200">
        <v>0</v>
      </c>
      <c r="AE156" s="200" t="s">
        <v>440</v>
      </c>
      <c r="AF156" s="495">
        <f ca="1">Table2[[#This Row],[End Date]]+2-TODAY()</f>
        <v>-208</v>
      </c>
      <c r="AG156" s="496">
        <f>IF(ISBLANK(Table2[[#This Row],[Roster Received by]]),1,0)</f>
        <v>0</v>
      </c>
      <c r="AH156" s="496">
        <f ca="1">IF(Table2[[#This Row],[Start Date]]&gt;TODAY(),1,)</f>
        <v>0</v>
      </c>
      <c r="AI156" s="496">
        <f>IF(ISBLANK(Table2[[#This Row],[Primary Instructor]]),0,1)</f>
        <v>1</v>
      </c>
      <c r="AJ156" s="496">
        <f>IF(ISBLANK(Table2[[#This Row],[Instructor 2]]),0,1)</f>
        <v>0</v>
      </c>
      <c r="AK156" s="496" t="e">
        <f>#REF!</f>
        <v>#REF!</v>
      </c>
      <c r="AL156" s="318">
        <v>949</v>
      </c>
      <c r="AM156" s="496">
        <v>2</v>
      </c>
      <c r="AN156" s="496" t="str">
        <f>VLOOKUP(Table2[[#This Row],[Course Title]],'TSD-Data'!$A$1:$G$83,7,FALSE)</f>
        <v>N8-RMI</v>
      </c>
      <c r="AO156" s="500">
        <f>Table2[[#This Row],[Quotas]]-Table2[[#This Row],[Graduates]]-Table2[[#This Row],[Fail]]</f>
        <v>986</v>
      </c>
    </row>
    <row r="157" spans="2:41" ht="15" customHeight="1" x14ac:dyDescent="0.25">
      <c r="B157" s="530"/>
      <c r="C157" s="530" t="s">
        <v>410</v>
      </c>
      <c r="D157" s="200" t="str">
        <f>VLOOKUP(Table2[[#This Row],[Course Title]],'TSD-Data'!$A$1:$E$83,2,FALSE)</f>
        <v>A-493-3006</v>
      </c>
      <c r="E157" s="200" t="str">
        <f>VLOOKUP(Table2[[#This Row],[Course Title]],'TSD-Data'!$A$1:$E$83,3,FALSE)</f>
        <v>31V8</v>
      </c>
      <c r="F157" s="530" t="s">
        <v>54</v>
      </c>
      <c r="G157" s="531">
        <v>46034</v>
      </c>
      <c r="H157" s="531">
        <v>46034</v>
      </c>
      <c r="I157" s="531" t="s">
        <v>42</v>
      </c>
      <c r="J157" s="532"/>
      <c r="K157" s="532">
        <v>0.54166666666666663</v>
      </c>
      <c r="L157" s="532">
        <v>0.41666666666666669</v>
      </c>
      <c r="M157" s="532">
        <v>0.875</v>
      </c>
      <c r="N157" s="532">
        <v>0.79166666666666663</v>
      </c>
      <c r="O157" s="532">
        <v>0.33333333333333331</v>
      </c>
      <c r="P157" s="532">
        <v>0.125</v>
      </c>
      <c r="Q157" s="535" t="s">
        <v>441</v>
      </c>
      <c r="R157" s="535"/>
      <c r="S157" s="535"/>
      <c r="T157" s="200">
        <f>VLOOKUP(Table2[[#This Row],[Course Title]],'TSD-Data'!$A$1:$E$83,4,FALSE)</f>
        <v>1000</v>
      </c>
      <c r="U157" s="200">
        <f>VLOOKUP(Table2[[#This Row],[Course Title]],'TSD-Data'!$A$1:$F$83,6,FALSE)</f>
        <v>2</v>
      </c>
      <c r="V157" s="201">
        <f>VLOOKUP(Table2[[#This Row],[Course Title]],'TSD-Data'!$A$1:$F$83,5,FALSE)</f>
        <v>0.1</v>
      </c>
      <c r="W157" s="201"/>
      <c r="X157" s="200">
        <f>Table2[[#This Row],[Quotas]]-Table2[[#This Row],[Open Quotas]]</f>
        <v>51</v>
      </c>
      <c r="Y157" s="200">
        <v>0</v>
      </c>
      <c r="Z157" s="201">
        <v>16</v>
      </c>
      <c r="AA157" s="201">
        <v>0</v>
      </c>
      <c r="AB157" s="200">
        <v>0</v>
      </c>
      <c r="AC157" s="200">
        <v>0</v>
      </c>
      <c r="AD157" s="200">
        <v>0</v>
      </c>
      <c r="AE157" s="200" t="s">
        <v>440</v>
      </c>
      <c r="AF157" s="495">
        <f ca="1">Table2[[#This Row],[End Date]]+2-TODAY()</f>
        <v>-208</v>
      </c>
      <c r="AG157" s="496">
        <f>IF(ISBLANK(Table2[[#This Row],[Roster Received by]]),1,0)</f>
        <v>0</v>
      </c>
      <c r="AH157" s="496">
        <f ca="1">IF(Table2[[#This Row],[Start Date]]&gt;TODAY(),1,)</f>
        <v>0</v>
      </c>
      <c r="AI157" s="496">
        <f>IF(ISBLANK(Table2[[#This Row],[Primary Instructor]]),0,1)</f>
        <v>1</v>
      </c>
      <c r="AJ157" s="496">
        <f>IF(ISBLANK(Table2[[#This Row],[Instructor 2]]),0,1)</f>
        <v>0</v>
      </c>
      <c r="AK157" s="496" t="e">
        <f>#REF!</f>
        <v>#REF!</v>
      </c>
      <c r="AL157" s="318">
        <v>949</v>
      </c>
      <c r="AM157" s="496">
        <v>2</v>
      </c>
      <c r="AN157" s="496" t="str">
        <f>VLOOKUP(Table2[[#This Row],[Course Title]],'TSD-Data'!$A$1:$G$83,7,FALSE)</f>
        <v>N8-RMI</v>
      </c>
      <c r="AO157" s="500">
        <f>Table2[[#This Row],[Quotas]]-Table2[[#This Row],[Graduates]]-Table2[[#This Row],[Fail]]</f>
        <v>984</v>
      </c>
    </row>
    <row r="158" spans="2:41" s="202" customFormat="1" ht="15" customHeight="1" x14ac:dyDescent="0.25">
      <c r="B158" s="530"/>
      <c r="C158" s="530" t="s">
        <v>413</v>
      </c>
      <c r="D158" s="200" t="str">
        <f>VLOOKUP(Table2[[#This Row],[Course Title]],'TSD-Data'!$A$1:$E$83,2,FALSE)</f>
        <v>A-493-3007</v>
      </c>
      <c r="E158" s="200" t="str">
        <f>VLOOKUP(Table2[[#This Row],[Course Title]],'TSD-Data'!$A$1:$E$83,3,FALSE)</f>
        <v>31V9</v>
      </c>
      <c r="F158" s="530" t="s">
        <v>54</v>
      </c>
      <c r="G158" s="531">
        <v>46034</v>
      </c>
      <c r="H158" s="531">
        <v>46034</v>
      </c>
      <c r="I158" s="531" t="s">
        <v>42</v>
      </c>
      <c r="J158" s="532"/>
      <c r="K158" s="532">
        <v>0.58333333333333337</v>
      </c>
      <c r="L158" s="532">
        <v>0.45833333333333331</v>
      </c>
      <c r="M158" s="532">
        <v>0.91666666666666663</v>
      </c>
      <c r="N158" s="532">
        <v>0.83333333333333337</v>
      </c>
      <c r="O158" s="532">
        <v>0.375</v>
      </c>
      <c r="P158" s="532">
        <v>0.16666666666666666</v>
      </c>
      <c r="Q158" s="535" t="s">
        <v>441</v>
      </c>
      <c r="R158" s="535"/>
      <c r="S158" s="535"/>
      <c r="T158" s="200">
        <f>VLOOKUP(Table2[[#This Row],[Course Title]],'TSD-Data'!$A$1:$E$83,4,FALSE)</f>
        <v>1000</v>
      </c>
      <c r="U158" s="200">
        <f>VLOOKUP(Table2[[#This Row],[Course Title]],'TSD-Data'!$A$1:$F$83,6,FALSE)</f>
        <v>2.5</v>
      </c>
      <c r="V158" s="201">
        <f>VLOOKUP(Table2[[#This Row],[Course Title]],'TSD-Data'!$A$1:$F$83,5,FALSE)</f>
        <v>0.3</v>
      </c>
      <c r="W158" s="201"/>
      <c r="X158" s="200">
        <f>Table2[[#This Row],[Quotas]]-Table2[[#This Row],[Open Quotas]]</f>
        <v>51</v>
      </c>
      <c r="Y158" s="200">
        <v>0</v>
      </c>
      <c r="Z158" s="201">
        <v>15</v>
      </c>
      <c r="AA158" s="201">
        <v>0</v>
      </c>
      <c r="AB158" s="200">
        <v>0</v>
      </c>
      <c r="AC158" s="200">
        <v>0</v>
      </c>
      <c r="AD158" s="200">
        <v>0</v>
      </c>
      <c r="AE158" s="200" t="s">
        <v>440</v>
      </c>
      <c r="AF158" s="495">
        <f ca="1">Table2[[#This Row],[End Date]]+2-TODAY()</f>
        <v>-208</v>
      </c>
      <c r="AG158" s="496">
        <f>IF(ISBLANK(Table2[[#This Row],[Roster Received by]]),1,0)</f>
        <v>0</v>
      </c>
      <c r="AH158" s="496">
        <f ca="1">IF(Table2[[#This Row],[Start Date]]&gt;TODAY(),1,)</f>
        <v>0</v>
      </c>
      <c r="AI158" s="496">
        <f>IF(ISBLANK(Table2[[#This Row],[Primary Instructor]]),0,1)</f>
        <v>1</v>
      </c>
      <c r="AJ158" s="496">
        <f>IF(ISBLANK(Table2[[#This Row],[Instructor 2]]),0,1)</f>
        <v>0</v>
      </c>
      <c r="AK158" s="496">
        <f>AJ419</f>
        <v>1</v>
      </c>
      <c r="AL158" s="318">
        <v>949</v>
      </c>
      <c r="AM158" s="496">
        <v>2</v>
      </c>
      <c r="AN158" s="496" t="str">
        <f>VLOOKUP(Table2[[#This Row],[Course Title]],'TSD-Data'!$A$1:$G$83,7,FALSE)</f>
        <v>N8-RMI</v>
      </c>
      <c r="AO158" s="500">
        <f>Table2[[#This Row],[Quotas]]-Table2[[#This Row],[Graduates]]-Table2[[#This Row],[Fail]]</f>
        <v>985</v>
      </c>
    </row>
    <row r="159" spans="2:41" ht="15" customHeight="1" x14ac:dyDescent="0.25">
      <c r="B159" s="530" t="s">
        <v>448</v>
      </c>
      <c r="C159" s="530" t="s">
        <v>236</v>
      </c>
      <c r="D159" s="200" t="str">
        <f>VLOOKUP(Table2[[#This Row],[Course Title]],'TSD-Data'!$A$1:$E$83,2,FALSE)</f>
        <v>A-493-2098</v>
      </c>
      <c r="E159" s="200" t="str">
        <f>VLOOKUP(Table2[[#This Row],[Course Title]],'TSD-Data'!$A$1:$E$83,3,FALSE)</f>
        <v>09WW</v>
      </c>
      <c r="F159" s="530" t="s">
        <v>54</v>
      </c>
      <c r="G159" s="531">
        <v>46034</v>
      </c>
      <c r="H159" s="531">
        <v>46036</v>
      </c>
      <c r="I159" s="531" t="s">
        <v>42</v>
      </c>
      <c r="J159" s="532"/>
      <c r="K159" s="532">
        <v>0.33333333333333331</v>
      </c>
      <c r="L159" s="532">
        <v>0.20833333333333334</v>
      </c>
      <c r="M159" s="541">
        <v>1600</v>
      </c>
      <c r="N159" s="541">
        <v>1400</v>
      </c>
      <c r="O159" s="532">
        <v>0.125</v>
      </c>
      <c r="P159" s="541">
        <v>2200</v>
      </c>
      <c r="Q159" s="535" t="s">
        <v>43</v>
      </c>
      <c r="R159" s="535"/>
      <c r="S159" s="535"/>
      <c r="T159" s="200">
        <f>VLOOKUP(Table2[[#This Row],[Course Title]],'TSD-Data'!$A$1:$E$83,4,FALSE)</f>
        <v>100</v>
      </c>
      <c r="U159" s="200">
        <f>VLOOKUP(Table2[[#This Row],[Course Title]],'TSD-Data'!$A$1:$F$83,6,FALSE)</f>
        <v>16</v>
      </c>
      <c r="V159" s="201">
        <f>VLOOKUP(Table2[[#This Row],[Course Title]],'TSD-Data'!$A$1:$F$83,5,FALSE)</f>
        <v>3</v>
      </c>
      <c r="W159" s="201"/>
      <c r="X159" s="200">
        <f>Table2[[#This Row],[Quotas]]-Table2[[#This Row],[Open Quotas]]</f>
        <v>100</v>
      </c>
      <c r="Y159" s="200">
        <v>0</v>
      </c>
      <c r="Z159" s="201">
        <v>82</v>
      </c>
      <c r="AA159" s="201">
        <v>4</v>
      </c>
      <c r="AB159" s="200">
        <v>18</v>
      </c>
      <c r="AC159" s="200">
        <v>3</v>
      </c>
      <c r="AD159" s="200">
        <v>0</v>
      </c>
      <c r="AE159" s="200" t="s">
        <v>428</v>
      </c>
      <c r="AF159" s="495">
        <f ca="1">Table2[[#This Row],[End Date]]+2-TODAY()</f>
        <v>-206</v>
      </c>
      <c r="AG159" s="496">
        <f>IF(ISBLANK(Table2[[#This Row],[Roster Received by]]),1,0)</f>
        <v>0</v>
      </c>
      <c r="AH159" s="496">
        <f ca="1">IF(Table2[[#This Row],[Start Date]]&gt;TODAY(),1,)</f>
        <v>0</v>
      </c>
      <c r="AI159" s="496">
        <f>IF(ISBLANK(Table2[[#This Row],[Primary Instructor]]),0,1)</f>
        <v>1</v>
      </c>
      <c r="AJ159" s="496">
        <f>IF(ISBLANK(Table2[[#This Row],[Instructor 2]]),0,1)</f>
        <v>0</v>
      </c>
      <c r="AK159" s="496">
        <f>Table2[[#This Row],[Course Length (Hours)]]/(Table2[[#This Row],[1 Instructor]]+Table2[[#This Row],[2 Instructors]])</f>
        <v>16</v>
      </c>
      <c r="AL159" s="318">
        <v>0</v>
      </c>
      <c r="AM159" s="497">
        <v>2</v>
      </c>
      <c r="AN159" s="496" t="str">
        <f>VLOOKUP(Table2[[#This Row],[Course Title]],'TSD-Data'!$A$1:$G$83,7,FALSE)</f>
        <v>N8</v>
      </c>
      <c r="AO159" s="500">
        <f>Table2[[#This Row],[Quotas]]-Table2[[#This Row],[Graduates]]-Table2[[#This Row],[Fail]]</f>
        <v>14</v>
      </c>
    </row>
    <row r="160" spans="2:41" s="202" customFormat="1" ht="15" customHeight="1" x14ac:dyDescent="0.25">
      <c r="B160" s="530"/>
      <c r="C160" s="530" t="s">
        <v>239</v>
      </c>
      <c r="D160" s="200" t="str">
        <f>VLOOKUP(Table2[[#This Row],[Course Title]],'TSD-Data'!$A$1:$E$83,2,FALSE)</f>
        <v>F-4J-0023</v>
      </c>
      <c r="E160" s="200" t="str">
        <f>VLOOKUP(Table2[[#This Row],[Course Title]],'TSD-Data'!$A$1:$E$83,3,FALSE)</f>
        <v>11A2</v>
      </c>
      <c r="F160" s="530" t="s">
        <v>54</v>
      </c>
      <c r="G160" s="531">
        <v>46034</v>
      </c>
      <c r="H160" s="531">
        <v>46035</v>
      </c>
      <c r="I160" s="531" t="s">
        <v>42</v>
      </c>
      <c r="J160" s="532"/>
      <c r="K160" s="532">
        <v>0.33333333333333331</v>
      </c>
      <c r="L160" s="532">
        <v>0.20833333333333334</v>
      </c>
      <c r="M160" s="541">
        <v>1600</v>
      </c>
      <c r="N160" s="541">
        <v>1400</v>
      </c>
      <c r="O160" s="532">
        <v>0.125</v>
      </c>
      <c r="P160" s="541">
        <v>2200</v>
      </c>
      <c r="Q160" s="535" t="s">
        <v>433</v>
      </c>
      <c r="R160" s="535"/>
      <c r="S160" s="535"/>
      <c r="T160" s="200">
        <f>VLOOKUP(Table2[[#This Row],[Course Title]],'TSD-Data'!$A$1:$E$83,4,FALSE)</f>
        <v>45</v>
      </c>
      <c r="U160" s="200">
        <f>VLOOKUP(Table2[[#This Row],[Course Title]],'TSD-Data'!$A$1:$F$83,6,FALSE)</f>
        <v>16</v>
      </c>
      <c r="V160" s="201">
        <f>VLOOKUP(Table2[[#This Row],[Course Title]],'TSD-Data'!$A$1:$F$83,5,FALSE)</f>
        <v>2</v>
      </c>
      <c r="W160" s="201">
        <v>28</v>
      </c>
      <c r="X160" s="200">
        <f>Table2[[#This Row],[Quotas]]-Table2[[#This Row],[Open Quotas]]</f>
        <v>7</v>
      </c>
      <c r="Y160" s="200">
        <v>0</v>
      </c>
      <c r="Z160" s="201">
        <v>5</v>
      </c>
      <c r="AA160" s="201">
        <v>0</v>
      </c>
      <c r="AB160" s="200">
        <v>2</v>
      </c>
      <c r="AC160" s="200">
        <v>0</v>
      </c>
      <c r="AD160" s="200">
        <v>0</v>
      </c>
      <c r="AE160" s="200" t="s">
        <v>429</v>
      </c>
      <c r="AF160" s="495">
        <f ca="1">Table2[[#This Row],[End Date]]+2-TODAY()</f>
        <v>-207</v>
      </c>
      <c r="AG160" s="496">
        <f>IF(ISBLANK(Table2[[#This Row],[Roster Received by]]),1,0)</f>
        <v>0</v>
      </c>
      <c r="AH160" s="496">
        <f ca="1">IF(Table2[[#This Row],[Start Date]]&gt;TODAY(),1,)</f>
        <v>0</v>
      </c>
      <c r="AI160" s="496">
        <f>IF(ISBLANK(Table2[[#This Row],[Primary Instructor]]),0,1)</f>
        <v>1</v>
      </c>
      <c r="AJ160" s="496">
        <f>IF(ISBLANK(Table2[[#This Row],[Instructor 2]]),0,1)</f>
        <v>0</v>
      </c>
      <c r="AK160" s="496">
        <f>Table2[[#This Row],[Course Length (Hours)]]/(Table2[[#This Row],[1 Instructor]]+Table2[[#This Row],[2 Instructors]])</f>
        <v>16</v>
      </c>
      <c r="AL160" s="318">
        <v>38</v>
      </c>
      <c r="AM160" s="497">
        <v>2</v>
      </c>
      <c r="AN160" s="496" t="str">
        <f>VLOOKUP(Table2[[#This Row],[Course Title]],'TSD-Data'!$A$1:$G$83,7,FALSE)</f>
        <v>N8</v>
      </c>
      <c r="AO160" s="500">
        <f>Table2[[#This Row],[Quotas]]-Table2[[#This Row],[Graduates]]-Table2[[#This Row],[Fail]]</f>
        <v>40</v>
      </c>
    </row>
    <row r="161" spans="2:41" ht="15" customHeight="1" x14ac:dyDescent="0.25">
      <c r="B161" s="530"/>
      <c r="C161" s="530" t="s">
        <v>275</v>
      </c>
      <c r="D161" s="200" t="str">
        <f>VLOOKUP(Table2[[#This Row],[Course Title]],'TSD-Data'!$A$1:$E$83,2,FALSE)</f>
        <v>A-493-0099</v>
      </c>
      <c r="E161" s="200" t="str">
        <f>VLOOKUP(Table2[[#This Row],[Course Title]],'TSD-Data'!$A$1:$E$83,3,FALSE)</f>
        <v>12JW</v>
      </c>
      <c r="F161" s="530" t="s">
        <v>54</v>
      </c>
      <c r="G161" s="531">
        <v>46035</v>
      </c>
      <c r="H161" s="531">
        <v>46037</v>
      </c>
      <c r="I161" s="531" t="s">
        <v>42</v>
      </c>
      <c r="J161" s="532"/>
      <c r="K161" s="536">
        <v>0.5</v>
      </c>
      <c r="L161" s="536">
        <v>0.375</v>
      </c>
      <c r="M161" s="536">
        <v>0.83333333333333337</v>
      </c>
      <c r="N161" s="536">
        <v>0.75</v>
      </c>
      <c r="O161" s="536">
        <v>0.29166666666666669</v>
      </c>
      <c r="P161" s="536">
        <v>8.3333333333333329E-2</v>
      </c>
      <c r="Q161" s="535" t="s">
        <v>274</v>
      </c>
      <c r="R161" s="535"/>
      <c r="S161" s="535"/>
      <c r="T161" s="200">
        <f>VLOOKUP(Table2[[#This Row],[Course Title]],'TSD-Data'!$A$1:$E$83,4,FALSE)</f>
        <v>45</v>
      </c>
      <c r="U161" s="200">
        <f>VLOOKUP(Table2[[#This Row],[Course Title]],'TSD-Data'!$A$1:$F$83,6,FALSE)</f>
        <v>24</v>
      </c>
      <c r="V161" s="201">
        <f>VLOOKUP(Table2[[#This Row],[Course Title]],'TSD-Data'!$A$1:$F$83,5,FALSE)</f>
        <v>3</v>
      </c>
      <c r="W161" s="201">
        <v>1041</v>
      </c>
      <c r="X161" s="200">
        <f>Table2[[#This Row],[Quotas]]-Table2[[#This Row],[Open Quotas]]</f>
        <v>43</v>
      </c>
      <c r="Y161" s="200">
        <v>0</v>
      </c>
      <c r="Z161" s="201">
        <v>33</v>
      </c>
      <c r="AA161" s="201">
        <v>1</v>
      </c>
      <c r="AB161" s="200">
        <v>8</v>
      </c>
      <c r="AC161" s="200">
        <v>0</v>
      </c>
      <c r="AD161" s="200">
        <v>0</v>
      </c>
      <c r="AE161" s="200" t="s">
        <v>431</v>
      </c>
      <c r="AF161" s="495">
        <f ca="1">Table2[[#This Row],[End Date]]+2-TODAY()</f>
        <v>-205</v>
      </c>
      <c r="AG161" s="496">
        <f>IF(ISBLANK(Table2[[#This Row],[Roster Received by]]),1,0)</f>
        <v>0</v>
      </c>
      <c r="AH161" s="496">
        <f ca="1">IF(Table2[[#This Row],[Start Date]]&gt;TODAY(),1,)</f>
        <v>0</v>
      </c>
      <c r="AI161" s="496">
        <f>IF(ISBLANK(Table2[[#This Row],[Primary Instructor]]),0,1)</f>
        <v>1</v>
      </c>
      <c r="AJ161" s="496">
        <f>IF(ISBLANK(Table2[[#This Row],[Instructor 2]]),0,1)</f>
        <v>0</v>
      </c>
      <c r="AK161" s="496">
        <f>Table2[[#This Row],[Course Length (Hours)]]/(Table2[[#This Row],[1 Instructor]]+Table2[[#This Row],[2 Instructors]])</f>
        <v>24</v>
      </c>
      <c r="AL161" s="318">
        <v>2</v>
      </c>
      <c r="AM161" s="497">
        <v>2</v>
      </c>
      <c r="AN161" s="496" t="str">
        <f>VLOOKUP(Table2[[#This Row],[Course Title]],'TSD-Data'!$A$1:$G$83,7,FALSE)</f>
        <v>N5</v>
      </c>
      <c r="AO161" s="500">
        <f>Table2[[#This Row],[Quotas]]-Table2[[#This Row],[Graduates]]-Table2[[#This Row],[Fail]]</f>
        <v>11</v>
      </c>
    </row>
    <row r="162" spans="2:41" ht="15" customHeight="1" x14ac:dyDescent="0.25">
      <c r="B162" s="530"/>
      <c r="C162" s="530" t="s">
        <v>70</v>
      </c>
      <c r="D162" s="200" t="str">
        <f>VLOOKUP(Table2[[#This Row],[Course Title]],'TSD-Data'!$A$1:$E$83,2,FALSE)</f>
        <v>A-493-0077</v>
      </c>
      <c r="E162" s="200" t="str">
        <f>VLOOKUP(Table2[[#This Row],[Course Title]],'TSD-Data'!$A$1:$E$83,3,FALSE)</f>
        <v>0381</v>
      </c>
      <c r="F162" s="530" t="s">
        <v>125</v>
      </c>
      <c r="G162" s="531">
        <v>46035</v>
      </c>
      <c r="H162" s="531">
        <v>46037</v>
      </c>
      <c r="I162" s="531" t="s">
        <v>42</v>
      </c>
      <c r="J162" s="532">
        <v>0.33333333333333331</v>
      </c>
      <c r="K162" s="532"/>
      <c r="L162" s="531"/>
      <c r="M162" s="531"/>
      <c r="N162" s="531"/>
      <c r="O162" s="531"/>
      <c r="P162" s="531"/>
      <c r="Q162" s="535" t="s">
        <v>48</v>
      </c>
      <c r="R162" s="535"/>
      <c r="S162" s="535"/>
      <c r="T162" s="200">
        <f>VLOOKUP(Table2[[#This Row],[Course Title]],'TSD-Data'!$A$1:$E$83,4,FALSE)</f>
        <v>25</v>
      </c>
      <c r="U162" s="200">
        <f>VLOOKUP(Table2[[#This Row],[Course Title]],'TSD-Data'!$A$1:$F$83,6,FALSE)</f>
        <v>24</v>
      </c>
      <c r="V162" s="201">
        <f>VLOOKUP(Table2[[#This Row],[Course Title]],'TSD-Data'!$A$1:$F$83,5,FALSE)</f>
        <v>3</v>
      </c>
      <c r="W162" s="201">
        <v>28</v>
      </c>
      <c r="X162" s="200">
        <f>Table2[[#This Row],[Quotas]]-Table2[[#This Row],[Open Quotas]]</f>
        <v>7</v>
      </c>
      <c r="Y162" s="200">
        <v>0</v>
      </c>
      <c r="Z162" s="201">
        <v>8</v>
      </c>
      <c r="AA162" s="201">
        <v>0</v>
      </c>
      <c r="AB162" s="200">
        <v>0</v>
      </c>
      <c r="AC162" s="200">
        <v>1</v>
      </c>
      <c r="AD162" s="200">
        <v>0</v>
      </c>
      <c r="AE162" s="200" t="s">
        <v>440</v>
      </c>
      <c r="AF162" s="495">
        <f ca="1">Table2[[#This Row],[End Date]]+2-TODAY()</f>
        <v>-205</v>
      </c>
      <c r="AG162" s="496">
        <f>IF(ISBLANK(Table2[[#This Row],[Roster Received by]]),1,0)</f>
        <v>0</v>
      </c>
      <c r="AH162" s="496">
        <f ca="1">IF(Table2[[#This Row],[Start Date]]&gt;TODAY(),1,)</f>
        <v>0</v>
      </c>
      <c r="AI162" s="496">
        <f>IF(ISBLANK(Table2[[#This Row],[Primary Instructor]]),0,1)</f>
        <v>1</v>
      </c>
      <c r="AJ162" s="496">
        <f>IF(ISBLANK(Table2[[#This Row],[Instructor 2]]),0,1)</f>
        <v>0</v>
      </c>
      <c r="AK162" s="496">
        <f>Table2[[#This Row],[Course Length (Hours)]]/(Table2[[#This Row],[1 Instructor]]+Table2[[#This Row],[2 Instructors]])</f>
        <v>24</v>
      </c>
      <c r="AL162" s="318">
        <v>18</v>
      </c>
      <c r="AM162" s="497">
        <v>2</v>
      </c>
      <c r="AN162" s="496" t="str">
        <f>VLOOKUP(Table2[[#This Row],[Course Title]],'TSD-Data'!$A$1:$G$83,7,FALSE)</f>
        <v>N4</v>
      </c>
      <c r="AO162" s="500">
        <f>Table2[[#This Row],[Quotas]]-Table2[[#This Row],[Graduates]]-Table2[[#This Row],[Fail]]</f>
        <v>17</v>
      </c>
    </row>
    <row r="163" spans="2:41" ht="15" customHeight="1" x14ac:dyDescent="0.25">
      <c r="B163" s="530"/>
      <c r="C163" s="530" t="s">
        <v>399</v>
      </c>
      <c r="D163" s="200" t="str">
        <f>VLOOKUP(Table2[[#This Row],[Course Title]],'TSD-Data'!$A$1:$E$83,2,FALSE)</f>
        <v>A-493-3011</v>
      </c>
      <c r="E163" s="200" t="str">
        <f>VLOOKUP(Table2[[#This Row],[Course Title]],'TSD-Data'!$A$1:$E$83,3,FALSE)</f>
        <v>31VD</v>
      </c>
      <c r="F163" s="530" t="s">
        <v>54</v>
      </c>
      <c r="G163" s="531">
        <v>46035</v>
      </c>
      <c r="H163" s="531">
        <v>46035</v>
      </c>
      <c r="I163" s="531" t="s">
        <v>42</v>
      </c>
      <c r="J163" s="532"/>
      <c r="K163" s="532">
        <v>0.54166666666666663</v>
      </c>
      <c r="L163" s="532">
        <v>0.41666666666666669</v>
      </c>
      <c r="M163" s="532">
        <v>0.875</v>
      </c>
      <c r="N163" s="532">
        <v>0.79166666666666663</v>
      </c>
      <c r="O163" s="532">
        <v>0.33333333333333331</v>
      </c>
      <c r="P163" s="532">
        <v>0.125</v>
      </c>
      <c r="Q163" s="535" t="s">
        <v>441</v>
      </c>
      <c r="R163" s="535"/>
      <c r="S163" s="535"/>
      <c r="T163" s="200">
        <f>VLOOKUP(Table2[[#This Row],[Course Title]],'TSD-Data'!$A$1:$E$83,4,FALSE)</f>
        <v>1000</v>
      </c>
      <c r="U163" s="200">
        <f>VLOOKUP(Table2[[#This Row],[Course Title]],'TSD-Data'!$A$1:$F$83,6,FALSE)</f>
        <v>2.5</v>
      </c>
      <c r="V163" s="201">
        <f>VLOOKUP(Table2[[#This Row],[Course Title]],'TSD-Data'!$A$1:$F$83,5,FALSE)</f>
        <v>0.3</v>
      </c>
      <c r="W163" s="201"/>
      <c r="X163" s="200">
        <f>Table2[[#This Row],[Quotas]]-Table2[[#This Row],[Open Quotas]]</f>
        <v>51</v>
      </c>
      <c r="Y163" s="200">
        <v>0</v>
      </c>
      <c r="Z163" s="201">
        <v>19</v>
      </c>
      <c r="AA163" s="201">
        <v>0</v>
      </c>
      <c r="AB163" s="200">
        <v>0</v>
      </c>
      <c r="AC163" s="200">
        <v>0</v>
      </c>
      <c r="AD163" s="200">
        <v>0</v>
      </c>
      <c r="AE163" s="200" t="s">
        <v>440</v>
      </c>
      <c r="AF163" s="495">
        <f ca="1">Table2[[#This Row],[End Date]]+2-TODAY()</f>
        <v>-207</v>
      </c>
      <c r="AG163" s="496">
        <f>IF(ISBLANK(Table2[[#This Row],[Roster Received by]]),1,0)</f>
        <v>0</v>
      </c>
      <c r="AH163" s="496">
        <f ca="1">IF(Table2[[#This Row],[Start Date]]&gt;TODAY(),1,)</f>
        <v>0</v>
      </c>
      <c r="AI163" s="496">
        <f>IF(ISBLANK(Table2[[#This Row],[Primary Instructor]]),0,1)</f>
        <v>1</v>
      </c>
      <c r="AJ163" s="496">
        <f>IF(ISBLANK(Table2[[#This Row],[Instructor 2]]),0,1)</f>
        <v>0</v>
      </c>
      <c r="AK163" s="496">
        <f>AJ422</f>
        <v>0</v>
      </c>
      <c r="AL163" s="318">
        <v>949</v>
      </c>
      <c r="AM163" s="496">
        <v>2</v>
      </c>
      <c r="AN163" s="496" t="str">
        <f>VLOOKUP(Table2[[#This Row],[Course Title]],'TSD-Data'!$A$1:$G$83,7,FALSE)</f>
        <v>N8-RMI</v>
      </c>
      <c r="AO163" s="500">
        <f>Table2[[#This Row],[Quotas]]-Table2[[#This Row],[Graduates]]-Table2[[#This Row],[Fail]]</f>
        <v>981</v>
      </c>
    </row>
    <row r="164" spans="2:41" ht="15" customHeight="1" x14ac:dyDescent="0.25">
      <c r="B164" s="530"/>
      <c r="C164" s="530" t="s">
        <v>400</v>
      </c>
      <c r="D164" s="200" t="str">
        <f>VLOOKUP(Table2[[#This Row],[Course Title]],'TSD-Data'!$A$1:$E$83,2,FALSE)</f>
        <v>A-493-3010</v>
      </c>
      <c r="E164" s="200" t="str">
        <f>VLOOKUP(Table2[[#This Row],[Course Title]],'TSD-Data'!$A$1:$E$83,3,FALSE)</f>
        <v>31VC</v>
      </c>
      <c r="F164" s="530" t="s">
        <v>54</v>
      </c>
      <c r="G164" s="531">
        <v>46035</v>
      </c>
      <c r="H164" s="531">
        <v>46035</v>
      </c>
      <c r="I164" s="531" t="s">
        <v>42</v>
      </c>
      <c r="J164" s="532"/>
      <c r="K164" s="532">
        <v>0.33333333333333331</v>
      </c>
      <c r="L164" s="532">
        <v>0.20833333333333334</v>
      </c>
      <c r="M164" s="532">
        <v>0.66666666666666663</v>
      </c>
      <c r="N164" s="532">
        <v>0.58333333333333337</v>
      </c>
      <c r="O164" s="532">
        <v>0.125</v>
      </c>
      <c r="P164" s="532">
        <v>0.91666666666666663</v>
      </c>
      <c r="Q164" s="535" t="s">
        <v>441</v>
      </c>
      <c r="R164" s="535"/>
      <c r="S164" s="535"/>
      <c r="T164" s="200">
        <f>VLOOKUP(Table2[[#This Row],[Course Title]],'TSD-Data'!$A$1:$E$83,4,FALSE)</f>
        <v>1000</v>
      </c>
      <c r="U164" s="200">
        <f>VLOOKUP(Table2[[#This Row],[Course Title]],'TSD-Data'!$A$1:$F$83,6,FALSE)</f>
        <v>4</v>
      </c>
      <c r="V164" s="201">
        <f>VLOOKUP(Table2[[#This Row],[Course Title]],'TSD-Data'!$A$1:$F$83,5,FALSE)</f>
        <v>0.5</v>
      </c>
      <c r="W164" s="201"/>
      <c r="X164" s="200">
        <f>Table2[[#This Row],[Quotas]]-Table2[[#This Row],[Open Quotas]]</f>
        <v>51</v>
      </c>
      <c r="Y164" s="200">
        <v>0</v>
      </c>
      <c r="Z164" s="201">
        <v>15</v>
      </c>
      <c r="AA164" s="201">
        <v>0</v>
      </c>
      <c r="AB164" s="200">
        <v>0</v>
      </c>
      <c r="AC164" s="200">
        <v>0</v>
      </c>
      <c r="AD164" s="200">
        <v>0</v>
      </c>
      <c r="AE164" s="200" t="s">
        <v>440</v>
      </c>
      <c r="AF164" s="495">
        <f ca="1">Table2[[#This Row],[End Date]]+2-TODAY()</f>
        <v>-207</v>
      </c>
      <c r="AG164" s="496">
        <f>IF(ISBLANK(Table2[[#This Row],[Roster Received by]]),1,0)</f>
        <v>0</v>
      </c>
      <c r="AH164" s="496">
        <f ca="1">IF(Table2[[#This Row],[Start Date]]&gt;TODAY(),1,)</f>
        <v>0</v>
      </c>
      <c r="AI164" s="496">
        <f>IF(ISBLANK(Table2[[#This Row],[Primary Instructor]]),0,1)</f>
        <v>1</v>
      </c>
      <c r="AJ164" s="496">
        <f>IF(ISBLANK(Table2[[#This Row],[Instructor 2]]),0,1)</f>
        <v>0</v>
      </c>
      <c r="AK164" s="496">
        <f>AJ423</f>
        <v>0</v>
      </c>
      <c r="AL164" s="318">
        <v>949</v>
      </c>
      <c r="AM164" s="496">
        <v>2</v>
      </c>
      <c r="AN164" s="496" t="str">
        <f>VLOOKUP(Table2[[#This Row],[Course Title]],'TSD-Data'!$A$1:$G$83,7,FALSE)</f>
        <v>N8-RMI</v>
      </c>
      <c r="AO164" s="500">
        <f>Table2[[#This Row],[Quotas]]-Table2[[#This Row],[Graduates]]-Table2[[#This Row],[Fail]]</f>
        <v>985</v>
      </c>
    </row>
    <row r="165" spans="2:41" ht="15" customHeight="1" x14ac:dyDescent="0.25">
      <c r="B165" s="530"/>
      <c r="C165" s="530" t="s">
        <v>396</v>
      </c>
      <c r="D165" s="200" t="str">
        <f>VLOOKUP(Table2[[#This Row],[Course Title]],'TSD-Data'!$A$1:$E$83,2,FALSE)</f>
        <v>A-493-3018</v>
      </c>
      <c r="E165" s="200" t="str">
        <f>VLOOKUP(Table2[[#This Row],[Course Title]],'TSD-Data'!$A$1:$E$83,3,FALSE)</f>
        <v>31YM</v>
      </c>
      <c r="F165" s="530" t="s">
        <v>54</v>
      </c>
      <c r="G165" s="531">
        <v>46036</v>
      </c>
      <c r="H165" s="531">
        <v>46036</v>
      </c>
      <c r="I165" s="531" t="s">
        <v>42</v>
      </c>
      <c r="J165" s="532"/>
      <c r="K165" s="532">
        <v>0.60416666666666663</v>
      </c>
      <c r="L165" s="532">
        <v>0.47916666666666669</v>
      </c>
      <c r="M165" s="532">
        <v>0.9375</v>
      </c>
      <c r="N165" s="532">
        <v>0.85416666666666663</v>
      </c>
      <c r="O165" s="532">
        <v>0.39583333333333331</v>
      </c>
      <c r="P165" s="532">
        <v>0.1875</v>
      </c>
      <c r="Q165" s="535" t="s">
        <v>441</v>
      </c>
      <c r="R165" s="535"/>
      <c r="S165" s="535"/>
      <c r="T165" s="200">
        <f>VLOOKUP(Table2[[#This Row],[Course Title]],'TSD-Data'!$A$1:$E$83,4,FALSE)</f>
        <v>1000</v>
      </c>
      <c r="U165" s="200">
        <f>VLOOKUP(Table2[[#This Row],[Course Title]],'TSD-Data'!$A$1:$F$83,6,FALSE)</f>
        <v>2</v>
      </c>
      <c r="V165" s="201">
        <f>VLOOKUP(Table2[[#This Row],[Course Title]],'TSD-Data'!$A$1:$F$83,5,FALSE)</f>
        <v>0.25</v>
      </c>
      <c r="W165" s="201"/>
      <c r="X165" s="200">
        <f>Table2[[#This Row],[Quotas]]-Table2[[#This Row],[Open Quotas]]</f>
        <v>51</v>
      </c>
      <c r="Y165" s="200">
        <v>0</v>
      </c>
      <c r="Z165" s="201">
        <v>15</v>
      </c>
      <c r="AA165" s="201">
        <v>0</v>
      </c>
      <c r="AB165" s="200">
        <v>0</v>
      </c>
      <c r="AC165" s="200">
        <v>0</v>
      </c>
      <c r="AD165" s="200">
        <v>0</v>
      </c>
      <c r="AE165" s="200" t="s">
        <v>440</v>
      </c>
      <c r="AF165" s="495">
        <f ca="1">Table2[[#This Row],[End Date]]+2-TODAY()</f>
        <v>-206</v>
      </c>
      <c r="AG165" s="496">
        <f>IF(ISBLANK(Table2[[#This Row],[Roster Received by]]),1,0)</f>
        <v>0</v>
      </c>
      <c r="AH165" s="496">
        <f ca="1">IF(Table2[[#This Row],[Start Date]]&gt;TODAY(),1,)</f>
        <v>0</v>
      </c>
      <c r="AI165" s="496">
        <f>IF(ISBLANK(Table2[[#This Row],[Primary Instructor]]),0,1)</f>
        <v>1</v>
      </c>
      <c r="AJ165" s="496">
        <f>IF(ISBLANK(Table2[[#This Row],[Instructor 2]]),0,1)</f>
        <v>0</v>
      </c>
      <c r="AK165" s="496">
        <f>AJ424</f>
        <v>0</v>
      </c>
      <c r="AL165" s="318">
        <v>949</v>
      </c>
      <c r="AM165" s="496">
        <v>2</v>
      </c>
      <c r="AN165" s="496" t="str">
        <f>VLOOKUP(Table2[[#This Row],[Course Title]],'TSD-Data'!$A$1:$G$83,7,FALSE)</f>
        <v>N8-RMI</v>
      </c>
      <c r="AO165" s="500">
        <f>Table2[[#This Row],[Quotas]]-Table2[[#This Row],[Graduates]]-Table2[[#This Row],[Fail]]</f>
        <v>985</v>
      </c>
    </row>
    <row r="166" spans="2:41" ht="15" customHeight="1" x14ac:dyDescent="0.25">
      <c r="B166" s="530"/>
      <c r="C166" s="530" t="s">
        <v>398</v>
      </c>
      <c r="D166" s="200" t="str">
        <f>VLOOKUP(Table2[[#This Row],[Course Title]],'TSD-Data'!$A$1:$E$83,2,FALSE)</f>
        <v>A-493-3004</v>
      </c>
      <c r="E166" s="200" t="str">
        <f>VLOOKUP(Table2[[#This Row],[Course Title]],'TSD-Data'!$A$1:$E$83,3,FALSE)</f>
        <v>31V6</v>
      </c>
      <c r="F166" s="530" t="s">
        <v>54</v>
      </c>
      <c r="G166" s="531">
        <v>46036</v>
      </c>
      <c r="H166" s="531">
        <v>46036</v>
      </c>
      <c r="I166" s="531" t="s">
        <v>42</v>
      </c>
      <c r="J166" s="532"/>
      <c r="K166" s="532">
        <v>0.52083333333333337</v>
      </c>
      <c r="L166" s="532">
        <v>0.39583333333333331</v>
      </c>
      <c r="M166" s="532">
        <v>0.85416666666666663</v>
      </c>
      <c r="N166" s="532">
        <v>0.77083333333333337</v>
      </c>
      <c r="O166" s="532">
        <v>0.8125</v>
      </c>
      <c r="P166" s="532">
        <v>0.10416666666666667</v>
      </c>
      <c r="Q166" s="535" t="s">
        <v>441</v>
      </c>
      <c r="R166" s="535"/>
      <c r="S166" s="535"/>
      <c r="T166" s="200">
        <f>VLOOKUP(Table2[[#This Row],[Course Title]],'TSD-Data'!$A$1:$E$83,4,FALSE)</f>
        <v>1000</v>
      </c>
      <c r="U166" s="200">
        <f>VLOOKUP(Table2[[#This Row],[Course Title]],'TSD-Data'!$A$1:$F$83,6,FALSE)</f>
        <v>2</v>
      </c>
      <c r="V166" s="201">
        <f>VLOOKUP(Table2[[#This Row],[Course Title]],'TSD-Data'!$A$1:$F$83,5,FALSE)</f>
        <v>0.25</v>
      </c>
      <c r="W166" s="201"/>
      <c r="X166" s="200">
        <f>Table2[[#This Row],[Quotas]]-Table2[[#This Row],[Open Quotas]]</f>
        <v>51</v>
      </c>
      <c r="Y166" s="200">
        <v>0</v>
      </c>
      <c r="Z166" s="201">
        <v>25</v>
      </c>
      <c r="AA166" s="201">
        <v>0</v>
      </c>
      <c r="AB166" s="200">
        <v>0</v>
      </c>
      <c r="AC166" s="200">
        <v>0</v>
      </c>
      <c r="AD166" s="200">
        <v>0</v>
      </c>
      <c r="AE166" s="200" t="s">
        <v>440</v>
      </c>
      <c r="AF166" s="495">
        <f ca="1">Table2[[#This Row],[End Date]]+2-TODAY()</f>
        <v>-206</v>
      </c>
      <c r="AG166" s="496">
        <f>IF(ISBLANK(Table2[[#This Row],[Roster Received by]]),1,0)</f>
        <v>0</v>
      </c>
      <c r="AH166" s="496">
        <f ca="1">IF(Table2[[#This Row],[Start Date]]&gt;TODAY(),1,)</f>
        <v>0</v>
      </c>
      <c r="AI166" s="496">
        <f>IF(ISBLANK(Table2[[#This Row],[Primary Instructor]]),0,1)</f>
        <v>1</v>
      </c>
      <c r="AJ166" s="496">
        <f>IF(ISBLANK(Table2[[#This Row],[Instructor 2]]),0,1)</f>
        <v>0</v>
      </c>
      <c r="AK166" s="496">
        <f>AJ425</f>
        <v>0</v>
      </c>
      <c r="AL166" s="318">
        <v>949</v>
      </c>
      <c r="AM166" s="496">
        <v>2</v>
      </c>
      <c r="AN166" s="496" t="str">
        <f>VLOOKUP(Table2[[#This Row],[Course Title]],'TSD-Data'!$A$1:$G$83,7,FALSE)</f>
        <v>N8-RMI</v>
      </c>
      <c r="AO166" s="500">
        <f>Table2[[#This Row],[Quotas]]-Table2[[#This Row],[Graduates]]-Table2[[#This Row],[Fail]]</f>
        <v>975</v>
      </c>
    </row>
    <row r="167" spans="2:41" s="202" customFormat="1" ht="15" customHeight="1" x14ac:dyDescent="0.25">
      <c r="B167" s="530"/>
      <c r="C167" s="530" t="s">
        <v>409</v>
      </c>
      <c r="D167" s="200" t="str">
        <f>VLOOKUP(Table2[[#This Row],[Course Title]],'TSD-Data'!$A$1:$E$83,2,FALSE)</f>
        <v>A-493-3001</v>
      </c>
      <c r="E167" s="200" t="str">
        <f>VLOOKUP(Table2[[#This Row],[Course Title]],'TSD-Data'!$A$1:$E$83,3,FALSE)</f>
        <v>31V3</v>
      </c>
      <c r="F167" s="530" t="s">
        <v>54</v>
      </c>
      <c r="G167" s="531">
        <v>46036</v>
      </c>
      <c r="H167" s="531">
        <v>46036</v>
      </c>
      <c r="I167" s="531" t="s">
        <v>42</v>
      </c>
      <c r="J167" s="532"/>
      <c r="K167" s="532">
        <v>0.33333333333333331</v>
      </c>
      <c r="L167" s="532">
        <v>0.20833333333333334</v>
      </c>
      <c r="M167" s="532">
        <v>0.66666666666666663</v>
      </c>
      <c r="N167" s="532">
        <v>0.58333333333333337</v>
      </c>
      <c r="O167" s="532">
        <v>0.125</v>
      </c>
      <c r="P167" s="532">
        <v>0.91666666666666663</v>
      </c>
      <c r="Q167" s="535" t="s">
        <v>441</v>
      </c>
      <c r="R167" s="535"/>
      <c r="S167" s="535"/>
      <c r="T167" s="200">
        <f>VLOOKUP(Table2[[#This Row],[Course Title]],'TSD-Data'!$A$1:$E$83,4,FALSE)</f>
        <v>1000</v>
      </c>
      <c r="U167" s="200">
        <f>VLOOKUP(Table2[[#This Row],[Course Title]],'TSD-Data'!$A$1:$F$83,6,FALSE)</f>
        <v>2</v>
      </c>
      <c r="V167" s="201">
        <f>VLOOKUP(Table2[[#This Row],[Course Title]],'TSD-Data'!$A$1:$F$83,5,FALSE)</f>
        <v>0.25</v>
      </c>
      <c r="W167" s="201"/>
      <c r="X167" s="200">
        <f>Table2[[#This Row],[Quotas]]-Table2[[#This Row],[Open Quotas]]</f>
        <v>51</v>
      </c>
      <c r="Y167" s="200">
        <v>0</v>
      </c>
      <c r="Z167" s="201">
        <v>16</v>
      </c>
      <c r="AA167" s="201">
        <v>0</v>
      </c>
      <c r="AB167" s="200">
        <v>0</v>
      </c>
      <c r="AC167" s="200">
        <v>0</v>
      </c>
      <c r="AD167" s="200">
        <v>0</v>
      </c>
      <c r="AE167" s="200" t="s">
        <v>440</v>
      </c>
      <c r="AF167" s="495">
        <f ca="1">Table2[[#This Row],[End Date]]+2-TODAY()</f>
        <v>-206</v>
      </c>
      <c r="AG167" s="496">
        <f>IF(ISBLANK(Table2[[#This Row],[Roster Received by]]),1,0)</f>
        <v>0</v>
      </c>
      <c r="AH167" s="496">
        <f ca="1">IF(Table2[[#This Row],[Start Date]]&gt;TODAY(),1,)</f>
        <v>0</v>
      </c>
      <c r="AI167" s="496">
        <f>IF(ISBLANK(Table2[[#This Row],[Primary Instructor]]),0,1)</f>
        <v>1</v>
      </c>
      <c r="AJ167" s="496">
        <f>IF(ISBLANK(Table2[[#This Row],[Instructor 2]]),0,1)</f>
        <v>0</v>
      </c>
      <c r="AK167" s="496">
        <f>AJ426</f>
        <v>0</v>
      </c>
      <c r="AL167" s="318">
        <v>949</v>
      </c>
      <c r="AM167" s="496">
        <v>2</v>
      </c>
      <c r="AN167" s="496" t="str">
        <f>VLOOKUP(Table2[[#This Row],[Course Title]],'TSD-Data'!$A$1:$G$83,7,FALSE)</f>
        <v>N8-RMI</v>
      </c>
      <c r="AO167" s="500">
        <f>Table2[[#This Row],[Quotas]]-Table2[[#This Row],[Graduates]]-Table2[[#This Row],[Fail]]</f>
        <v>984</v>
      </c>
    </row>
    <row r="168" spans="2:41" ht="15" customHeight="1" x14ac:dyDescent="0.25">
      <c r="B168" s="530"/>
      <c r="C168" s="530" t="s">
        <v>99</v>
      </c>
      <c r="D168" s="200" t="str">
        <f>VLOOKUP(Table2[[#This Row],[Course Title]],'TSD-Data'!$A$1:$E$83,2,FALSE)</f>
        <v>A-493-2501</v>
      </c>
      <c r="E168" s="200" t="str">
        <f>VLOOKUP(Table2[[#This Row],[Course Title]],'TSD-Data'!$A$1:$E$83,3,FALSE)</f>
        <v>05ZE</v>
      </c>
      <c r="F168" s="530" t="s">
        <v>135</v>
      </c>
      <c r="G168" s="531">
        <v>46036</v>
      </c>
      <c r="H168" s="531">
        <v>46036</v>
      </c>
      <c r="I168" s="531" t="s">
        <v>42</v>
      </c>
      <c r="J168" s="532">
        <v>0.33333333333333331</v>
      </c>
      <c r="K168" s="532"/>
      <c r="L168" s="531"/>
      <c r="M168" s="531"/>
      <c r="N168" s="531"/>
      <c r="O168" s="531"/>
      <c r="P168" s="531"/>
      <c r="Q168" s="535" t="s">
        <v>48</v>
      </c>
      <c r="R168" s="535"/>
      <c r="S168" s="535"/>
      <c r="T168" s="200">
        <f>VLOOKUP(Table2[[#This Row],[Course Title]],'TSD-Data'!$A$1:$E$83,4,FALSE)</f>
        <v>30</v>
      </c>
      <c r="U168" s="200">
        <f>VLOOKUP(Table2[[#This Row],[Course Title]],'TSD-Data'!$A$1:$F$83,6,FALSE)</f>
        <v>8</v>
      </c>
      <c r="V168" s="201">
        <f>VLOOKUP(Table2[[#This Row],[Course Title]],'TSD-Data'!$A$1:$F$83,5,FALSE)</f>
        <v>1</v>
      </c>
      <c r="W168" s="201">
        <v>29</v>
      </c>
      <c r="X168" s="200">
        <f>Table2[[#This Row],[Quotas]]-Table2[[#This Row],[Open Quotas]]</f>
        <v>10</v>
      </c>
      <c r="Y168" s="200">
        <v>0</v>
      </c>
      <c r="Z168" s="201">
        <v>12</v>
      </c>
      <c r="AA168" s="201">
        <v>1</v>
      </c>
      <c r="AB168" s="200">
        <v>1</v>
      </c>
      <c r="AC168" s="200">
        <v>0</v>
      </c>
      <c r="AD168" s="200">
        <v>0</v>
      </c>
      <c r="AE168" s="200" t="s">
        <v>428</v>
      </c>
      <c r="AF168" s="495">
        <f ca="1">Table2[[#This Row],[End Date]]+2-TODAY()</f>
        <v>-206</v>
      </c>
      <c r="AG168" s="496">
        <f>IF(ISBLANK(Table2[[#This Row],[Roster Received by]]),1,0)</f>
        <v>0</v>
      </c>
      <c r="AH168" s="496">
        <f ca="1">IF(Table2[[#This Row],[Start Date]]&gt;TODAY(),1,)</f>
        <v>0</v>
      </c>
      <c r="AI168" s="496">
        <f>IF(ISBLANK(Table2[[#This Row],[Primary Instructor]]),0,1)</f>
        <v>1</v>
      </c>
      <c r="AJ168" s="496">
        <f>IF(ISBLANK(Table2[[#This Row],[Instructor 2]]),0,1)</f>
        <v>0</v>
      </c>
      <c r="AK168" s="496">
        <f>Table2[[#This Row],[Course Length (Hours)]]/(Table2[[#This Row],[1 Instructor]]+Table2[[#This Row],[2 Instructors]])</f>
        <v>8</v>
      </c>
      <c r="AL168" s="318">
        <v>20</v>
      </c>
      <c r="AM168" s="497">
        <v>2</v>
      </c>
      <c r="AN168" s="496" t="str">
        <f>VLOOKUP(Table2[[#This Row],[Course Title]],'TSD-Data'!$A$1:$G$83,7,FALSE)</f>
        <v>N4</v>
      </c>
      <c r="AO168" s="500">
        <f>Table2[[#This Row],[Quotas]]-Table2[[#This Row],[Graduates]]-Table2[[#This Row],[Fail]]</f>
        <v>17</v>
      </c>
    </row>
    <row r="169" spans="2:41" ht="15" customHeight="1" x14ac:dyDescent="0.25">
      <c r="B169" s="530"/>
      <c r="C169" s="530" t="s">
        <v>403</v>
      </c>
      <c r="D169" s="200" t="str">
        <f>VLOOKUP(Table2[[#This Row],[Course Title]],'TSD-Data'!$A$1:$E$83,2,FALSE)</f>
        <v>A-493-3013</v>
      </c>
      <c r="E169" s="200" t="str">
        <f>VLOOKUP(Table2[[#This Row],[Course Title]],'TSD-Data'!$A$1:$E$83,3,FALSE)</f>
        <v>31YG</v>
      </c>
      <c r="F169" s="530" t="s">
        <v>54</v>
      </c>
      <c r="G169" s="531">
        <v>46037</v>
      </c>
      <c r="H169" s="531">
        <v>46037</v>
      </c>
      <c r="I169" s="531" t="s">
        <v>42</v>
      </c>
      <c r="J169" s="532"/>
      <c r="K169" s="532">
        <v>0.4375</v>
      </c>
      <c r="L169" s="532">
        <v>0.3125</v>
      </c>
      <c r="M169" s="532">
        <v>0.77083333333333337</v>
      </c>
      <c r="N169" s="532">
        <v>0.6875</v>
      </c>
      <c r="O169" s="532">
        <v>0.22916666666666666</v>
      </c>
      <c r="P169" s="532">
        <v>2.0833333333333332E-2</v>
      </c>
      <c r="Q169" s="535" t="s">
        <v>441</v>
      </c>
      <c r="R169" s="535"/>
      <c r="S169" s="535"/>
      <c r="T169" s="200">
        <f>VLOOKUP(Table2[[#This Row],[Course Title]],'TSD-Data'!$A$1:$E$83,4,FALSE)</f>
        <v>1000</v>
      </c>
      <c r="U169" s="200">
        <f>VLOOKUP(Table2[[#This Row],[Course Title]],'TSD-Data'!$A$1:$F$83,6,FALSE)</f>
        <v>2</v>
      </c>
      <c r="V169" s="201">
        <f>VLOOKUP(Table2[[#This Row],[Course Title]],'TSD-Data'!$A$1:$F$83,5,FALSE)</f>
        <v>0.25</v>
      </c>
      <c r="W169" s="201"/>
      <c r="X169" s="200">
        <f>Table2[[#This Row],[Quotas]]-Table2[[#This Row],[Open Quotas]]</f>
        <v>51</v>
      </c>
      <c r="Y169" s="200">
        <v>0</v>
      </c>
      <c r="Z169" s="201">
        <v>23</v>
      </c>
      <c r="AA169" s="201">
        <v>0</v>
      </c>
      <c r="AB169" s="200">
        <v>0</v>
      </c>
      <c r="AC169" s="200">
        <v>0</v>
      </c>
      <c r="AD169" s="200">
        <v>0</v>
      </c>
      <c r="AE169" s="200" t="s">
        <v>440</v>
      </c>
      <c r="AF169" s="495">
        <f ca="1">Table2[[#This Row],[End Date]]+2-TODAY()</f>
        <v>-205</v>
      </c>
      <c r="AG169" s="496">
        <f>IF(ISBLANK(Table2[[#This Row],[Roster Received by]]),1,0)</f>
        <v>0</v>
      </c>
      <c r="AH169" s="496">
        <f ca="1">IF(Table2[[#This Row],[Start Date]]&gt;TODAY(),1,)</f>
        <v>0</v>
      </c>
      <c r="AI169" s="496">
        <f>IF(ISBLANK(Table2[[#This Row],[Primary Instructor]]),0,1)</f>
        <v>1</v>
      </c>
      <c r="AJ169" s="496">
        <f>IF(ISBLANK(Table2[[#This Row],[Instructor 2]]),0,1)</f>
        <v>0</v>
      </c>
      <c r="AK169" s="496">
        <f>AJ428</f>
        <v>0</v>
      </c>
      <c r="AL169" s="318">
        <v>949</v>
      </c>
      <c r="AM169" s="496">
        <v>2</v>
      </c>
      <c r="AN169" s="496" t="str">
        <f>VLOOKUP(Table2[[#This Row],[Course Title]],'TSD-Data'!$A$1:$G$83,7,FALSE)</f>
        <v>N8-RMI</v>
      </c>
      <c r="AO169" s="500">
        <f>Table2[[#This Row],[Quotas]]-Table2[[#This Row],[Graduates]]-Table2[[#This Row],[Fail]]</f>
        <v>977</v>
      </c>
    </row>
    <row r="170" spans="2:41" ht="15" customHeight="1" x14ac:dyDescent="0.25">
      <c r="B170" s="530"/>
      <c r="C170" s="530" t="s">
        <v>404</v>
      </c>
      <c r="D170" s="200" t="str">
        <f>VLOOKUP(Table2[[#This Row],[Course Title]],'TSD-Data'!$A$1:$E$83,2,FALSE)</f>
        <v>A-493-3014</v>
      </c>
      <c r="E170" s="200" t="str">
        <f>VLOOKUP(Table2[[#This Row],[Course Title]],'TSD-Data'!$A$1:$E$83,3,FALSE)</f>
        <v>31Yh</v>
      </c>
      <c r="F170" s="530" t="s">
        <v>54</v>
      </c>
      <c r="G170" s="531">
        <v>46037</v>
      </c>
      <c r="H170" s="531">
        <v>46037</v>
      </c>
      <c r="I170" s="531" t="s">
        <v>42</v>
      </c>
      <c r="J170" s="532"/>
      <c r="K170" s="532">
        <v>0.60416666666666663</v>
      </c>
      <c r="L170" s="532">
        <v>0.47916666666666669</v>
      </c>
      <c r="M170" s="532">
        <v>0.9375</v>
      </c>
      <c r="N170" s="532">
        <v>0.85416666666666663</v>
      </c>
      <c r="O170" s="532">
        <v>0.39583333333333331</v>
      </c>
      <c r="P170" s="532">
        <v>0.1875</v>
      </c>
      <c r="Q170" s="535" t="s">
        <v>441</v>
      </c>
      <c r="R170" s="535"/>
      <c r="S170" s="535"/>
      <c r="T170" s="200">
        <f>VLOOKUP(Table2[[#This Row],[Course Title]],'TSD-Data'!$A$1:$E$83,4,FALSE)</f>
        <v>1000</v>
      </c>
      <c r="U170" s="200">
        <f>VLOOKUP(Table2[[#This Row],[Course Title]],'TSD-Data'!$A$1:$F$83,6,FALSE)</f>
        <v>1.5</v>
      </c>
      <c r="V170" s="201">
        <f>VLOOKUP(Table2[[#This Row],[Course Title]],'TSD-Data'!$A$1:$F$83,5,FALSE)</f>
        <v>0.1</v>
      </c>
      <c r="W170" s="201"/>
      <c r="X170" s="200">
        <f>Table2[[#This Row],[Quotas]]-Table2[[#This Row],[Open Quotas]]</f>
        <v>51</v>
      </c>
      <c r="Y170" s="200">
        <v>0</v>
      </c>
      <c r="Z170" s="201">
        <v>20</v>
      </c>
      <c r="AA170" s="201">
        <v>0</v>
      </c>
      <c r="AB170" s="200">
        <v>0</v>
      </c>
      <c r="AC170" s="200">
        <v>0</v>
      </c>
      <c r="AD170" s="200">
        <v>0</v>
      </c>
      <c r="AE170" s="200" t="s">
        <v>440</v>
      </c>
      <c r="AF170" s="495">
        <f ca="1">Table2[[#This Row],[End Date]]+2-TODAY()</f>
        <v>-205</v>
      </c>
      <c r="AG170" s="496">
        <f>IF(ISBLANK(Table2[[#This Row],[Roster Received by]]),1,0)</f>
        <v>0</v>
      </c>
      <c r="AH170" s="496">
        <f ca="1">IF(Table2[[#This Row],[Start Date]]&gt;TODAY(),1,)</f>
        <v>0</v>
      </c>
      <c r="AI170" s="496">
        <f>IF(ISBLANK(Table2[[#This Row],[Primary Instructor]]),0,1)</f>
        <v>1</v>
      </c>
      <c r="AJ170" s="496">
        <f>IF(ISBLANK(Table2[[#This Row],[Instructor 2]]),0,1)</f>
        <v>0</v>
      </c>
      <c r="AK170" s="496">
        <f>AJ429</f>
        <v>0</v>
      </c>
      <c r="AL170" s="318">
        <v>949</v>
      </c>
      <c r="AM170" s="496">
        <v>2</v>
      </c>
      <c r="AN170" s="496" t="str">
        <f>VLOOKUP(Table2[[#This Row],[Course Title]],'TSD-Data'!$A$1:$G$83,7,FALSE)</f>
        <v>N8-RMI</v>
      </c>
      <c r="AO170" s="500">
        <f>Table2[[#This Row],[Quotas]]-Table2[[#This Row],[Graduates]]-Table2[[#This Row],[Fail]]</f>
        <v>980</v>
      </c>
    </row>
    <row r="171" spans="2:41" ht="15" customHeight="1" x14ac:dyDescent="0.25">
      <c r="B171" s="530"/>
      <c r="C171" s="530" t="s">
        <v>405</v>
      </c>
      <c r="D171" s="200" t="str">
        <f>VLOOKUP(Table2[[#This Row],[Course Title]],'TSD-Data'!$A$1:$E$83,2,FALSE)</f>
        <v>A-493-3015</v>
      </c>
      <c r="E171" s="200" t="str">
        <f>VLOOKUP(Table2[[#This Row],[Course Title]],'TSD-Data'!$A$1:$E$83,3,FALSE)</f>
        <v>31YJ</v>
      </c>
      <c r="F171" s="530" t="s">
        <v>54</v>
      </c>
      <c r="G171" s="531">
        <v>46037</v>
      </c>
      <c r="H171" s="531">
        <v>46037</v>
      </c>
      <c r="I171" s="531" t="s">
        <v>42</v>
      </c>
      <c r="J171" s="532"/>
      <c r="K171" s="532">
        <v>0.33333333333333331</v>
      </c>
      <c r="L171" s="532">
        <v>0.20833333333333334</v>
      </c>
      <c r="M171" s="532">
        <v>0.66666666666666663</v>
      </c>
      <c r="N171" s="532">
        <v>0.58333333333333337</v>
      </c>
      <c r="O171" s="532">
        <v>0.125</v>
      </c>
      <c r="P171" s="532">
        <v>0.91666666666666663</v>
      </c>
      <c r="Q171" s="535" t="s">
        <v>441</v>
      </c>
      <c r="R171" s="535"/>
      <c r="S171" s="535"/>
      <c r="T171" s="200">
        <f>VLOOKUP(Table2[[#This Row],[Course Title]],'TSD-Data'!$A$1:$E$83,4,FALSE)</f>
        <v>1000</v>
      </c>
      <c r="U171" s="200">
        <f>VLOOKUP(Table2[[#This Row],[Course Title]],'TSD-Data'!$A$1:$F$83,6,FALSE)</f>
        <v>1.5</v>
      </c>
      <c r="V171" s="201">
        <f>VLOOKUP(Table2[[#This Row],[Course Title]],'TSD-Data'!$A$1:$F$83,5,FALSE)</f>
        <v>0.1</v>
      </c>
      <c r="W171" s="201"/>
      <c r="X171" s="200">
        <f>Table2[[#This Row],[Quotas]]-Table2[[#This Row],[Open Quotas]]</f>
        <v>51</v>
      </c>
      <c r="Y171" s="200">
        <v>0</v>
      </c>
      <c r="Z171" s="201">
        <v>23</v>
      </c>
      <c r="AA171" s="201">
        <v>0</v>
      </c>
      <c r="AB171" s="200">
        <v>0</v>
      </c>
      <c r="AC171" s="200">
        <v>0</v>
      </c>
      <c r="AD171" s="200">
        <v>0</v>
      </c>
      <c r="AE171" s="200" t="s">
        <v>440</v>
      </c>
      <c r="AF171" s="495">
        <f ca="1">Table2[[#This Row],[End Date]]+2-TODAY()</f>
        <v>-205</v>
      </c>
      <c r="AG171" s="496">
        <f>IF(ISBLANK(Table2[[#This Row],[Roster Received by]]),1,0)</f>
        <v>0</v>
      </c>
      <c r="AH171" s="496">
        <f ca="1">IF(Table2[[#This Row],[Start Date]]&gt;TODAY(),1,)</f>
        <v>0</v>
      </c>
      <c r="AI171" s="496">
        <f>IF(ISBLANK(Table2[[#This Row],[Primary Instructor]]),0,1)</f>
        <v>1</v>
      </c>
      <c r="AJ171" s="496">
        <f>IF(ISBLANK(Table2[[#This Row],[Instructor 2]]),0,1)</f>
        <v>0</v>
      </c>
      <c r="AK171" s="496">
        <f>AJ430</f>
        <v>1</v>
      </c>
      <c r="AL171" s="318">
        <v>949</v>
      </c>
      <c r="AM171" s="496">
        <v>2</v>
      </c>
      <c r="AN171" s="496" t="str">
        <f>VLOOKUP(Table2[[#This Row],[Course Title]],'TSD-Data'!$A$1:$G$83,7,FALSE)</f>
        <v>N8-RMI</v>
      </c>
      <c r="AO171" s="500">
        <f>Table2[[#This Row],[Quotas]]-Table2[[#This Row],[Graduates]]-Table2[[#This Row],[Fail]]</f>
        <v>977</v>
      </c>
    </row>
    <row r="172" spans="2:41" s="202" customFormat="1" ht="15" customHeight="1" x14ac:dyDescent="0.25">
      <c r="B172" s="530"/>
      <c r="C172" s="530" t="s">
        <v>406</v>
      </c>
      <c r="D172" s="200" t="str">
        <f>VLOOKUP(Table2[[#This Row],[Course Title]],'TSD-Data'!$A$1:$E$83,2,FALSE)</f>
        <v>A-493-3016</v>
      </c>
      <c r="E172" s="200" t="str">
        <f>VLOOKUP(Table2[[#This Row],[Course Title]],'TSD-Data'!$A$1:$E$83,3,FALSE)</f>
        <v>31Yk</v>
      </c>
      <c r="F172" s="530" t="s">
        <v>54</v>
      </c>
      <c r="G172" s="531">
        <v>46037</v>
      </c>
      <c r="H172" s="531">
        <v>46037</v>
      </c>
      <c r="I172" s="531" t="s">
        <v>42</v>
      </c>
      <c r="J172" s="532"/>
      <c r="K172" s="532">
        <v>0.52083333333333337</v>
      </c>
      <c r="L172" s="532">
        <v>0.39583333333333331</v>
      </c>
      <c r="M172" s="532">
        <v>0.85416666666666663</v>
      </c>
      <c r="N172" s="532">
        <v>0.77083333333333337</v>
      </c>
      <c r="O172" s="532">
        <v>0.8125</v>
      </c>
      <c r="P172" s="532">
        <v>0.10416666666666667</v>
      </c>
      <c r="Q172" s="535" t="s">
        <v>441</v>
      </c>
      <c r="R172" s="535"/>
      <c r="S172" s="535"/>
      <c r="T172" s="200">
        <f>VLOOKUP(Table2[[#This Row],[Course Title]],'TSD-Data'!$A$1:$E$83,4,FALSE)</f>
        <v>1000</v>
      </c>
      <c r="U172" s="200">
        <f>VLOOKUP(Table2[[#This Row],[Course Title]],'TSD-Data'!$A$1:$F$83,6,FALSE)</f>
        <v>1.5</v>
      </c>
      <c r="V172" s="201">
        <f>VLOOKUP(Table2[[#This Row],[Course Title]],'TSD-Data'!$A$1:$F$83,5,FALSE)</f>
        <v>0.1</v>
      </c>
      <c r="W172" s="201"/>
      <c r="X172" s="200">
        <f>Table2[[#This Row],[Quotas]]-Table2[[#This Row],[Open Quotas]]</f>
        <v>51</v>
      </c>
      <c r="Y172" s="200">
        <v>0</v>
      </c>
      <c r="Z172" s="201">
        <v>23</v>
      </c>
      <c r="AA172" s="201">
        <v>0</v>
      </c>
      <c r="AB172" s="200">
        <v>0</v>
      </c>
      <c r="AC172" s="200">
        <v>0</v>
      </c>
      <c r="AD172" s="200">
        <v>0</v>
      </c>
      <c r="AE172" s="200" t="s">
        <v>440</v>
      </c>
      <c r="AF172" s="495">
        <f ca="1">Table2[[#This Row],[End Date]]+2-TODAY()</f>
        <v>-205</v>
      </c>
      <c r="AG172" s="496">
        <f>IF(ISBLANK(Table2[[#This Row],[Roster Received by]]),1,0)</f>
        <v>0</v>
      </c>
      <c r="AH172" s="496">
        <f ca="1">IF(Table2[[#This Row],[Start Date]]&gt;TODAY(),1,)</f>
        <v>0</v>
      </c>
      <c r="AI172" s="496">
        <f>IF(ISBLANK(Table2[[#This Row],[Primary Instructor]]),0,1)</f>
        <v>1</v>
      </c>
      <c r="AJ172" s="496">
        <f>IF(ISBLANK(Table2[[#This Row],[Instructor 2]]),0,1)</f>
        <v>0</v>
      </c>
      <c r="AK172" s="496">
        <f>AJ431</f>
        <v>0</v>
      </c>
      <c r="AL172" s="318">
        <v>949</v>
      </c>
      <c r="AM172" s="496">
        <v>2</v>
      </c>
      <c r="AN172" s="496" t="str">
        <f>VLOOKUP(Table2[[#This Row],[Course Title]],'TSD-Data'!$A$1:$G$83,7,FALSE)</f>
        <v>N8-RMI</v>
      </c>
      <c r="AO172" s="500">
        <f>Table2[[#This Row],[Quotas]]-Table2[[#This Row],[Graduates]]-Table2[[#This Row],[Fail]]</f>
        <v>977</v>
      </c>
    </row>
    <row r="173" spans="2:41" ht="15" customHeight="1" x14ac:dyDescent="0.25">
      <c r="B173" s="530"/>
      <c r="C173" s="530" t="s">
        <v>99</v>
      </c>
      <c r="D173" s="200" t="str">
        <f>VLOOKUP(Table2[[#This Row],[Course Title]],'TSD-Data'!$A$1:$E$83,2,FALSE)</f>
        <v>A-493-2501</v>
      </c>
      <c r="E173" s="200" t="str">
        <f>VLOOKUP(Table2[[#This Row],[Course Title]],'TSD-Data'!$A$1:$E$83,3,FALSE)</f>
        <v>05ZE</v>
      </c>
      <c r="F173" s="530" t="s">
        <v>52</v>
      </c>
      <c r="G173" s="531">
        <v>46037</v>
      </c>
      <c r="H173" s="531">
        <v>46037</v>
      </c>
      <c r="I173" s="531" t="s">
        <v>42</v>
      </c>
      <c r="J173" s="532">
        <v>0.33333333333333331</v>
      </c>
      <c r="K173" s="532"/>
      <c r="L173" s="531"/>
      <c r="M173" s="531"/>
      <c r="N173" s="531"/>
      <c r="O173" s="531"/>
      <c r="P173" s="531"/>
      <c r="Q173" s="535" t="s">
        <v>48</v>
      </c>
      <c r="R173" s="535"/>
      <c r="S173" s="535"/>
      <c r="T173" s="200">
        <f>VLOOKUP(Table2[[#This Row],[Course Title]],'TSD-Data'!$A$1:$E$83,4,FALSE)</f>
        <v>30</v>
      </c>
      <c r="U173" s="200">
        <f>VLOOKUP(Table2[[#This Row],[Course Title]],'TSD-Data'!$A$1:$F$83,6,FALSE)</f>
        <v>8</v>
      </c>
      <c r="V173" s="201">
        <f>VLOOKUP(Table2[[#This Row],[Course Title]],'TSD-Data'!$A$1:$F$83,5,FALSE)</f>
        <v>1</v>
      </c>
      <c r="W173" s="201">
        <v>40</v>
      </c>
      <c r="X173" s="200">
        <f>Table2[[#This Row],[Quotas]]-Table2[[#This Row],[Open Quotas]]</f>
        <v>25</v>
      </c>
      <c r="Y173" s="200">
        <v>0</v>
      </c>
      <c r="Z173" s="201">
        <v>24</v>
      </c>
      <c r="AA173" s="201">
        <v>0</v>
      </c>
      <c r="AB173" s="200">
        <v>6</v>
      </c>
      <c r="AC173" s="200">
        <v>0</v>
      </c>
      <c r="AD173" s="200">
        <v>0</v>
      </c>
      <c r="AE173" s="200" t="s">
        <v>442</v>
      </c>
      <c r="AF173" s="495">
        <f ca="1">Table2[[#This Row],[End Date]]+2-TODAY()</f>
        <v>-205</v>
      </c>
      <c r="AG173" s="496">
        <f>IF(ISBLANK(Table2[[#This Row],[Roster Received by]]),1,0)</f>
        <v>0</v>
      </c>
      <c r="AH173" s="496">
        <f ca="1">IF(Table2[[#This Row],[Start Date]]&gt;TODAY(),1,)</f>
        <v>0</v>
      </c>
      <c r="AI173" s="496">
        <f>IF(ISBLANK(Table2[[#This Row],[Primary Instructor]]),0,1)</f>
        <v>1</v>
      </c>
      <c r="AJ173" s="496">
        <f>IF(ISBLANK(Table2[[#This Row],[Instructor 2]]),0,1)</f>
        <v>0</v>
      </c>
      <c r="AK173" s="496">
        <f>Table2[[#This Row],[Course Length (Hours)]]/(Table2[[#This Row],[1 Instructor]]+Table2[[#This Row],[2 Instructors]])</f>
        <v>8</v>
      </c>
      <c r="AL173" s="318">
        <v>5</v>
      </c>
      <c r="AM173" s="497">
        <v>2</v>
      </c>
      <c r="AN173" s="496" t="str">
        <f>VLOOKUP(Table2[[#This Row],[Course Title]],'TSD-Data'!$A$1:$G$83,7,FALSE)</f>
        <v>N4</v>
      </c>
      <c r="AO173" s="500">
        <f>Table2[[#This Row],[Quotas]]-Table2[[#This Row],[Graduates]]-Table2[[#This Row],[Fail]]</f>
        <v>6</v>
      </c>
    </row>
    <row r="174" spans="2:41" ht="15" customHeight="1" x14ac:dyDescent="0.25">
      <c r="B174" s="530"/>
      <c r="C174" s="530" t="s">
        <v>84</v>
      </c>
      <c r="D174" s="200" t="str">
        <f>VLOOKUP(Table2[[#This Row],[Course Title]],'TSD-Data'!$A$1:$E$83,2,FALSE)</f>
        <v>A-493-0083</v>
      </c>
      <c r="E174" s="200" t="str">
        <f>VLOOKUP(Table2[[#This Row],[Course Title]],'TSD-Data'!$A$1:$E$83,3,FALSE)</f>
        <v>339E</v>
      </c>
      <c r="F174" s="530" t="s">
        <v>125</v>
      </c>
      <c r="G174" s="531">
        <v>46038</v>
      </c>
      <c r="H174" s="531">
        <v>46038</v>
      </c>
      <c r="I174" s="531" t="s">
        <v>42</v>
      </c>
      <c r="J174" s="532">
        <v>0.33333333333333331</v>
      </c>
      <c r="K174" s="532"/>
      <c r="L174" s="531"/>
      <c r="M174" s="531"/>
      <c r="N174" s="531"/>
      <c r="O174" s="531"/>
      <c r="P174" s="531"/>
      <c r="Q174" s="535" t="s">
        <v>48</v>
      </c>
      <c r="R174" s="535"/>
      <c r="S174" s="535"/>
      <c r="T174" s="200">
        <f>VLOOKUP(Table2[[#This Row],[Course Title]],'TSD-Data'!$A$1:$E$83,4,FALSE)</f>
        <v>30</v>
      </c>
      <c r="U174" s="200">
        <f>VLOOKUP(Table2[[#This Row],[Course Title]],'TSD-Data'!$A$1:$F$83,6,FALSE)</f>
        <v>8</v>
      </c>
      <c r="V174" s="201">
        <f>VLOOKUP(Table2[[#This Row],[Course Title]],'TSD-Data'!$A$1:$F$83,5,FALSE)</f>
        <v>1</v>
      </c>
      <c r="W174" s="201">
        <v>34</v>
      </c>
      <c r="X174" s="200">
        <f>Table2[[#This Row],[Quotas]]-Table2[[#This Row],[Open Quotas]]</f>
        <v>30</v>
      </c>
      <c r="Y174" s="200">
        <v>0</v>
      </c>
      <c r="Z174" s="201">
        <v>30</v>
      </c>
      <c r="AA174" s="201">
        <v>0</v>
      </c>
      <c r="AB174" s="200">
        <v>2</v>
      </c>
      <c r="AC174" s="200">
        <v>2</v>
      </c>
      <c r="AD174" s="200">
        <v>0</v>
      </c>
      <c r="AE174" s="200" t="s">
        <v>428</v>
      </c>
      <c r="AF174" s="495">
        <f ca="1">Table2[[#This Row],[End Date]]+2-TODAY()</f>
        <v>-204</v>
      </c>
      <c r="AG174" s="496">
        <f>IF(ISBLANK(Table2[[#This Row],[Roster Received by]]),1,0)</f>
        <v>0</v>
      </c>
      <c r="AH174" s="496">
        <f ca="1">IF(Table2[[#This Row],[Start Date]]&gt;TODAY(),1,)</f>
        <v>0</v>
      </c>
      <c r="AI174" s="496">
        <f>IF(ISBLANK(Table2[[#This Row],[Primary Instructor]]),0,1)</f>
        <v>1</v>
      </c>
      <c r="AJ174" s="496">
        <f>IF(ISBLANK(Table2[[#This Row],[Instructor 2]]),0,1)</f>
        <v>0</v>
      </c>
      <c r="AK174" s="496">
        <f>Table2[[#This Row],[Course Length (Hours)]]/(Table2[[#This Row],[1 Instructor]]+Table2[[#This Row],[2 Instructors]])</f>
        <v>8</v>
      </c>
      <c r="AL174" s="318">
        <v>0</v>
      </c>
      <c r="AM174" s="497">
        <v>2</v>
      </c>
      <c r="AN174" s="496" t="str">
        <f>VLOOKUP(Table2[[#This Row],[Course Title]],'TSD-Data'!$A$1:$G$83,7,FALSE)</f>
        <v>N4</v>
      </c>
      <c r="AO174" s="500">
        <f>Table2[[#This Row],[Quotas]]-Table2[[#This Row],[Graduates]]-Table2[[#This Row],[Fail]]</f>
        <v>0</v>
      </c>
    </row>
    <row r="175" spans="2:41" ht="15" customHeight="1" x14ac:dyDescent="0.25">
      <c r="B175" s="530"/>
      <c r="C175" s="530" t="s">
        <v>397</v>
      </c>
      <c r="D175" s="200" t="str">
        <f>VLOOKUP(Table2[[#This Row],[Course Title]],'TSD-Data'!$A$1:$E$83,2,FALSE)</f>
        <v>A-493-3005</v>
      </c>
      <c r="E175" s="200" t="str">
        <f>VLOOKUP(Table2[[#This Row],[Course Title]],'TSD-Data'!$A$1:$E$83,3,FALSE)</f>
        <v>31V7</v>
      </c>
      <c r="F175" s="530" t="s">
        <v>54</v>
      </c>
      <c r="G175" s="531">
        <v>46038</v>
      </c>
      <c r="H175" s="531">
        <v>46038</v>
      </c>
      <c r="I175" s="531" t="s">
        <v>42</v>
      </c>
      <c r="J175" s="532"/>
      <c r="K175" s="532">
        <v>0.48958333333333331</v>
      </c>
      <c r="L175" s="532">
        <v>0.36458333333333331</v>
      </c>
      <c r="M175" s="532">
        <v>0.82291666666666663</v>
      </c>
      <c r="N175" s="532">
        <v>0.73958333333333337</v>
      </c>
      <c r="O175" s="532">
        <v>0.28125</v>
      </c>
      <c r="P175" s="532">
        <v>7.2916666666666671E-2</v>
      </c>
      <c r="Q175" s="535" t="s">
        <v>441</v>
      </c>
      <c r="R175" s="535"/>
      <c r="S175" s="535"/>
      <c r="T175" s="200">
        <f>VLOOKUP(Table2[[#This Row],[Course Title]],'TSD-Data'!$A$1:$E$83,4,FALSE)</f>
        <v>1000</v>
      </c>
      <c r="U175" s="200">
        <f>VLOOKUP(Table2[[#This Row],[Course Title]],'TSD-Data'!$A$1:$F$83,6,FALSE)</f>
        <v>2</v>
      </c>
      <c r="V175" s="201">
        <f>VLOOKUP(Table2[[#This Row],[Course Title]],'TSD-Data'!$A$1:$F$83,5,FALSE)</f>
        <v>0.25</v>
      </c>
      <c r="W175" s="201"/>
      <c r="X175" s="200">
        <f>Table2[[#This Row],[Quotas]]-Table2[[#This Row],[Open Quotas]]</f>
        <v>51</v>
      </c>
      <c r="Y175" s="200">
        <v>0</v>
      </c>
      <c r="Z175" s="201">
        <v>16</v>
      </c>
      <c r="AA175" s="201">
        <v>0</v>
      </c>
      <c r="AB175" s="200">
        <v>0</v>
      </c>
      <c r="AC175" s="200">
        <v>0</v>
      </c>
      <c r="AD175" s="200">
        <v>0</v>
      </c>
      <c r="AE175" s="200" t="s">
        <v>442</v>
      </c>
      <c r="AF175" s="495">
        <f ca="1">Table2[[#This Row],[End Date]]+2-TODAY()</f>
        <v>-204</v>
      </c>
      <c r="AG175" s="496">
        <f>IF(ISBLANK(Table2[[#This Row],[Roster Received by]]),1,0)</f>
        <v>0</v>
      </c>
      <c r="AH175" s="496">
        <f ca="1">IF(Table2[[#This Row],[Start Date]]&gt;TODAY(),1,)</f>
        <v>0</v>
      </c>
      <c r="AI175" s="496">
        <f>IF(ISBLANK(Table2[[#This Row],[Primary Instructor]]),0,1)</f>
        <v>1</v>
      </c>
      <c r="AJ175" s="496">
        <f>IF(ISBLANK(Table2[[#This Row],[Instructor 2]]),0,1)</f>
        <v>0</v>
      </c>
      <c r="AK175" s="496" t="e">
        <f>#REF!</f>
        <v>#REF!</v>
      </c>
      <c r="AL175" s="318">
        <v>949</v>
      </c>
      <c r="AM175" s="496">
        <v>2</v>
      </c>
      <c r="AN175" s="496" t="str">
        <f>VLOOKUP(Table2[[#This Row],[Course Title]],'TSD-Data'!$A$1:$G$83,7,FALSE)</f>
        <v>N8-RMI</v>
      </c>
      <c r="AO175" s="500">
        <f>Table2[[#This Row],[Quotas]]-Table2[[#This Row],[Graduates]]-Table2[[#This Row],[Fail]]</f>
        <v>984</v>
      </c>
    </row>
    <row r="176" spans="2:41" ht="15" customHeight="1" x14ac:dyDescent="0.25">
      <c r="B176" s="530"/>
      <c r="C176" s="530" t="s">
        <v>402</v>
      </c>
      <c r="D176" s="200" t="str">
        <f>VLOOKUP(Table2[[#This Row],[Course Title]],'TSD-Data'!$A$1:$E$83,2,FALSE)</f>
        <v>A-493-3017</v>
      </c>
      <c r="E176" s="200" t="str">
        <f>VLOOKUP(Table2[[#This Row],[Course Title]],'TSD-Data'!$A$1:$E$83,3,FALSE)</f>
        <v>31YL</v>
      </c>
      <c r="F176" s="530" t="s">
        <v>54</v>
      </c>
      <c r="G176" s="531">
        <v>46038</v>
      </c>
      <c r="H176" s="531">
        <v>46038</v>
      </c>
      <c r="I176" s="531" t="s">
        <v>42</v>
      </c>
      <c r="J176" s="532"/>
      <c r="K176" s="532">
        <v>0.53125</v>
      </c>
      <c r="L176" s="532">
        <v>0.40625</v>
      </c>
      <c r="M176" s="532">
        <v>0.86458333333333337</v>
      </c>
      <c r="N176" s="532">
        <v>0.78125</v>
      </c>
      <c r="O176" s="532">
        <v>0.32291666666666669</v>
      </c>
      <c r="P176" s="532">
        <v>0.11458333333333333</v>
      </c>
      <c r="Q176" s="535" t="s">
        <v>441</v>
      </c>
      <c r="R176" s="535"/>
      <c r="S176" s="535"/>
      <c r="T176" s="200">
        <f>VLOOKUP(Table2[[#This Row],[Course Title]],'TSD-Data'!$A$1:$E$83,4,FALSE)</f>
        <v>1000</v>
      </c>
      <c r="U176" s="200">
        <f>VLOOKUP(Table2[[#This Row],[Course Title]],'TSD-Data'!$A$1:$F$83,6,FALSE)</f>
        <v>1.5</v>
      </c>
      <c r="V176" s="201">
        <f>VLOOKUP(Table2[[#This Row],[Course Title]],'TSD-Data'!$A$1:$F$83,5,FALSE)</f>
        <v>0.1</v>
      </c>
      <c r="W176" s="201"/>
      <c r="X176" s="200">
        <f>Table2[[#This Row],[Quotas]]-Table2[[#This Row],[Open Quotas]]</f>
        <v>51</v>
      </c>
      <c r="Y176" s="200">
        <v>0</v>
      </c>
      <c r="Z176" s="201">
        <v>12</v>
      </c>
      <c r="AA176" s="201">
        <v>0</v>
      </c>
      <c r="AB176" s="200">
        <v>0</v>
      </c>
      <c r="AC176" s="200">
        <v>0</v>
      </c>
      <c r="AD176" s="200">
        <v>0</v>
      </c>
      <c r="AE176" s="200" t="s">
        <v>442</v>
      </c>
      <c r="AF176" s="495">
        <f ca="1">Table2[[#This Row],[End Date]]+2-TODAY()</f>
        <v>-204</v>
      </c>
      <c r="AG176" s="496">
        <f>IF(ISBLANK(Table2[[#This Row],[Roster Received by]]),1,0)</f>
        <v>0</v>
      </c>
      <c r="AH176" s="496">
        <f ca="1">IF(Table2[[#This Row],[Start Date]]&gt;TODAY(),1,)</f>
        <v>0</v>
      </c>
      <c r="AI176" s="496">
        <f>IF(ISBLANK(Table2[[#This Row],[Primary Instructor]]),0,1)</f>
        <v>1</v>
      </c>
      <c r="AJ176" s="496">
        <f>IF(ISBLANK(Table2[[#This Row],[Instructor 2]]),0,1)</f>
        <v>0</v>
      </c>
      <c r="AK176" s="496">
        <f>AJ433</f>
        <v>0</v>
      </c>
      <c r="AL176" s="318">
        <v>949</v>
      </c>
      <c r="AM176" s="496">
        <v>2</v>
      </c>
      <c r="AN176" s="496" t="str">
        <f>VLOOKUP(Table2[[#This Row],[Course Title]],'TSD-Data'!$A$1:$G$83,7,FALSE)</f>
        <v>N8-RMI</v>
      </c>
      <c r="AO176" s="500">
        <f>Table2[[#This Row],[Quotas]]-Table2[[#This Row],[Graduates]]-Table2[[#This Row],[Fail]]</f>
        <v>988</v>
      </c>
    </row>
    <row r="177" spans="2:41" ht="15" customHeight="1" x14ac:dyDescent="0.25">
      <c r="B177" s="530"/>
      <c r="C177" s="530" t="s">
        <v>408</v>
      </c>
      <c r="D177" s="200" t="str">
        <f>VLOOKUP(Table2[[#This Row],[Course Title]],'TSD-Data'!$A$1:$E$83,2,FALSE)</f>
        <v>A-493-3008</v>
      </c>
      <c r="E177" s="200" t="str">
        <f>VLOOKUP(Table2[[#This Row],[Course Title]],'TSD-Data'!$A$1:$E$83,3,FALSE)</f>
        <v>31VA</v>
      </c>
      <c r="F177" s="530" t="s">
        <v>54</v>
      </c>
      <c r="G177" s="531">
        <v>46038</v>
      </c>
      <c r="H177" s="531">
        <v>46038</v>
      </c>
      <c r="I177" s="531" t="s">
        <v>42</v>
      </c>
      <c r="J177" s="532"/>
      <c r="K177" s="532">
        <v>0.375</v>
      </c>
      <c r="L177" s="532">
        <v>0.25</v>
      </c>
      <c r="M177" s="532">
        <v>0.70833333333333337</v>
      </c>
      <c r="N177" s="532">
        <v>0.625</v>
      </c>
      <c r="O177" s="532">
        <v>0.16666666666666666</v>
      </c>
      <c r="P177" s="532">
        <v>0.95833333333333337</v>
      </c>
      <c r="Q177" s="535" t="s">
        <v>441</v>
      </c>
      <c r="R177" s="535"/>
      <c r="S177" s="535"/>
      <c r="T177" s="200">
        <f>VLOOKUP(Table2[[#This Row],[Course Title]],'TSD-Data'!$A$1:$E$83,4,FALSE)</f>
        <v>1000</v>
      </c>
      <c r="U177" s="200">
        <f>VLOOKUP(Table2[[#This Row],[Course Title]],'TSD-Data'!$A$1:$F$83,6,FALSE)</f>
        <v>1.5</v>
      </c>
      <c r="V177" s="201">
        <f>VLOOKUP(Table2[[#This Row],[Course Title]],'TSD-Data'!$A$1:$F$83,5,FALSE)</f>
        <v>0.1</v>
      </c>
      <c r="W177" s="201"/>
      <c r="X177" s="200">
        <f>Table2[[#This Row],[Quotas]]-Table2[[#This Row],[Open Quotas]]</f>
        <v>51</v>
      </c>
      <c r="Y177" s="200">
        <v>0</v>
      </c>
      <c r="Z177" s="201">
        <v>13</v>
      </c>
      <c r="AA177" s="201">
        <v>0</v>
      </c>
      <c r="AB177" s="200">
        <v>0</v>
      </c>
      <c r="AC177" s="200">
        <v>0</v>
      </c>
      <c r="AD177" s="200">
        <v>0</v>
      </c>
      <c r="AE177" s="200" t="s">
        <v>442</v>
      </c>
      <c r="AF177" s="495">
        <f ca="1">Table2[[#This Row],[End Date]]+2-TODAY()</f>
        <v>-204</v>
      </c>
      <c r="AG177" s="496">
        <f>IF(ISBLANK(Table2[[#This Row],[Roster Received by]]),1,0)</f>
        <v>0</v>
      </c>
      <c r="AH177" s="496">
        <f ca="1">IF(Table2[[#This Row],[Start Date]]&gt;TODAY(),1,)</f>
        <v>0</v>
      </c>
      <c r="AI177" s="496">
        <f>IF(ISBLANK(Table2[[#This Row],[Primary Instructor]]),0,1)</f>
        <v>1</v>
      </c>
      <c r="AJ177" s="496">
        <f>IF(ISBLANK(Table2[[#This Row],[Instructor 2]]),0,1)</f>
        <v>0</v>
      </c>
      <c r="AK177" s="496">
        <f>AJ434</f>
        <v>1</v>
      </c>
      <c r="AL177" s="318">
        <v>949</v>
      </c>
      <c r="AM177" s="496">
        <v>2</v>
      </c>
      <c r="AN177" s="496" t="str">
        <f>VLOOKUP(Table2[[#This Row],[Course Title]],'TSD-Data'!$A$1:$G$83,7,FALSE)</f>
        <v>N8-RMI</v>
      </c>
      <c r="AO177" s="500">
        <f>Table2[[#This Row],[Quotas]]-Table2[[#This Row],[Graduates]]-Table2[[#This Row],[Fail]]</f>
        <v>987</v>
      </c>
    </row>
    <row r="178" spans="2:41" ht="15" customHeight="1" x14ac:dyDescent="0.25">
      <c r="B178" s="530"/>
      <c r="C178" s="530" t="s">
        <v>411</v>
      </c>
      <c r="D178" s="200" t="str">
        <f>VLOOKUP(Table2[[#This Row],[Course Title]],'TSD-Data'!$A$1:$E$83,2,FALSE)</f>
        <v>A-493-3012</v>
      </c>
      <c r="E178" s="200" t="str">
        <f>VLOOKUP(Table2[[#This Row],[Course Title]],'TSD-Data'!$A$1:$E$83,3,FALSE)</f>
        <v>31YF</v>
      </c>
      <c r="F178" s="530" t="s">
        <v>54</v>
      </c>
      <c r="G178" s="531">
        <v>46038</v>
      </c>
      <c r="H178" s="531">
        <v>46038</v>
      </c>
      <c r="I178" s="531" t="s">
        <v>42</v>
      </c>
      <c r="J178" s="532"/>
      <c r="K178" s="532">
        <v>0.33333333333333331</v>
      </c>
      <c r="L178" s="532">
        <v>0.20833333333333334</v>
      </c>
      <c r="M178" s="532">
        <v>0.66666666666666663</v>
      </c>
      <c r="N178" s="532">
        <v>0.58333333333333337</v>
      </c>
      <c r="O178" s="532">
        <v>0.125</v>
      </c>
      <c r="P178" s="532">
        <v>0.91666666666666663</v>
      </c>
      <c r="Q178" s="535" t="s">
        <v>441</v>
      </c>
      <c r="R178" s="535"/>
      <c r="S178" s="535"/>
      <c r="T178" s="200">
        <f>VLOOKUP(Table2[[#This Row],[Course Title]],'TSD-Data'!$A$1:$E$83,4,FALSE)</f>
        <v>1000</v>
      </c>
      <c r="U178" s="200">
        <f>VLOOKUP(Table2[[#This Row],[Course Title]],'TSD-Data'!$A$1:$F$83,6,FALSE)</f>
        <v>1</v>
      </c>
      <c r="V178" s="201">
        <f>VLOOKUP(Table2[[#This Row],[Course Title]],'TSD-Data'!$A$1:$F$83,5,FALSE)</f>
        <v>0.1</v>
      </c>
      <c r="W178" s="201"/>
      <c r="X178" s="200">
        <f>Table2[[#This Row],[Quotas]]-Table2[[#This Row],[Open Quotas]]</f>
        <v>51</v>
      </c>
      <c r="Y178" s="200">
        <v>0</v>
      </c>
      <c r="Z178" s="201">
        <v>16</v>
      </c>
      <c r="AA178" s="201">
        <v>0</v>
      </c>
      <c r="AB178" s="200">
        <v>0</v>
      </c>
      <c r="AC178" s="200">
        <v>0</v>
      </c>
      <c r="AD178" s="200">
        <v>0</v>
      </c>
      <c r="AE178" s="200" t="s">
        <v>442</v>
      </c>
      <c r="AF178" s="495">
        <f ca="1">Table2[[#This Row],[End Date]]+2-TODAY()</f>
        <v>-204</v>
      </c>
      <c r="AG178" s="496">
        <f>IF(ISBLANK(Table2[[#This Row],[Roster Received by]]),1,0)</f>
        <v>0</v>
      </c>
      <c r="AH178" s="496">
        <f ca="1">IF(Table2[[#This Row],[Start Date]]&gt;TODAY(),1,)</f>
        <v>0</v>
      </c>
      <c r="AI178" s="496">
        <f>IF(ISBLANK(Table2[[#This Row],[Primary Instructor]]),0,1)</f>
        <v>1</v>
      </c>
      <c r="AJ178" s="496">
        <f>IF(ISBLANK(Table2[[#This Row],[Instructor 2]]),0,1)</f>
        <v>0</v>
      </c>
      <c r="AK178" s="496">
        <f>AJ435</f>
        <v>1</v>
      </c>
      <c r="AL178" s="318">
        <v>949</v>
      </c>
      <c r="AM178" s="496">
        <v>2</v>
      </c>
      <c r="AN178" s="496" t="str">
        <f>VLOOKUP(Table2[[#This Row],[Course Title]],'TSD-Data'!$A$1:$G$83,7,FALSE)</f>
        <v>N8-RMI</v>
      </c>
      <c r="AO178" s="500">
        <f>Table2[[#This Row],[Quotas]]-Table2[[#This Row],[Graduates]]-Table2[[#This Row],[Fail]]</f>
        <v>984</v>
      </c>
    </row>
    <row r="179" spans="2:41" s="202" customFormat="1" ht="15" customHeight="1" x14ac:dyDescent="0.25">
      <c r="B179" s="530"/>
      <c r="C179" s="530" t="s">
        <v>412</v>
      </c>
      <c r="D179" s="200" t="str">
        <f>VLOOKUP(Table2[[#This Row],[Course Title]],'TSD-Data'!$A$1:$E$83,2,FALSE)</f>
        <v>A-493-3009</v>
      </c>
      <c r="E179" s="200" t="str">
        <f>VLOOKUP(Table2[[#This Row],[Course Title]],'TSD-Data'!$A$1:$E$83,3,FALSE)</f>
        <v>31VB</v>
      </c>
      <c r="F179" s="530" t="s">
        <v>54</v>
      </c>
      <c r="G179" s="531">
        <v>46038</v>
      </c>
      <c r="H179" s="531">
        <v>46038</v>
      </c>
      <c r="I179" s="531" t="s">
        <v>42</v>
      </c>
      <c r="J179" s="532"/>
      <c r="K179" s="532">
        <v>0.4375</v>
      </c>
      <c r="L179" s="532">
        <v>0.3125</v>
      </c>
      <c r="M179" s="532">
        <v>0.77083333333333337</v>
      </c>
      <c r="N179" s="532">
        <v>0.6875</v>
      </c>
      <c r="O179" s="532">
        <v>0.22916666666666666</v>
      </c>
      <c r="P179" s="532">
        <v>2.0833333333333332E-2</v>
      </c>
      <c r="Q179" s="535" t="s">
        <v>441</v>
      </c>
      <c r="R179" s="535"/>
      <c r="S179" s="535"/>
      <c r="T179" s="200">
        <f>VLOOKUP(Table2[[#This Row],[Course Title]],'TSD-Data'!$A$1:$E$83,4,FALSE)</f>
        <v>1000</v>
      </c>
      <c r="U179" s="200">
        <f>VLOOKUP(Table2[[#This Row],[Course Title]],'TSD-Data'!$A$1:$F$83,6,FALSE)</f>
        <v>1.5</v>
      </c>
      <c r="V179" s="201">
        <f>VLOOKUP(Table2[[#This Row],[Course Title]],'TSD-Data'!$A$1:$F$83,5,FALSE)</f>
        <v>0.1</v>
      </c>
      <c r="W179" s="201"/>
      <c r="X179" s="200">
        <f>Table2[[#This Row],[Quotas]]-Table2[[#This Row],[Open Quotas]]</f>
        <v>51</v>
      </c>
      <c r="Y179" s="200">
        <v>0</v>
      </c>
      <c r="Z179" s="201">
        <v>15</v>
      </c>
      <c r="AA179" s="201">
        <v>0</v>
      </c>
      <c r="AB179" s="200">
        <v>0</v>
      </c>
      <c r="AC179" s="200">
        <v>0</v>
      </c>
      <c r="AD179" s="200">
        <v>0</v>
      </c>
      <c r="AE179" s="200" t="s">
        <v>442</v>
      </c>
      <c r="AF179" s="495">
        <f ca="1">Table2[[#This Row],[End Date]]+2-TODAY()</f>
        <v>-204</v>
      </c>
      <c r="AG179" s="496">
        <f>IF(ISBLANK(Table2[[#This Row],[Roster Received by]]),1,0)</f>
        <v>0</v>
      </c>
      <c r="AH179" s="496">
        <f ca="1">IF(Table2[[#This Row],[Start Date]]&gt;TODAY(),1,)</f>
        <v>0</v>
      </c>
      <c r="AI179" s="496">
        <f>IF(ISBLANK(Table2[[#This Row],[Primary Instructor]]),0,1)</f>
        <v>1</v>
      </c>
      <c r="AJ179" s="496">
        <f>IF(ISBLANK(Table2[[#This Row],[Instructor 2]]),0,1)</f>
        <v>0</v>
      </c>
      <c r="AK179" s="496">
        <f>AJ436</f>
        <v>0</v>
      </c>
      <c r="AL179" s="318">
        <v>949</v>
      </c>
      <c r="AM179" s="496">
        <v>2</v>
      </c>
      <c r="AN179" s="496" t="str">
        <f>VLOOKUP(Table2[[#This Row],[Course Title]],'TSD-Data'!$A$1:$G$83,7,FALSE)</f>
        <v>N8-RMI</v>
      </c>
      <c r="AO179" s="500">
        <f>Table2[[#This Row],[Quotas]]-Table2[[#This Row],[Graduates]]-Table2[[#This Row],[Fail]]</f>
        <v>985</v>
      </c>
    </row>
    <row r="180" spans="2:41" s="202" customFormat="1" ht="15" customHeight="1" x14ac:dyDescent="0.25">
      <c r="B180" s="530" t="s">
        <v>223</v>
      </c>
      <c r="C180" s="542" t="s">
        <v>218</v>
      </c>
      <c r="D180" s="200" t="str">
        <f>VLOOKUP(Table2[[#This Row],[Course Title]],'TSD-Data'!$A$1:$E$83,2,FALSE)</f>
        <v>Holiday</v>
      </c>
      <c r="E180" s="200" t="str">
        <f>VLOOKUP(Table2[[#This Row],[Course Title]],'TSD-Data'!$A$1:$E$83,3,FALSE)</f>
        <v>Holiday</v>
      </c>
      <c r="F180" s="542" t="s">
        <v>218</v>
      </c>
      <c r="G180" s="531">
        <v>46041</v>
      </c>
      <c r="H180" s="531">
        <v>46041</v>
      </c>
      <c r="I180" s="531" t="s">
        <v>434</v>
      </c>
      <c r="J180" s="541"/>
      <c r="K180" s="541"/>
      <c r="L180" s="541"/>
      <c r="M180" s="541"/>
      <c r="N180" s="541"/>
      <c r="O180" s="541"/>
      <c r="P180" s="541"/>
      <c r="Q180" s="542" t="s">
        <v>435</v>
      </c>
      <c r="R180" s="542"/>
      <c r="S180" s="542"/>
      <c r="T180" s="200">
        <f>VLOOKUP(Table2[[#This Row],[Course Title]],'TSD-Data'!$A$1:$E$83,4,FALSE)</f>
        <v>0</v>
      </c>
      <c r="U180" s="200">
        <f>VLOOKUP(Table2[[#This Row],[Course Title]],'TSD-Data'!$A$1:$F$83,6,FALSE)</f>
        <v>0</v>
      </c>
      <c r="V180" s="201">
        <f>VLOOKUP(Table2[[#This Row],[Course Title]],'TSD-Data'!$A$1:$F$83,5,FALSE)</f>
        <v>0</v>
      </c>
      <c r="W180" s="543">
        <v>0</v>
      </c>
      <c r="X180" s="200">
        <f>Table2[[#This Row],[Quotas]]-Table2[[#This Row],[Open Quotas]]</f>
        <v>0</v>
      </c>
      <c r="Y180" s="541">
        <v>0</v>
      </c>
      <c r="Z180" s="541">
        <v>0</v>
      </c>
      <c r="AA180" s="541">
        <v>0</v>
      </c>
      <c r="AB180" s="541">
        <v>0</v>
      </c>
      <c r="AC180" s="541">
        <v>0</v>
      </c>
      <c r="AD180" s="541">
        <v>0</v>
      </c>
      <c r="AE180" s="541" t="s">
        <v>436</v>
      </c>
      <c r="AF180" s="495">
        <f ca="1">Table2[[#This Row],[End Date]]+2-TODAY()</f>
        <v>-201</v>
      </c>
      <c r="AG180" s="496">
        <f>IF(ISBLANK(Table2[[#This Row],[Roster Received by]]),1,0)</f>
        <v>0</v>
      </c>
      <c r="AH180" s="496">
        <f ca="1">IF(Table2[[#This Row],[Start Date]]&gt;TODAY(),1,)</f>
        <v>0</v>
      </c>
      <c r="AI180" s="496">
        <f>IF(ISBLANK(Table2[[#This Row],[Primary Instructor]]),0,1)</f>
        <v>1</v>
      </c>
      <c r="AJ180" s="496">
        <f>IF(ISBLANK(Table2[[#This Row],[Instructor 2]]),0,1)</f>
        <v>0</v>
      </c>
      <c r="AK180" s="496">
        <f>Table2[[#This Row],[Course Length (Hours)]]/(Table2[[#This Row],[1 Instructor]]+Table2[[#This Row],[2 Instructors]])</f>
        <v>0</v>
      </c>
      <c r="AL180" s="320">
        <v>0</v>
      </c>
      <c r="AM180" s="497">
        <v>2</v>
      </c>
      <c r="AN180" s="496" t="str">
        <f>VLOOKUP(Table2[[#This Row],[Course Title]],'TSD-Data'!$A$1:$G$83,7,FALSE)</f>
        <v>TSD</v>
      </c>
      <c r="AO180" s="500">
        <f>Table2[[#This Row],[Quotas]]-Table2[[#This Row],[Graduates]]-Table2[[#This Row],[Fail]]</f>
        <v>0</v>
      </c>
    </row>
    <row r="181" spans="2:41" ht="15" customHeight="1" x14ac:dyDescent="0.25">
      <c r="B181" s="530" t="s">
        <v>452</v>
      </c>
      <c r="C181" s="530" t="s">
        <v>453</v>
      </c>
      <c r="D181" s="200" t="str">
        <f>VLOOKUP(Table2[[#This Row],[Course Title]],'TSD-Data'!$A$1:$E$83,2,FALSE)</f>
        <v>Reserved</v>
      </c>
      <c r="E181" s="200" t="str">
        <f>VLOOKUP(Table2[[#This Row],[Course Title]],'TSD-Data'!$A$1:$E$83,3,FALSE)</f>
        <v xml:space="preserve">Reserved </v>
      </c>
      <c r="F181" s="530" t="s">
        <v>61</v>
      </c>
      <c r="G181" s="531">
        <v>46042</v>
      </c>
      <c r="H181" s="531">
        <v>46059</v>
      </c>
      <c r="I181" s="531" t="s">
        <v>434</v>
      </c>
      <c r="J181" s="532"/>
      <c r="K181" s="532"/>
      <c r="L181" s="531"/>
      <c r="M181" s="531"/>
      <c r="N181" s="531"/>
      <c r="O181" s="531"/>
      <c r="P181" s="531"/>
      <c r="Q181" s="535"/>
      <c r="R181" s="535"/>
      <c r="S181" s="535"/>
      <c r="T181" s="200">
        <f>VLOOKUP(Table2[[#This Row],[Course Title]],'TSD-Data'!$A$1:$E$83,4,FALSE)</f>
        <v>0</v>
      </c>
      <c r="U181" s="200">
        <f>VLOOKUP(Table2[[#This Row],[Course Title]],'TSD-Data'!$A$1:$F$83,6,FALSE)</f>
        <v>0</v>
      </c>
      <c r="V181" s="201">
        <f>VLOOKUP(Table2[[#This Row],[Course Title]],'TSD-Data'!$A$1:$F$83,5,FALSE)</f>
        <v>0</v>
      </c>
      <c r="W181" s="201">
        <v>0</v>
      </c>
      <c r="X181" s="200">
        <v>0</v>
      </c>
      <c r="Y181" s="200">
        <v>0</v>
      </c>
      <c r="Z181" s="201">
        <v>0</v>
      </c>
      <c r="AA181" s="201">
        <v>0</v>
      </c>
      <c r="AB181" s="200">
        <v>0</v>
      </c>
      <c r="AC181" s="200">
        <v>0</v>
      </c>
      <c r="AD181" s="200">
        <v>0</v>
      </c>
      <c r="AE181" s="541" t="s">
        <v>436</v>
      </c>
      <c r="AF181" s="495">
        <f ca="1">Table2[[#This Row],[End Date]]+2-TODAY()</f>
        <v>-183</v>
      </c>
      <c r="AG181" s="496">
        <f>IF(ISBLANK(Table2[[#This Row],[Roster Received by]]),1,0)</f>
        <v>0</v>
      </c>
      <c r="AH181" s="496">
        <f ca="1">IF(Table2[[#This Row],[Start Date]]&gt;TODAY(),1,)</f>
        <v>0</v>
      </c>
      <c r="AI181" s="496">
        <f>IF(ISBLANK(Table2[[#This Row],[Primary Instructor]]),0,1)</f>
        <v>0</v>
      </c>
      <c r="AJ181" s="496">
        <f>IF(ISBLANK(Table2[[#This Row],[Instructor 2]]),0,1)</f>
        <v>0</v>
      </c>
      <c r="AK181" s="496" t="e">
        <f>Table2[[#This Row],[Course Length (Hours)]]/(Table2[[#This Row],[1 Instructor]]+Table2[[#This Row],[2 Instructors]])</f>
        <v>#DIV/0!</v>
      </c>
      <c r="AL181" s="318"/>
      <c r="AM181" s="496">
        <v>0</v>
      </c>
      <c r="AN181" s="496" t="str">
        <f>VLOOKUP(Table2[[#This Row],[Course Title]],'TSD-Data'!$A$1:$G$83,7,FALSE)</f>
        <v>TSD</v>
      </c>
      <c r="AO181" s="500">
        <f>Table2[[#This Row],[Quotas]]-Table2[[#This Row],[Graduates]]-Table2[[#This Row],[Fail]]</f>
        <v>0</v>
      </c>
    </row>
    <row r="182" spans="2:41" s="202" customFormat="1" ht="15" customHeight="1" x14ac:dyDescent="0.25">
      <c r="B182" s="530"/>
      <c r="C182" s="542" t="s">
        <v>249</v>
      </c>
      <c r="D182" s="200" t="str">
        <f>VLOOKUP(Table2[[#This Row],[Course Title]],'TSD-Data'!$A$1:$E$83,2,FALSE)</f>
        <v>A-493-0331</v>
      </c>
      <c r="E182" s="200" t="str">
        <f>VLOOKUP(Table2[[#This Row],[Course Title]],'TSD-Data'!$A$1:$E$83,3,FALSE)</f>
        <v>10UG</v>
      </c>
      <c r="F182" s="530" t="s">
        <v>54</v>
      </c>
      <c r="G182" s="531">
        <v>46042</v>
      </c>
      <c r="H182" s="531">
        <v>46044</v>
      </c>
      <c r="I182" s="531" t="s">
        <v>42</v>
      </c>
      <c r="J182" s="532"/>
      <c r="K182" s="532">
        <v>0.33333333333333331</v>
      </c>
      <c r="L182" s="532">
        <v>0.20833333333333334</v>
      </c>
      <c r="M182" s="541">
        <v>1600</v>
      </c>
      <c r="N182" s="541">
        <v>1400</v>
      </c>
      <c r="O182" s="532">
        <v>0.125</v>
      </c>
      <c r="P182" s="541">
        <v>2200</v>
      </c>
      <c r="Q182" s="535" t="s">
        <v>437</v>
      </c>
      <c r="R182" s="535"/>
      <c r="S182" s="535"/>
      <c r="T182" s="200">
        <f>VLOOKUP(Table2[[#This Row],[Course Title]],'TSD-Data'!$A$1:$E$83,4,FALSE)</f>
        <v>45</v>
      </c>
      <c r="U182" s="200">
        <f>VLOOKUP(Table2[[#This Row],[Course Title]],'TSD-Data'!$A$1:$F$83,6,FALSE)</f>
        <v>24</v>
      </c>
      <c r="V182" s="201">
        <f>VLOOKUP(Table2[[#This Row],[Course Title]],'TSD-Data'!$A$1:$F$83,5,FALSE)</f>
        <v>3</v>
      </c>
      <c r="W182" s="201">
        <v>470</v>
      </c>
      <c r="X182" s="200">
        <f>Table2[[#This Row],[Quotas]]-Table2[[#This Row],[Open Quotas]]</f>
        <v>45</v>
      </c>
      <c r="Y182" s="200">
        <v>5</v>
      </c>
      <c r="Z182" s="201">
        <v>31</v>
      </c>
      <c r="AA182" s="201">
        <v>0</v>
      </c>
      <c r="AB182" s="200">
        <v>16</v>
      </c>
      <c r="AC182" s="200">
        <v>0</v>
      </c>
      <c r="AD182" s="200">
        <v>0</v>
      </c>
      <c r="AE182" s="200" t="s">
        <v>429</v>
      </c>
      <c r="AF182" s="495">
        <f ca="1">Table2[[#This Row],[End Date]]+2-TODAY()</f>
        <v>-198</v>
      </c>
      <c r="AG182" s="496">
        <f>IF(ISBLANK(Table2[[#This Row],[Roster Received by]]),1,0)</f>
        <v>0</v>
      </c>
      <c r="AH182" s="496">
        <f ca="1">IF(Table2[[#This Row],[Start Date]]&gt;TODAY(),1,)</f>
        <v>0</v>
      </c>
      <c r="AI182" s="496">
        <f>IF(ISBLANK(Table2[[#This Row],[Primary Instructor]]),0,1)</f>
        <v>1</v>
      </c>
      <c r="AJ182" s="496">
        <f>IF(ISBLANK(Table2[[#This Row],[Instructor 2]]),0,1)</f>
        <v>0</v>
      </c>
      <c r="AK182" s="496">
        <f>Table2[[#This Row],[Course Length (Hours)]]/(Table2[[#This Row],[1 Instructor]]+Table2[[#This Row],[2 Instructors]])</f>
        <v>24</v>
      </c>
      <c r="AL182" s="318">
        <v>0</v>
      </c>
      <c r="AM182" s="497">
        <v>2</v>
      </c>
      <c r="AN182" s="496" t="str">
        <f>VLOOKUP(Table2[[#This Row],[Course Title]],'TSD-Data'!$A$1:$G$83,7,FALSE)</f>
        <v>N3</v>
      </c>
      <c r="AO182" s="500">
        <f>Table2[[#This Row],[Quotas]]-Table2[[#This Row],[Graduates]]-Table2[[#This Row],[Fail]]</f>
        <v>14</v>
      </c>
    </row>
    <row r="183" spans="2:41" s="202" customFormat="1" ht="15" customHeight="1" x14ac:dyDescent="0.25">
      <c r="B183" s="530"/>
      <c r="C183" s="530" t="s">
        <v>252</v>
      </c>
      <c r="D183" s="200" t="str">
        <f>VLOOKUP(Table2[[#This Row],[Course Title]],'TSD-Data'!$A$1:$E$83,2,FALSE)</f>
        <v>A-493-0335</v>
      </c>
      <c r="E183" s="200" t="str">
        <f>VLOOKUP(Table2[[#This Row],[Course Title]],'TSD-Data'!$A$1:$E$83,3,FALSE)</f>
        <v>09ND</v>
      </c>
      <c r="F183" s="530" t="s">
        <v>54</v>
      </c>
      <c r="G183" s="531">
        <v>46042</v>
      </c>
      <c r="H183" s="531">
        <v>46045</v>
      </c>
      <c r="I183" s="531" t="s">
        <v>42</v>
      </c>
      <c r="J183" s="532"/>
      <c r="K183" s="532">
        <v>0.33333333333333331</v>
      </c>
      <c r="L183" s="532">
        <v>0.20833333333333334</v>
      </c>
      <c r="M183" s="541">
        <v>1600</v>
      </c>
      <c r="N183" s="541">
        <v>1400</v>
      </c>
      <c r="O183" s="532">
        <v>0.125</v>
      </c>
      <c r="P183" s="541">
        <v>2200</v>
      </c>
      <c r="Q183" s="535" t="s">
        <v>82</v>
      </c>
      <c r="R183" s="535"/>
      <c r="S183" s="535"/>
      <c r="T183" s="200">
        <f>VLOOKUP(Table2[[#This Row],[Course Title]],'TSD-Data'!$A$1:$E$83,4,FALSE)</f>
        <v>45</v>
      </c>
      <c r="U183" s="200">
        <f>VLOOKUP(Table2[[#This Row],[Course Title]],'TSD-Data'!$A$1:$F$83,6,FALSE)</f>
        <v>32</v>
      </c>
      <c r="V183" s="201">
        <f>VLOOKUP(Table2[[#This Row],[Course Title]],'TSD-Data'!$A$1:$F$83,5,FALSE)</f>
        <v>4</v>
      </c>
      <c r="W183" s="201">
        <v>301</v>
      </c>
      <c r="X183" s="200">
        <f>Table2[[#This Row],[Quotas]]-Table2[[#This Row],[Open Quotas]]</f>
        <v>17</v>
      </c>
      <c r="Y183" s="200">
        <v>0</v>
      </c>
      <c r="Z183" s="201">
        <v>16</v>
      </c>
      <c r="AA183" s="201">
        <v>0</v>
      </c>
      <c r="AB183" s="200">
        <v>1</v>
      </c>
      <c r="AC183" s="200">
        <v>0</v>
      </c>
      <c r="AD183" s="200">
        <v>0</v>
      </c>
      <c r="AE183" s="200" t="s">
        <v>429</v>
      </c>
      <c r="AF183" s="495">
        <f ca="1">Table2[[#This Row],[End Date]]+2-TODAY()</f>
        <v>-197</v>
      </c>
      <c r="AG183" s="496">
        <f>IF(ISBLANK(Table2[[#This Row],[Roster Received by]]),1,0)</f>
        <v>0</v>
      </c>
      <c r="AH183" s="496">
        <f ca="1">IF(Table2[[#This Row],[Start Date]]&gt;TODAY(),1,)</f>
        <v>0</v>
      </c>
      <c r="AI183" s="496">
        <f>IF(ISBLANK(Table2[[#This Row],[Primary Instructor]]),0,1)</f>
        <v>1</v>
      </c>
      <c r="AJ183" s="496">
        <f>IF(ISBLANK(Table2[[#This Row],[Instructor 2]]),0,1)</f>
        <v>0</v>
      </c>
      <c r="AK183" s="496">
        <f>Table2[[#This Row],[Course Length (Hours)]]/(Table2[[#This Row],[1 Instructor]]+Table2[[#This Row],[2 Instructors]])</f>
        <v>32</v>
      </c>
      <c r="AL183" s="318">
        <v>28</v>
      </c>
      <c r="AM183" s="497">
        <v>2</v>
      </c>
      <c r="AN183" s="496" t="str">
        <f>VLOOKUP(Table2[[#This Row],[Course Title]],'TSD-Data'!$A$1:$G$83,7,FALSE)</f>
        <v>N3</v>
      </c>
      <c r="AO183" s="500">
        <f>Table2[[#This Row],[Quotas]]-Table2[[#This Row],[Graduates]]-Table2[[#This Row],[Fail]]</f>
        <v>29</v>
      </c>
    </row>
    <row r="184" spans="2:41" s="202" customFormat="1" ht="15" customHeight="1" x14ac:dyDescent="0.25">
      <c r="B184" s="530" t="s">
        <v>454</v>
      </c>
      <c r="C184" s="530" t="s">
        <v>45</v>
      </c>
      <c r="D184" s="200" t="str">
        <f>VLOOKUP(Table2[[#This Row],[Course Title]],'TSD-Data'!$A$1:$E$83,2,FALSE)</f>
        <v>A-493-0013</v>
      </c>
      <c r="E184" s="200">
        <f>VLOOKUP(Table2[[#This Row],[Course Title]],'TSD-Data'!$A$1:$E$83,3,FALSE)</f>
        <v>3683</v>
      </c>
      <c r="F184" s="530" t="s">
        <v>312</v>
      </c>
      <c r="G184" s="531">
        <v>46042</v>
      </c>
      <c r="H184" s="531">
        <v>46044</v>
      </c>
      <c r="I184" s="531" t="s">
        <v>42</v>
      </c>
      <c r="J184" s="532">
        <v>0.33333333333333331</v>
      </c>
      <c r="K184" s="532"/>
      <c r="L184" s="531"/>
      <c r="M184" s="531"/>
      <c r="N184" s="531"/>
      <c r="O184" s="531"/>
      <c r="P184" s="531"/>
      <c r="Q184" s="535" t="s">
        <v>450</v>
      </c>
      <c r="R184" s="535"/>
      <c r="S184" s="535"/>
      <c r="T184" s="200">
        <f>VLOOKUP(Table2[[#This Row],[Course Title]],'TSD-Data'!$A$1:$E$83,4,FALSE)</f>
        <v>40</v>
      </c>
      <c r="U184" s="200">
        <f>VLOOKUP(Table2[[#This Row],[Course Title]],'TSD-Data'!$A$1:$F$83,6,FALSE)</f>
        <v>24</v>
      </c>
      <c r="V184" s="201">
        <f>VLOOKUP(Table2[[#This Row],[Course Title]],'TSD-Data'!$A$1:$F$83,5,FALSE)</f>
        <v>3</v>
      </c>
      <c r="W184" s="201">
        <v>20</v>
      </c>
      <c r="X184" s="200">
        <f>Table2[[#This Row],[Quotas]]-Table2[[#This Row],[Open Quotas]]</f>
        <v>18</v>
      </c>
      <c r="Y184" s="200">
        <v>0</v>
      </c>
      <c r="Z184" s="201">
        <v>16</v>
      </c>
      <c r="AA184" s="201">
        <v>0</v>
      </c>
      <c r="AB184" s="200">
        <v>3</v>
      </c>
      <c r="AC184" s="200">
        <v>1</v>
      </c>
      <c r="AD184" s="200">
        <v>0</v>
      </c>
      <c r="AE184" s="200" t="s">
        <v>428</v>
      </c>
      <c r="AF184" s="495">
        <f ca="1">Table2[[#This Row],[End Date]]+2-TODAY()</f>
        <v>-198</v>
      </c>
      <c r="AG184" s="496">
        <f>IF(ISBLANK(Table2[[#This Row],[Roster Received by]]),1,0)</f>
        <v>0</v>
      </c>
      <c r="AH184" s="496">
        <f ca="1">IF(Table2[[#This Row],[Start Date]]&gt;TODAY(),1,)</f>
        <v>0</v>
      </c>
      <c r="AI184" s="496">
        <f>IF(ISBLANK(Table2[[#This Row],[Primary Instructor]]),0,1)</f>
        <v>1</v>
      </c>
      <c r="AJ184" s="496">
        <f>IF(ISBLANK(Table2[[#This Row],[Instructor 2]]),0,1)</f>
        <v>0</v>
      </c>
      <c r="AK184" s="496">
        <f>Table2[[#This Row],[Course Length (Hours)]]/(Table2[[#This Row],[1 Instructor]]+Table2[[#This Row],[2 Instructors]])</f>
        <v>24</v>
      </c>
      <c r="AL184" s="318">
        <v>22</v>
      </c>
      <c r="AM184" s="497">
        <v>2</v>
      </c>
      <c r="AN184" s="496" t="str">
        <f>VLOOKUP(Table2[[#This Row],[Course Title]],'TSD-Data'!$A$1:$G$83,7,FALSE)</f>
        <v>N4</v>
      </c>
      <c r="AO184" s="500">
        <f>Table2[[#This Row],[Quotas]]-Table2[[#This Row],[Graduates]]-Table2[[#This Row],[Fail]]</f>
        <v>24</v>
      </c>
    </row>
    <row r="185" spans="2:41" s="202" customFormat="1" ht="15" customHeight="1" x14ac:dyDescent="0.25">
      <c r="B185" s="530"/>
      <c r="C185" s="530" t="s">
        <v>53</v>
      </c>
      <c r="D185" s="200" t="str">
        <f>VLOOKUP(Table2[[#This Row],[Course Title]],'TSD-Data'!$A$1:$E$83,2,FALSE)</f>
        <v>A-493-0078</v>
      </c>
      <c r="E185" s="200">
        <v>1228</v>
      </c>
      <c r="F185" s="530" t="s">
        <v>54</v>
      </c>
      <c r="G185" s="531">
        <v>46042</v>
      </c>
      <c r="H185" s="531">
        <v>46045</v>
      </c>
      <c r="I185" s="531" t="s">
        <v>42</v>
      </c>
      <c r="J185" s="532"/>
      <c r="K185" s="532">
        <v>0.33333333333333331</v>
      </c>
      <c r="L185" s="532">
        <v>0.20833333333333334</v>
      </c>
      <c r="M185" s="541">
        <v>1600</v>
      </c>
      <c r="N185" s="541">
        <v>1400</v>
      </c>
      <c r="O185" s="532">
        <v>0.125</v>
      </c>
      <c r="P185" s="541">
        <v>2200</v>
      </c>
      <c r="Q185" s="535" t="s">
        <v>55</v>
      </c>
      <c r="R185" s="535"/>
      <c r="S185" s="535"/>
      <c r="T185" s="200">
        <f>VLOOKUP(Table2[[#This Row],[Course Title]],'TSD-Data'!$A$1:$E$83,4,FALSE)</f>
        <v>45</v>
      </c>
      <c r="U185" s="200">
        <f>VLOOKUP(Table2[[#This Row],[Course Title]],'TSD-Data'!$A$1:$F$83,6,FALSE)</f>
        <v>32</v>
      </c>
      <c r="V185" s="201">
        <f>VLOOKUP(Table2[[#This Row],[Course Title]],'TSD-Data'!$A$1:$F$83,5,FALSE)</f>
        <v>4</v>
      </c>
      <c r="W185" s="201">
        <v>454</v>
      </c>
      <c r="X185" s="200">
        <f>Table2[[#This Row],[Quotas]]-Table2[[#This Row],[Open Quotas]]</f>
        <v>43</v>
      </c>
      <c r="Y185" s="200">
        <v>1</v>
      </c>
      <c r="Z185" s="201">
        <v>38</v>
      </c>
      <c r="AA185" s="201">
        <v>1</v>
      </c>
      <c r="AB185" s="200">
        <v>6</v>
      </c>
      <c r="AC185" s="200">
        <v>1</v>
      </c>
      <c r="AD185" s="200">
        <v>0</v>
      </c>
      <c r="AE185" s="200" t="s">
        <v>431</v>
      </c>
      <c r="AF185" s="495">
        <f ca="1">Table2[[#This Row],[End Date]]+2-TODAY()</f>
        <v>-197</v>
      </c>
      <c r="AG185" s="496">
        <f>IF(ISBLANK(Table2[[#This Row],[Roster Received by]]),1,0)</f>
        <v>0</v>
      </c>
      <c r="AH185" s="496">
        <f ca="1">IF(Table2[[#This Row],[Start Date]]&gt;TODAY(),1,)</f>
        <v>0</v>
      </c>
      <c r="AI185" s="496">
        <f>IF(ISBLANK(Table2[[#This Row],[Primary Instructor]]),0,1)</f>
        <v>1</v>
      </c>
      <c r="AJ185" s="496">
        <f>IF(ISBLANK(Table2[[#This Row],[Instructor 2]]),0,1)</f>
        <v>0</v>
      </c>
      <c r="AK185" s="496">
        <f>Table2[[#This Row],[Course Length (Hours)]]/(Table2[[#This Row],[1 Instructor]]+Table2[[#This Row],[2 Instructors]])</f>
        <v>32</v>
      </c>
      <c r="AL185" s="318">
        <v>2</v>
      </c>
      <c r="AM185" s="497">
        <v>2</v>
      </c>
      <c r="AN185" s="496" t="str">
        <f>VLOOKUP(Table2[[#This Row],[Course Title]],'TSD-Data'!$A$1:$G$83,7,FALSE)</f>
        <v>N5</v>
      </c>
      <c r="AO185" s="500">
        <f>Table2[[#This Row],[Quotas]]-Table2[[#This Row],[Graduates]]-Table2[[#This Row],[Fail]]</f>
        <v>6</v>
      </c>
    </row>
    <row r="186" spans="2:41" s="202" customFormat="1" ht="15" customHeight="1" x14ac:dyDescent="0.25">
      <c r="B186" s="530"/>
      <c r="C186" s="530" t="s">
        <v>276</v>
      </c>
      <c r="D186" s="200" t="str">
        <f>VLOOKUP(Table2[[#This Row],[Course Title]],'TSD-Data'!$A$1:$E$83,2,FALSE)</f>
        <v>A-493-0103</v>
      </c>
      <c r="E186" s="200" t="str">
        <f>VLOOKUP(Table2[[#This Row],[Course Title]],'TSD-Data'!$A$1:$E$83,3,FALSE)</f>
        <v>12JY</v>
      </c>
      <c r="F186" s="550" t="s">
        <v>121</v>
      </c>
      <c r="G186" s="531">
        <v>46048</v>
      </c>
      <c r="H186" s="531">
        <v>46052</v>
      </c>
      <c r="I186" s="531" t="s">
        <v>42</v>
      </c>
      <c r="J186" s="532">
        <v>0.33333333333333331</v>
      </c>
      <c r="K186" s="532"/>
      <c r="L186" s="531"/>
      <c r="M186" s="531"/>
      <c r="N186" s="531"/>
      <c r="O186" s="531"/>
      <c r="P186" s="531"/>
      <c r="Q186" s="535" t="s">
        <v>280</v>
      </c>
      <c r="R186" s="535"/>
      <c r="S186" s="535"/>
      <c r="T186" s="200">
        <f>VLOOKUP(Table2[[#This Row],[Course Title]],'TSD-Data'!$A$1:$E$83,4,FALSE)</f>
        <v>25</v>
      </c>
      <c r="U186" s="200">
        <f>VLOOKUP(Table2[[#This Row],[Course Title]],'TSD-Data'!$A$1:$F$83,6,FALSE)</f>
        <v>40</v>
      </c>
      <c r="V186" s="201">
        <f>VLOOKUP(Table2[[#This Row],[Course Title]],'TSD-Data'!$A$1:$F$83,5,FALSE)</f>
        <v>5</v>
      </c>
      <c r="W186" s="201">
        <v>225</v>
      </c>
      <c r="X186" s="200">
        <f>Table2[[#This Row],[Quotas]]-Table2[[#This Row],[Open Quotas]]</f>
        <v>25</v>
      </c>
      <c r="Y186" s="200">
        <v>0</v>
      </c>
      <c r="Z186" s="201">
        <v>25</v>
      </c>
      <c r="AA186" s="201">
        <v>0</v>
      </c>
      <c r="AB186" s="200">
        <v>0</v>
      </c>
      <c r="AC186" s="200">
        <v>0</v>
      </c>
      <c r="AD186" s="200">
        <v>0</v>
      </c>
      <c r="AE186" s="200" t="s">
        <v>431</v>
      </c>
      <c r="AF186" s="495">
        <f ca="1">Table2[[#This Row],[End Date]]+2-TODAY()</f>
        <v>-190</v>
      </c>
      <c r="AG186" s="496">
        <f>IF(ISBLANK(Table2[[#This Row],[Roster Received by]]),1,0)</f>
        <v>0</v>
      </c>
      <c r="AH186" s="496">
        <f ca="1">IF(Table2[[#This Row],[Start Date]]&gt;TODAY(),1,)</f>
        <v>0</v>
      </c>
      <c r="AI186" s="496">
        <f>IF(ISBLANK(Table2[[#This Row],[Primary Instructor]]),0,1)</f>
        <v>1</v>
      </c>
      <c r="AJ186" s="496">
        <f>IF(ISBLANK(Table2[[#This Row],[Instructor 2]]),0,1)</f>
        <v>0</v>
      </c>
      <c r="AK186" s="496">
        <f>Table2[[#This Row],[Course Length (Hours)]]/(Table2[[#This Row],[1 Instructor]]+Table2[[#This Row],[2 Instructors]])</f>
        <v>40</v>
      </c>
      <c r="AL186" s="318">
        <v>0</v>
      </c>
      <c r="AM186" s="497">
        <v>2</v>
      </c>
      <c r="AN186" s="496" t="str">
        <f>VLOOKUP(Table2[[#This Row],[Course Title]],'TSD-Data'!$A$1:$G$83,7,FALSE)</f>
        <v>N5</v>
      </c>
      <c r="AO186" s="500">
        <f>Table2[[#This Row],[Quotas]]-Table2[[#This Row],[Graduates]]-Table2[[#This Row],[Fail]]</f>
        <v>0</v>
      </c>
    </row>
    <row r="187" spans="2:41" ht="15" customHeight="1" x14ac:dyDescent="0.25">
      <c r="B187" s="530"/>
      <c r="C187" s="530" t="s">
        <v>276</v>
      </c>
      <c r="D187" s="200" t="str">
        <f>VLOOKUP(Table2[[#This Row],[Course Title]],'TSD-Data'!$A$1:$E$83,2,FALSE)</f>
        <v>A-493-0103</v>
      </c>
      <c r="E187" s="200" t="str">
        <f>VLOOKUP(Table2[[#This Row],[Course Title]],'TSD-Data'!$A$1:$E$83,3,FALSE)</f>
        <v>12JY</v>
      </c>
      <c r="F187" s="530" t="s">
        <v>101</v>
      </c>
      <c r="G187" s="531">
        <v>46048</v>
      </c>
      <c r="H187" s="531">
        <v>46052</v>
      </c>
      <c r="I187" s="531" t="s">
        <v>42</v>
      </c>
      <c r="J187" s="532">
        <v>0.33333333333333331</v>
      </c>
      <c r="K187" s="532"/>
      <c r="L187" s="531"/>
      <c r="M187" s="531"/>
      <c r="N187" s="531"/>
      <c r="O187" s="531"/>
      <c r="P187" s="531"/>
      <c r="Q187" s="535" t="s">
        <v>280</v>
      </c>
      <c r="R187" s="535"/>
      <c r="S187" s="535"/>
      <c r="T187" s="200">
        <f>VLOOKUP(Table2[[#This Row],[Course Title]],'TSD-Data'!$A$1:$E$83,4,FALSE)</f>
        <v>25</v>
      </c>
      <c r="U187" s="200">
        <f>VLOOKUP(Table2[[#This Row],[Course Title]],'TSD-Data'!$A$1:$F$83,6,FALSE)</f>
        <v>40</v>
      </c>
      <c r="V187" s="201">
        <f>VLOOKUP(Table2[[#This Row],[Course Title]],'TSD-Data'!$A$1:$F$83,5,FALSE)</f>
        <v>5</v>
      </c>
      <c r="W187" s="201">
        <v>516</v>
      </c>
      <c r="X187" s="200">
        <f>Table2[[#This Row],[Quotas]]-Table2[[#This Row],[Open Quotas]]</f>
        <v>25</v>
      </c>
      <c r="Y187" s="200">
        <v>1</v>
      </c>
      <c r="Z187" s="201">
        <v>20</v>
      </c>
      <c r="AA187" s="201">
        <v>0</v>
      </c>
      <c r="AB187" s="200">
        <v>5</v>
      </c>
      <c r="AC187" s="200">
        <v>1</v>
      </c>
      <c r="AD187" s="200">
        <v>0</v>
      </c>
      <c r="AE187" s="200" t="s">
        <v>431</v>
      </c>
      <c r="AF187" s="495">
        <f ca="1">Table2[[#This Row],[End Date]]+2-TODAY()</f>
        <v>-190</v>
      </c>
      <c r="AG187" s="496">
        <f>IF(ISBLANK(Table2[[#This Row],[Roster Received by]]),1,0)</f>
        <v>0</v>
      </c>
      <c r="AH187" s="496">
        <f ca="1">IF(Table2[[#This Row],[Start Date]]&gt;TODAY(),1,)</f>
        <v>0</v>
      </c>
      <c r="AI187" s="496">
        <f>IF(ISBLANK(Table2[[#This Row],[Primary Instructor]]),0,1)</f>
        <v>1</v>
      </c>
      <c r="AJ187" s="496">
        <f>IF(ISBLANK(Table2[[#This Row],[Instructor 2]]),0,1)</f>
        <v>0</v>
      </c>
      <c r="AK187" s="496">
        <f>Table2[[#This Row],[Course Length (Hours)]]/(Table2[[#This Row],[1 Instructor]]+Table2[[#This Row],[2 Instructors]])</f>
        <v>40</v>
      </c>
      <c r="AL187" s="318">
        <v>0</v>
      </c>
      <c r="AM187" s="497">
        <v>2</v>
      </c>
      <c r="AN187" s="496" t="str">
        <f>VLOOKUP(Table2[[#This Row],[Course Title]],'TSD-Data'!$A$1:$G$83,7,FALSE)</f>
        <v>N5</v>
      </c>
      <c r="AO187" s="500">
        <f>Table2[[#This Row],[Quotas]]-Table2[[#This Row],[Graduates]]-Table2[[#This Row],[Fail]]</f>
        <v>5</v>
      </c>
    </row>
    <row r="188" spans="2:41" s="202" customFormat="1" ht="15" customHeight="1" x14ac:dyDescent="0.25">
      <c r="B188" s="530"/>
      <c r="C188" s="530" t="s">
        <v>271</v>
      </c>
      <c r="D188" s="200" t="str">
        <f>VLOOKUP(Table2[[#This Row],[Course Title]],'TSD-Data'!$A$1:$E$83,2,FALSE)</f>
        <v>A-493-0061</v>
      </c>
      <c r="E188" s="200" t="str">
        <f>VLOOKUP(Table2[[#This Row],[Course Title]],'TSD-Data'!$A$1:$E$83,3,FALSE)</f>
        <v>288E</v>
      </c>
      <c r="F188" s="530" t="s">
        <v>54</v>
      </c>
      <c r="G188" s="531">
        <v>46048</v>
      </c>
      <c r="H188" s="531">
        <v>46051</v>
      </c>
      <c r="I188" s="531" t="s">
        <v>42</v>
      </c>
      <c r="J188" s="532"/>
      <c r="K188" s="532">
        <v>0.33333333333333331</v>
      </c>
      <c r="L188" s="532">
        <v>0.20833333333333334</v>
      </c>
      <c r="M188" s="541">
        <v>1600</v>
      </c>
      <c r="N188" s="541">
        <v>1400</v>
      </c>
      <c r="O188" s="532">
        <v>0.125</v>
      </c>
      <c r="P188" s="541">
        <v>2200</v>
      </c>
      <c r="Q188" s="535" t="s">
        <v>148</v>
      </c>
      <c r="R188" s="535"/>
      <c r="S188" s="535"/>
      <c r="T188" s="200">
        <f>VLOOKUP(Table2[[#This Row],[Course Title]],'TSD-Data'!$A$1:$E$83,4,FALSE)</f>
        <v>45</v>
      </c>
      <c r="U188" s="200">
        <f>VLOOKUP(Table2[[#This Row],[Course Title]],'TSD-Data'!$A$1:$F$83,6,FALSE)</f>
        <v>30</v>
      </c>
      <c r="V188" s="201">
        <f>VLOOKUP(Table2[[#This Row],[Course Title]],'TSD-Data'!$A$1:$F$83,5,FALSE)</f>
        <v>4</v>
      </c>
      <c r="W188" s="201">
        <v>366</v>
      </c>
      <c r="X188" s="200">
        <f>Table2[[#This Row],[Quotas]]-Table2[[#This Row],[Open Quotas]]</f>
        <v>32</v>
      </c>
      <c r="Y188" s="200">
        <v>0</v>
      </c>
      <c r="Z188" s="201">
        <v>24</v>
      </c>
      <c r="AA188" s="201">
        <v>0</v>
      </c>
      <c r="AB188" s="200">
        <v>8</v>
      </c>
      <c r="AC188" s="200">
        <v>0</v>
      </c>
      <c r="AD188" s="200">
        <v>0</v>
      </c>
      <c r="AE188" s="200" t="s">
        <v>431</v>
      </c>
      <c r="AF188" s="495">
        <f ca="1">Table2[[#This Row],[End Date]]+2-TODAY()</f>
        <v>-191</v>
      </c>
      <c r="AG188" s="496">
        <f>IF(ISBLANK(Table2[[#This Row],[Roster Received by]]),1,0)</f>
        <v>0</v>
      </c>
      <c r="AH188" s="496">
        <f ca="1">IF(Table2[[#This Row],[Start Date]]&gt;TODAY(),1,)</f>
        <v>0</v>
      </c>
      <c r="AI188" s="496">
        <f>IF(ISBLANK(Table2[[#This Row],[Primary Instructor]]),0,1)</f>
        <v>1</v>
      </c>
      <c r="AJ188" s="496">
        <f>IF(ISBLANK(Table2[[#This Row],[Instructor 2]]),0,1)</f>
        <v>0</v>
      </c>
      <c r="AK188" s="496">
        <f>Table2[[#This Row],[Course Length (Hours)]]/(Table2[[#This Row],[1 Instructor]]+Table2[[#This Row],[2 Instructors]])</f>
        <v>30</v>
      </c>
      <c r="AL188" s="318">
        <v>13</v>
      </c>
      <c r="AM188" s="497">
        <v>2</v>
      </c>
      <c r="AN188" s="496" t="str">
        <f>VLOOKUP(Table2[[#This Row],[Course Title]],'TSD-Data'!$A$1:$G$83,7,FALSE)</f>
        <v>N5</v>
      </c>
      <c r="AO188" s="500">
        <f>Table2[[#This Row],[Quotas]]-Table2[[#This Row],[Graduates]]-Table2[[#This Row],[Fail]]</f>
        <v>21</v>
      </c>
    </row>
    <row r="189" spans="2:41" s="202" customFormat="1" ht="15" customHeight="1" x14ac:dyDescent="0.25">
      <c r="B189" s="530"/>
      <c r="C189" s="530" t="s">
        <v>213</v>
      </c>
      <c r="D189" s="200" t="str">
        <f>VLOOKUP(Table2[[#This Row],[Course Title]],'TSD-Data'!$A$1:$E$83,2,FALSE)</f>
        <v>A-322-2604</v>
      </c>
      <c r="E189" s="200" t="str">
        <f>VLOOKUP(Table2[[#This Row],[Course Title]],'TSD-Data'!$A$1:$E$83,3,FALSE)</f>
        <v>10ZZ</v>
      </c>
      <c r="F189" s="530" t="s">
        <v>54</v>
      </c>
      <c r="G189" s="531">
        <v>46048</v>
      </c>
      <c r="H189" s="531">
        <v>46050</v>
      </c>
      <c r="I189" s="531" t="s">
        <v>42</v>
      </c>
      <c r="J189" s="532"/>
      <c r="K189" s="532">
        <v>0.79166666666666663</v>
      </c>
      <c r="L189" s="536">
        <v>0.66666666666666663</v>
      </c>
      <c r="M189" s="536">
        <v>0.125</v>
      </c>
      <c r="N189" s="536">
        <v>4.1666666666666664E-2</v>
      </c>
      <c r="O189" s="536">
        <v>0.58333333333333337</v>
      </c>
      <c r="P189" s="536">
        <v>0.375</v>
      </c>
      <c r="Q189" s="535" t="s">
        <v>79</v>
      </c>
      <c r="R189" s="535"/>
      <c r="S189" s="535"/>
      <c r="T189" s="200">
        <f>VLOOKUP(Table2[[#This Row],[Course Title]],'TSD-Data'!$A$1:$E$83,4,FALSE)</f>
        <v>45</v>
      </c>
      <c r="U189" s="200">
        <f>VLOOKUP(Table2[[#This Row],[Course Title]],'TSD-Data'!$A$1:$F$83,6,FALSE)</f>
        <v>24</v>
      </c>
      <c r="V189" s="201">
        <f>VLOOKUP(Table2[[#This Row],[Course Title]],'TSD-Data'!$A$1:$F$83,5,FALSE)</f>
        <v>3</v>
      </c>
      <c r="W189" s="201">
        <v>174</v>
      </c>
      <c r="X189" s="200">
        <f>Table2[[#This Row],[Quotas]]-Table2[[#This Row],[Open Quotas]]</f>
        <v>44</v>
      </c>
      <c r="Y189" s="200">
        <v>1</v>
      </c>
      <c r="Z189" s="201">
        <v>38</v>
      </c>
      <c r="AA189" s="201">
        <v>2</v>
      </c>
      <c r="AB189" s="200">
        <v>7</v>
      </c>
      <c r="AC189" s="200">
        <v>1</v>
      </c>
      <c r="AD189" s="200">
        <v>0</v>
      </c>
      <c r="AE189" s="200" t="s">
        <v>431</v>
      </c>
      <c r="AF189" s="495">
        <f ca="1">Table2[[#This Row],[End Date]]+2-TODAY()</f>
        <v>-192</v>
      </c>
      <c r="AG189" s="496">
        <f>IF(ISBLANK(Table2[[#This Row],[Roster Received by]]),1,0)</f>
        <v>0</v>
      </c>
      <c r="AH189" s="496">
        <f ca="1">IF(Table2[[#This Row],[Start Date]]&gt;TODAY(),1,)</f>
        <v>0</v>
      </c>
      <c r="AI189" s="496">
        <f>IF(ISBLANK(Table2[[#This Row],[Primary Instructor]]),0,1)</f>
        <v>1</v>
      </c>
      <c r="AJ189" s="496">
        <f>IF(ISBLANK(Table2[[#This Row],[Instructor 2]]),0,1)</f>
        <v>0</v>
      </c>
      <c r="AK189" s="496">
        <f>Table2[[#This Row],[Course Length (Hours)]]/(Table2[[#This Row],[1 Instructor]]+Table2[[#This Row],[2 Instructors]])</f>
        <v>24</v>
      </c>
      <c r="AL189" s="318">
        <v>1</v>
      </c>
      <c r="AM189" s="497">
        <v>2</v>
      </c>
      <c r="AN189" s="496" t="str">
        <f>VLOOKUP(Table2[[#This Row],[Course Title]],'TSD-Data'!$A$1:$G$83,7,FALSE)</f>
        <v>N8</v>
      </c>
      <c r="AO189" s="500">
        <f>Table2[[#This Row],[Quotas]]-Table2[[#This Row],[Graduates]]-Table2[[#This Row],[Fail]]</f>
        <v>5</v>
      </c>
    </row>
    <row r="190" spans="2:41" s="202" customFormat="1" ht="15" customHeight="1" x14ac:dyDescent="0.25">
      <c r="B190" s="530"/>
      <c r="C190" s="530" t="s">
        <v>229</v>
      </c>
      <c r="D190" s="200" t="str">
        <f>VLOOKUP(Table2[[#This Row],[Course Title]],'TSD-Data'!$A$1:$E$83,2,FALSE)</f>
        <v>A-570-0100</v>
      </c>
      <c r="E190" s="200" t="str">
        <f>VLOOKUP(Table2[[#This Row],[Course Title]],'TSD-Data'!$A$1:$E$83,3,FALSE)</f>
        <v>18B7</v>
      </c>
      <c r="F190" s="530" t="s">
        <v>54</v>
      </c>
      <c r="G190" s="531">
        <v>46048</v>
      </c>
      <c r="H190" s="531">
        <v>46049</v>
      </c>
      <c r="I190" s="531" t="s">
        <v>42</v>
      </c>
      <c r="J190" s="532"/>
      <c r="K190" s="532">
        <v>0.79166666666666663</v>
      </c>
      <c r="L190" s="546">
        <v>0.66666666666666663</v>
      </c>
      <c r="M190" s="536">
        <v>0.125</v>
      </c>
      <c r="N190" s="536">
        <v>4.1666666666666664E-2</v>
      </c>
      <c r="O190" s="536">
        <v>0.58333333333333337</v>
      </c>
      <c r="P190" s="536">
        <v>0.375</v>
      </c>
      <c r="Q190" s="535" t="s">
        <v>432</v>
      </c>
      <c r="R190" s="535"/>
      <c r="S190" s="535"/>
      <c r="T190" s="200">
        <f>VLOOKUP(Table2[[#This Row],[Course Title]],'TSD-Data'!$A$1:$E$83,4,FALSE)</f>
        <v>45</v>
      </c>
      <c r="U190" s="200">
        <f>VLOOKUP(Table2[[#This Row],[Course Title]],'TSD-Data'!$A$1:$F$83,6,FALSE)</f>
        <v>16</v>
      </c>
      <c r="V190" s="201">
        <f>VLOOKUP(Table2[[#This Row],[Course Title]],'TSD-Data'!$A$1:$F$83,5,FALSE)</f>
        <v>2</v>
      </c>
      <c r="W190" s="201">
        <v>126</v>
      </c>
      <c r="X190" s="200">
        <f>Table2[[#This Row],[Quotas]]-Table2[[#This Row],[Open Quotas]]</f>
        <v>17</v>
      </c>
      <c r="Y190" s="200">
        <v>0</v>
      </c>
      <c r="Z190" s="201">
        <v>15</v>
      </c>
      <c r="AA190" s="201">
        <v>0</v>
      </c>
      <c r="AB190" s="200">
        <v>2</v>
      </c>
      <c r="AC190" s="200">
        <v>0</v>
      </c>
      <c r="AD190" s="200">
        <v>0</v>
      </c>
      <c r="AE190" s="200" t="s">
        <v>429</v>
      </c>
      <c r="AF190" s="495">
        <f ca="1">Table2[[#This Row],[End Date]]+2-TODAY()</f>
        <v>-193</v>
      </c>
      <c r="AG190" s="496">
        <f>IF(ISBLANK(Table2[[#This Row],[Roster Received by]]),1,0)</f>
        <v>0</v>
      </c>
      <c r="AH190" s="496">
        <f ca="1">IF(Table2[[#This Row],[Start Date]]&gt;TODAY(),1,)</f>
        <v>0</v>
      </c>
      <c r="AI190" s="496">
        <f>IF(ISBLANK(Table2[[#This Row],[Primary Instructor]]),0,1)</f>
        <v>1</v>
      </c>
      <c r="AJ190" s="496">
        <f>IF(ISBLANK(Table2[[#This Row],[Instructor 2]]),0,1)</f>
        <v>0</v>
      </c>
      <c r="AK190" s="496">
        <f>Table2[[#This Row],[Course Length (Hours)]]/(Table2[[#This Row],[1 Instructor]]+Table2[[#This Row],[2 Instructors]])</f>
        <v>16</v>
      </c>
      <c r="AL190" s="318">
        <v>28</v>
      </c>
      <c r="AM190" s="497">
        <v>2</v>
      </c>
      <c r="AN190" s="496" t="str">
        <f>VLOOKUP(Table2[[#This Row],[Course Title]],'TSD-Data'!$A$1:$G$83,7,FALSE)</f>
        <v>N8</v>
      </c>
      <c r="AO190" s="500">
        <f>Table2[[#This Row],[Quotas]]-Table2[[#This Row],[Graduates]]-Table2[[#This Row],[Fail]]</f>
        <v>30</v>
      </c>
    </row>
    <row r="191" spans="2:41" s="368" customFormat="1" ht="15" customHeight="1" x14ac:dyDescent="0.25">
      <c r="B191" s="530"/>
      <c r="C191" s="530" t="s">
        <v>77</v>
      </c>
      <c r="D191" s="200" t="str">
        <f>VLOOKUP(Table2[[#This Row],[Course Title]],'TSD-Data'!$A$1:$E$83,2,FALSE)</f>
        <v>A-493-0072</v>
      </c>
      <c r="E191" s="200" t="str">
        <f>VLOOKUP(Table2[[#This Row],[Course Title]],'TSD-Data'!$A$1:$E$83,3,FALSE)</f>
        <v>713U</v>
      </c>
      <c r="F191" s="530" t="s">
        <v>81</v>
      </c>
      <c r="G191" s="531">
        <v>46048</v>
      </c>
      <c r="H191" s="531">
        <v>46052</v>
      </c>
      <c r="I191" s="531" t="s">
        <v>42</v>
      </c>
      <c r="J191" s="532">
        <v>0.33333333333333331</v>
      </c>
      <c r="K191" s="532"/>
      <c r="L191" s="531"/>
      <c r="M191" s="531"/>
      <c r="N191" s="531"/>
      <c r="O191" s="531"/>
      <c r="P191" s="531"/>
      <c r="Q191" s="535" t="s">
        <v>67</v>
      </c>
      <c r="R191" s="535" t="s">
        <v>437</v>
      </c>
      <c r="S191" s="535"/>
      <c r="T191" s="200">
        <f>VLOOKUP(Table2[[#This Row],[Course Title]],'TSD-Data'!$A$1:$E$83,4,FALSE)</f>
        <v>30</v>
      </c>
      <c r="U191" s="200">
        <f>VLOOKUP(Table2[[#This Row],[Course Title]],'TSD-Data'!$A$1:$F$83,6,FALSE)</f>
        <v>40</v>
      </c>
      <c r="V191" s="201">
        <f>VLOOKUP(Table2[[#This Row],[Course Title]],'TSD-Data'!$A$1:$F$83,5,FALSE)</f>
        <v>5</v>
      </c>
      <c r="W191" s="201">
        <v>99</v>
      </c>
      <c r="X191" s="200">
        <f>Table2[[#This Row],[Quotas]]-Table2[[#This Row],[Open Quotas]]</f>
        <v>23</v>
      </c>
      <c r="Y191" s="200">
        <v>0</v>
      </c>
      <c r="Z191" s="201">
        <v>22</v>
      </c>
      <c r="AA191" s="201">
        <v>0</v>
      </c>
      <c r="AB191" s="200">
        <v>4</v>
      </c>
      <c r="AC191" s="200">
        <v>3</v>
      </c>
      <c r="AD191" s="200">
        <v>0</v>
      </c>
      <c r="AE191" s="200" t="s">
        <v>429</v>
      </c>
      <c r="AF191" s="495">
        <f ca="1">Table2[[#This Row],[End Date]]+2-TODAY()</f>
        <v>-190</v>
      </c>
      <c r="AG191" s="496">
        <f>IF(ISBLANK(Table2[[#This Row],[Roster Received by]]),1,0)</f>
        <v>0</v>
      </c>
      <c r="AH191" s="496">
        <f ca="1">IF(Table2[[#This Row],[Start Date]]&gt;TODAY(),1,)</f>
        <v>0</v>
      </c>
      <c r="AI191" s="496">
        <f>IF(ISBLANK(Table2[[#This Row],[Primary Instructor]]),0,1)</f>
        <v>1</v>
      </c>
      <c r="AJ191" s="496">
        <f>IF(ISBLANK(Table2[[#This Row],[Instructor 2]]),0,1)</f>
        <v>1</v>
      </c>
      <c r="AK191" s="496">
        <f>Table2[[#This Row],[Course Length (Hours)]]/(Table2[[#This Row],[1 Instructor]]+Table2[[#This Row],[2 Instructors]])</f>
        <v>20</v>
      </c>
      <c r="AL191" s="318">
        <v>7</v>
      </c>
      <c r="AM191" s="497">
        <v>2</v>
      </c>
      <c r="AN191" s="496" t="str">
        <f>VLOOKUP(Table2[[#This Row],[Course Title]],'TSD-Data'!$A$1:$G$83,7,FALSE)</f>
        <v>N3</v>
      </c>
      <c r="AO191" s="500">
        <f>Table2[[#This Row],[Quotas]]-Table2[[#This Row],[Graduates]]-Table2[[#This Row],[Fail]]</f>
        <v>8</v>
      </c>
    </row>
    <row r="192" spans="2:41" s="202" customFormat="1" ht="15" customHeight="1" x14ac:dyDescent="0.25">
      <c r="B192" s="530"/>
      <c r="C192" s="530" t="s">
        <v>77</v>
      </c>
      <c r="D192" s="200" t="str">
        <f>VLOOKUP(Table2[[#This Row],[Course Title]],'TSD-Data'!$A$1:$E$83,2,FALSE)</f>
        <v>A-493-0072</v>
      </c>
      <c r="E192" s="200" t="str">
        <f>VLOOKUP(Table2[[#This Row],[Course Title]],'TSD-Data'!$A$1:$E$83,3,FALSE)</f>
        <v>713U</v>
      </c>
      <c r="F192" s="530" t="s">
        <v>101</v>
      </c>
      <c r="G192" s="531">
        <v>46048</v>
      </c>
      <c r="H192" s="531">
        <v>46052</v>
      </c>
      <c r="I192" s="531" t="s">
        <v>42</v>
      </c>
      <c r="J192" s="532">
        <v>0.33333333333333331</v>
      </c>
      <c r="K192" s="532"/>
      <c r="L192" s="531"/>
      <c r="M192" s="531"/>
      <c r="N192" s="531"/>
      <c r="O192" s="531"/>
      <c r="P192" s="531"/>
      <c r="Q192" s="535" t="s">
        <v>295</v>
      </c>
      <c r="R192" s="535"/>
      <c r="S192" s="535" t="s">
        <v>55</v>
      </c>
      <c r="T192" s="200">
        <f>VLOOKUP(Table2[[#This Row],[Course Title]],'TSD-Data'!$A$1:$E$83,4,FALSE)</f>
        <v>30</v>
      </c>
      <c r="U192" s="200">
        <f>VLOOKUP(Table2[[#This Row],[Course Title]],'TSD-Data'!$A$1:$F$83,6,FALSE)</f>
        <v>40</v>
      </c>
      <c r="V192" s="201">
        <f>VLOOKUP(Table2[[#This Row],[Course Title]],'TSD-Data'!$A$1:$F$83,5,FALSE)</f>
        <v>5</v>
      </c>
      <c r="W192" s="201">
        <v>265</v>
      </c>
      <c r="X192" s="200">
        <f>Table2[[#This Row],[Quotas]]-Table2[[#This Row],[Open Quotas]]</f>
        <v>30</v>
      </c>
      <c r="Y192" s="200">
        <v>3</v>
      </c>
      <c r="Z192" s="201">
        <v>27</v>
      </c>
      <c r="AA192" s="201">
        <v>0</v>
      </c>
      <c r="AB192" s="200">
        <v>6</v>
      </c>
      <c r="AC192" s="200">
        <v>3</v>
      </c>
      <c r="AD192" s="200">
        <v>0</v>
      </c>
      <c r="AE192" s="200" t="s">
        <v>429</v>
      </c>
      <c r="AF192" s="495">
        <f ca="1">Table2[[#This Row],[End Date]]+2-TODAY()</f>
        <v>-190</v>
      </c>
      <c r="AG192" s="496">
        <f>IF(ISBLANK(Table2[[#This Row],[Roster Received by]]),1,0)</f>
        <v>0</v>
      </c>
      <c r="AH192" s="496">
        <f ca="1">IF(Table2[[#This Row],[Start Date]]&gt;TODAY(),1,)</f>
        <v>0</v>
      </c>
      <c r="AI192" s="496">
        <f>IF(ISBLANK(Table2[[#This Row],[Primary Instructor]]),0,1)</f>
        <v>1</v>
      </c>
      <c r="AJ192" s="496">
        <f>IF(ISBLANK(Table2[[#This Row],[Instructor 2]]),0,1)</f>
        <v>0</v>
      </c>
      <c r="AK192" s="496">
        <f>Table2[[#This Row],[Course Length (Hours)]]/(Table2[[#This Row],[1 Instructor]]+Table2[[#This Row],[2 Instructors]])</f>
        <v>40</v>
      </c>
      <c r="AL192" s="318">
        <v>0</v>
      </c>
      <c r="AM192" s="496">
        <v>1</v>
      </c>
      <c r="AN192" s="496" t="str">
        <f>VLOOKUP(Table2[[#This Row],[Course Title]],'TSD-Data'!$A$1:$G$83,7,FALSE)</f>
        <v>N3</v>
      </c>
      <c r="AO192" s="500">
        <f>Table2[[#This Row],[Quotas]]-Table2[[#This Row],[Graduates]]-Table2[[#This Row],[Fail]]</f>
        <v>3</v>
      </c>
    </row>
    <row r="193" spans="2:41" s="202" customFormat="1" ht="15" customHeight="1" x14ac:dyDescent="0.25">
      <c r="B193" s="530"/>
      <c r="C193" s="530" t="s">
        <v>236</v>
      </c>
      <c r="D193" s="200" t="str">
        <f>VLOOKUP(Table2[[#This Row],[Course Title]],'TSD-Data'!$A$1:$E$83,2,FALSE)</f>
        <v>A-493-2098</v>
      </c>
      <c r="E193" s="200" t="str">
        <f>VLOOKUP(Table2[[#This Row],[Course Title]],'TSD-Data'!$A$1:$E$83,3,FALSE)</f>
        <v>09WW</v>
      </c>
      <c r="F193" s="530" t="s">
        <v>54</v>
      </c>
      <c r="G193" s="531">
        <v>46048</v>
      </c>
      <c r="H193" s="531">
        <v>46050</v>
      </c>
      <c r="I193" s="531" t="s">
        <v>42</v>
      </c>
      <c r="J193" s="532"/>
      <c r="K193" s="536">
        <v>0.5</v>
      </c>
      <c r="L193" s="536">
        <v>0.375</v>
      </c>
      <c r="M193" s="536">
        <v>0.83333333333333337</v>
      </c>
      <c r="N193" s="536">
        <v>0.75</v>
      </c>
      <c r="O193" s="536">
        <v>0.29166666666666669</v>
      </c>
      <c r="P193" s="536">
        <v>8.3333333333333329E-2</v>
      </c>
      <c r="Q193" s="535" t="s">
        <v>43</v>
      </c>
      <c r="R193" s="535"/>
      <c r="S193" s="535"/>
      <c r="T193" s="200">
        <f>VLOOKUP(Table2[[#This Row],[Course Title]],'TSD-Data'!$A$1:$E$83,4,FALSE)</f>
        <v>100</v>
      </c>
      <c r="U193" s="200">
        <f>VLOOKUP(Table2[[#This Row],[Course Title]],'TSD-Data'!$A$1:$F$83,6,FALSE)</f>
        <v>16</v>
      </c>
      <c r="V193" s="201">
        <f>VLOOKUP(Table2[[#This Row],[Course Title]],'TSD-Data'!$A$1:$F$83,5,FALSE)</f>
        <v>3</v>
      </c>
      <c r="W193" s="201">
        <v>1882</v>
      </c>
      <c r="X193" s="200">
        <f>Table2[[#This Row],[Quotas]]-Table2[[#This Row],[Open Quotas]]</f>
        <v>98</v>
      </c>
      <c r="Y193" s="200">
        <v>0</v>
      </c>
      <c r="Z193" s="201">
        <v>81</v>
      </c>
      <c r="AA193" s="201">
        <v>3</v>
      </c>
      <c r="AB193" s="200">
        <v>16</v>
      </c>
      <c r="AC193" s="200">
        <v>0</v>
      </c>
      <c r="AD193" s="200">
        <v>0</v>
      </c>
      <c r="AE193" s="200" t="s">
        <v>428</v>
      </c>
      <c r="AF193" s="495">
        <f ca="1">Table2[[#This Row],[End Date]]+2-TODAY()</f>
        <v>-192</v>
      </c>
      <c r="AG193" s="496">
        <f>IF(ISBLANK(Table2[[#This Row],[Roster Received by]]),1,0)</f>
        <v>0</v>
      </c>
      <c r="AH193" s="496">
        <f ca="1">IF(Table2[[#This Row],[Start Date]]&gt;TODAY(),1,)</f>
        <v>0</v>
      </c>
      <c r="AI193" s="496">
        <f>IF(ISBLANK(Table2[[#This Row],[Primary Instructor]]),0,1)</f>
        <v>1</v>
      </c>
      <c r="AJ193" s="496">
        <f>IF(ISBLANK(Table2[[#This Row],[Instructor 2]]),0,1)</f>
        <v>0</v>
      </c>
      <c r="AK193" s="496">
        <f>Table2[[#This Row],[Course Length (Hours)]]/(Table2[[#This Row],[1 Instructor]]+Table2[[#This Row],[2 Instructors]])</f>
        <v>16</v>
      </c>
      <c r="AL193" s="318">
        <v>2</v>
      </c>
      <c r="AM193" s="497">
        <v>2</v>
      </c>
      <c r="AN193" s="496" t="str">
        <f>VLOOKUP(Table2[[#This Row],[Course Title]],'TSD-Data'!$A$1:$G$83,7,FALSE)</f>
        <v>N8</v>
      </c>
      <c r="AO193" s="500">
        <f>Table2[[#This Row],[Quotas]]-Table2[[#This Row],[Graduates]]-Table2[[#This Row],[Fail]]</f>
        <v>16</v>
      </c>
    </row>
    <row r="194" spans="2:41" s="202" customFormat="1" ht="15" customHeight="1" x14ac:dyDescent="0.25">
      <c r="B194" s="530"/>
      <c r="C194" s="530" t="s">
        <v>275</v>
      </c>
      <c r="D194" s="200" t="str">
        <f>VLOOKUP(Table2[[#This Row],[Course Title]],'TSD-Data'!$A$1:$E$83,2,FALSE)</f>
        <v>A-493-0099</v>
      </c>
      <c r="E194" s="200" t="str">
        <f>VLOOKUP(Table2[[#This Row],[Course Title]],'TSD-Data'!$A$1:$E$83,3,FALSE)</f>
        <v>12JW</v>
      </c>
      <c r="F194" s="530" t="s">
        <v>54</v>
      </c>
      <c r="G194" s="531">
        <v>46049</v>
      </c>
      <c r="H194" s="531">
        <v>46051</v>
      </c>
      <c r="I194" s="531" t="s">
        <v>42</v>
      </c>
      <c r="J194" s="532"/>
      <c r="K194" s="536">
        <v>0.5</v>
      </c>
      <c r="L194" s="536">
        <v>0.375</v>
      </c>
      <c r="M194" s="536">
        <v>0.83333333333333337</v>
      </c>
      <c r="N194" s="536">
        <v>0.75</v>
      </c>
      <c r="O194" s="536">
        <v>0.29166666666666669</v>
      </c>
      <c r="P194" s="536">
        <v>8.3333333333333329E-2</v>
      </c>
      <c r="Q194" s="535" t="s">
        <v>274</v>
      </c>
      <c r="R194" s="535"/>
      <c r="S194" s="535"/>
      <c r="T194" s="200">
        <f>VLOOKUP(Table2[[#This Row],[Course Title]],'TSD-Data'!$A$1:$E$83,4,FALSE)</f>
        <v>45</v>
      </c>
      <c r="U194" s="200">
        <f>VLOOKUP(Table2[[#This Row],[Course Title]],'TSD-Data'!$A$1:$F$83,6,FALSE)</f>
        <v>24</v>
      </c>
      <c r="V194" s="201">
        <f>VLOOKUP(Table2[[#This Row],[Course Title]],'TSD-Data'!$A$1:$F$83,5,FALSE)</f>
        <v>3</v>
      </c>
      <c r="W194" s="201">
        <v>934</v>
      </c>
      <c r="X194" s="200">
        <f>Table2[[#This Row],[Quotas]]-Table2[[#This Row],[Open Quotas]]</f>
        <v>25</v>
      </c>
      <c r="Y194" s="200">
        <v>0</v>
      </c>
      <c r="Z194" s="201">
        <v>25</v>
      </c>
      <c r="AA194" s="201">
        <v>0</v>
      </c>
      <c r="AB194" s="200">
        <v>0</v>
      </c>
      <c r="AC194" s="200">
        <v>0</v>
      </c>
      <c r="AD194" s="200">
        <v>0</v>
      </c>
      <c r="AE194" s="200" t="s">
        <v>431</v>
      </c>
      <c r="AF194" s="495">
        <f ca="1">Table2[[#This Row],[End Date]]+2-TODAY()</f>
        <v>-191</v>
      </c>
      <c r="AG194" s="496">
        <f>IF(ISBLANK(Table2[[#This Row],[Roster Received by]]),1,0)</f>
        <v>0</v>
      </c>
      <c r="AH194" s="496">
        <f ca="1">IF(Table2[[#This Row],[Start Date]]&gt;TODAY(),1,)</f>
        <v>0</v>
      </c>
      <c r="AI194" s="496">
        <f>IF(ISBLANK(Table2[[#This Row],[Primary Instructor]]),0,1)</f>
        <v>1</v>
      </c>
      <c r="AJ194" s="496">
        <f>IF(ISBLANK(Table2[[#This Row],[Instructor 2]]),0,1)</f>
        <v>0</v>
      </c>
      <c r="AK194" s="496">
        <f>Table2[[#This Row],[Course Length (Hours)]]/(Table2[[#This Row],[1 Instructor]]+Table2[[#This Row],[2 Instructors]])</f>
        <v>24</v>
      </c>
      <c r="AL194" s="318">
        <v>20</v>
      </c>
      <c r="AM194" s="497">
        <v>2</v>
      </c>
      <c r="AN194" s="496" t="str">
        <f>VLOOKUP(Table2[[#This Row],[Course Title]],'TSD-Data'!$A$1:$G$83,7,FALSE)</f>
        <v>N5</v>
      </c>
      <c r="AO194" s="500">
        <f>Table2[[#This Row],[Quotas]]-Table2[[#This Row],[Graduates]]-Table2[[#This Row],[Fail]]</f>
        <v>20</v>
      </c>
    </row>
    <row r="195" spans="2:41" s="202" customFormat="1" ht="15" customHeight="1" x14ac:dyDescent="0.25">
      <c r="B195" s="530"/>
      <c r="C195" s="530" t="s">
        <v>276</v>
      </c>
      <c r="D195" s="200" t="str">
        <f>VLOOKUP(Table2[[#This Row],[Course Title]],'TSD-Data'!$A$1:$E$83,2,FALSE)</f>
        <v>A-493-0103</v>
      </c>
      <c r="E195" s="200" t="str">
        <f>VLOOKUP(Table2[[#This Row],[Course Title]],'TSD-Data'!$A$1:$E$83,3,FALSE)</f>
        <v>12JY</v>
      </c>
      <c r="F195" s="530" t="s">
        <v>41</v>
      </c>
      <c r="G195" s="531">
        <v>46055</v>
      </c>
      <c r="H195" s="531">
        <v>46059</v>
      </c>
      <c r="I195" s="531" t="s">
        <v>42</v>
      </c>
      <c r="J195" s="532">
        <v>0.33333333333333331</v>
      </c>
      <c r="K195" s="532"/>
      <c r="L195" s="531"/>
      <c r="M195" s="531"/>
      <c r="N195" s="531"/>
      <c r="O195" s="531"/>
      <c r="P195" s="531"/>
      <c r="Q195" s="535" t="s">
        <v>280</v>
      </c>
      <c r="R195" s="535"/>
      <c r="S195" s="535"/>
      <c r="T195" s="200">
        <f>VLOOKUP(Table2[[#This Row],[Course Title]],'TSD-Data'!$A$1:$E$83,4,FALSE)</f>
        <v>25</v>
      </c>
      <c r="U195" s="200">
        <f>VLOOKUP(Table2[[#This Row],[Course Title]],'TSD-Data'!$A$1:$F$83,6,FALSE)</f>
        <v>40</v>
      </c>
      <c r="V195" s="201">
        <f>VLOOKUP(Table2[[#This Row],[Course Title]],'TSD-Data'!$A$1:$F$83,5,FALSE)</f>
        <v>5</v>
      </c>
      <c r="W195" s="201">
        <v>116</v>
      </c>
      <c r="X195" s="200">
        <f>Table2[[#This Row],[Quotas]]-Table2[[#This Row],[Open Quotas]]</f>
        <v>23</v>
      </c>
      <c r="Y195" s="200">
        <v>0</v>
      </c>
      <c r="Z195" s="201">
        <v>18</v>
      </c>
      <c r="AA195" s="201">
        <v>0</v>
      </c>
      <c r="AB195" s="200">
        <v>9</v>
      </c>
      <c r="AC195" s="200">
        <v>2</v>
      </c>
      <c r="AD195" s="200">
        <v>0</v>
      </c>
      <c r="AE195" s="200" t="s">
        <v>431</v>
      </c>
      <c r="AF195" s="495">
        <f ca="1">Table2[[#This Row],[End Date]]+2-TODAY()</f>
        <v>-183</v>
      </c>
      <c r="AG195" s="496">
        <f>IF(ISBLANK(Table2[[#This Row],[Roster Received by]]),1,0)</f>
        <v>0</v>
      </c>
      <c r="AH195" s="496">
        <f ca="1">IF(Table2[[#This Row],[Start Date]]&gt;TODAY(),1,)</f>
        <v>0</v>
      </c>
      <c r="AI195" s="496">
        <f>IF(ISBLANK(Table2[[#This Row],[Primary Instructor]]),0,1)</f>
        <v>1</v>
      </c>
      <c r="AJ195" s="496">
        <f>IF(ISBLANK(Table2[[#This Row],[Instructor 2]]),0,1)</f>
        <v>0</v>
      </c>
      <c r="AK195" s="496">
        <f>Table2[[#This Row],[Course Length (Hours)]]/(Table2[[#This Row],[1 Instructor]]+Table2[[#This Row],[2 Instructors]])</f>
        <v>40</v>
      </c>
      <c r="AL195" s="318">
        <v>2</v>
      </c>
      <c r="AM195" s="497">
        <v>2</v>
      </c>
      <c r="AN195" s="496" t="str">
        <f>VLOOKUP(Table2[[#This Row],[Course Title]],'TSD-Data'!$A$1:$G$83,7,FALSE)</f>
        <v>N5</v>
      </c>
      <c r="AO195" s="500">
        <f>Table2[[#This Row],[Quotas]]-Table2[[#This Row],[Graduates]]-Table2[[#This Row],[Fail]]</f>
        <v>7</v>
      </c>
    </row>
    <row r="196" spans="2:41" s="202" customFormat="1" ht="15" customHeight="1" x14ac:dyDescent="0.25">
      <c r="B196" s="530"/>
      <c r="C196" s="530" t="s">
        <v>276</v>
      </c>
      <c r="D196" s="200" t="str">
        <f>VLOOKUP(Table2[[#This Row],[Course Title]],'TSD-Data'!$A$1:$E$83,2,FALSE)</f>
        <v>A-493-0103</v>
      </c>
      <c r="E196" s="200" t="str">
        <f>VLOOKUP(Table2[[#This Row],[Course Title]],'TSD-Data'!$A$1:$E$83,3,FALSE)</f>
        <v>12JY</v>
      </c>
      <c r="F196" s="530" t="s">
        <v>101</v>
      </c>
      <c r="G196" s="531">
        <v>46055</v>
      </c>
      <c r="H196" s="531">
        <v>46059</v>
      </c>
      <c r="I196" s="531" t="s">
        <v>42</v>
      </c>
      <c r="J196" s="532">
        <v>0.33333333333333331</v>
      </c>
      <c r="K196" s="532"/>
      <c r="L196" s="531"/>
      <c r="M196" s="531"/>
      <c r="N196" s="531"/>
      <c r="O196" s="531"/>
      <c r="P196" s="531"/>
      <c r="Q196" s="535" t="s">
        <v>280</v>
      </c>
      <c r="R196" s="535"/>
      <c r="S196" s="535"/>
      <c r="T196" s="200">
        <f>VLOOKUP(Table2[[#This Row],[Course Title]],'TSD-Data'!$A$1:$E$83,4,FALSE)</f>
        <v>25</v>
      </c>
      <c r="U196" s="200">
        <f>VLOOKUP(Table2[[#This Row],[Course Title]],'TSD-Data'!$A$1:$F$83,6,FALSE)</f>
        <v>40</v>
      </c>
      <c r="V196" s="201">
        <f>VLOOKUP(Table2[[#This Row],[Course Title]],'TSD-Data'!$A$1:$F$83,5,FALSE)</f>
        <v>5</v>
      </c>
      <c r="W196" s="201">
        <v>516</v>
      </c>
      <c r="X196" s="200">
        <f>Table2[[#This Row],[Quotas]]-Table2[[#This Row],[Open Quotas]]</f>
        <v>24</v>
      </c>
      <c r="Y196" s="200">
        <v>0</v>
      </c>
      <c r="Z196" s="201">
        <v>24</v>
      </c>
      <c r="AA196" s="201">
        <v>0</v>
      </c>
      <c r="AB196" s="200">
        <v>1</v>
      </c>
      <c r="AC196" s="200">
        <v>1</v>
      </c>
      <c r="AD196" s="200">
        <v>0</v>
      </c>
      <c r="AE196" s="200" t="s">
        <v>431</v>
      </c>
      <c r="AF196" s="495">
        <f ca="1">Table2[[#This Row],[End Date]]+2-TODAY()</f>
        <v>-183</v>
      </c>
      <c r="AG196" s="496">
        <f>IF(ISBLANK(Table2[[#This Row],[Roster Received by]]),1,0)</f>
        <v>0</v>
      </c>
      <c r="AH196" s="496">
        <f ca="1">IF(Table2[[#This Row],[Start Date]]&gt;TODAY(),1,)</f>
        <v>0</v>
      </c>
      <c r="AI196" s="496">
        <f>IF(ISBLANK(Table2[[#This Row],[Primary Instructor]]),0,1)</f>
        <v>1</v>
      </c>
      <c r="AJ196" s="496">
        <f>IF(ISBLANK(Table2[[#This Row],[Instructor 2]]),0,1)</f>
        <v>0</v>
      </c>
      <c r="AK196" s="496">
        <f>Table2[[#This Row],[Course Length (Hours)]]/(Table2[[#This Row],[1 Instructor]]+Table2[[#This Row],[2 Instructors]])</f>
        <v>40</v>
      </c>
      <c r="AL196" s="318">
        <v>1</v>
      </c>
      <c r="AM196" s="497">
        <v>2</v>
      </c>
      <c r="AN196" s="496" t="str">
        <f>VLOOKUP(Table2[[#This Row],[Course Title]],'TSD-Data'!$A$1:$G$83,7,FALSE)</f>
        <v>N5</v>
      </c>
      <c r="AO196" s="500">
        <f>Table2[[#This Row],[Quotas]]-Table2[[#This Row],[Graduates]]-Table2[[#This Row],[Fail]]</f>
        <v>1</v>
      </c>
    </row>
    <row r="197" spans="2:41" s="202" customFormat="1" ht="15" customHeight="1" x14ac:dyDescent="0.25">
      <c r="B197" s="530"/>
      <c r="C197" s="530" t="s">
        <v>56</v>
      </c>
      <c r="D197" s="200" t="str">
        <f>VLOOKUP(Table2[[#This Row],[Course Title]],'TSD-Data'!$A$1:$E$83,2,FALSE)</f>
        <v>A-493-0550</v>
      </c>
      <c r="E197" s="200" t="str">
        <f>VLOOKUP(Table2[[#This Row],[Course Title]],'TSD-Data'!$A$1:$E$83,3,FALSE)</f>
        <v>09K5</v>
      </c>
      <c r="F197" s="530" t="s">
        <v>54</v>
      </c>
      <c r="G197" s="531">
        <v>46055</v>
      </c>
      <c r="H197" s="531">
        <v>46058</v>
      </c>
      <c r="I197" s="531" t="s">
        <v>42</v>
      </c>
      <c r="J197" s="532"/>
      <c r="K197" s="536">
        <v>0.5</v>
      </c>
      <c r="L197" s="546">
        <v>0.375</v>
      </c>
      <c r="M197" s="536">
        <v>0.83333333333333337</v>
      </c>
      <c r="N197" s="536">
        <v>0.75</v>
      </c>
      <c r="O197" s="536">
        <v>0.29166666666666669</v>
      </c>
      <c r="P197" s="536">
        <v>8.3333333333333329E-2</v>
      </c>
      <c r="Q197" s="535" t="s">
        <v>427</v>
      </c>
      <c r="R197" s="535"/>
      <c r="S197" s="535"/>
      <c r="T197" s="200">
        <f>VLOOKUP(Table2[[#This Row],[Course Title]],'TSD-Data'!$A$1:$E$83,4,FALSE)</f>
        <v>45</v>
      </c>
      <c r="U197" s="200">
        <f>VLOOKUP(Table2[[#This Row],[Course Title]],'TSD-Data'!$A$1:$F$83,6,FALSE)</f>
        <v>32</v>
      </c>
      <c r="V197" s="201">
        <f>VLOOKUP(Table2[[#This Row],[Course Title]],'TSD-Data'!$A$1:$F$83,5,FALSE)</f>
        <v>4</v>
      </c>
      <c r="W197" s="201">
        <v>864</v>
      </c>
      <c r="X197" s="200">
        <f>Table2[[#This Row],[Quotas]]-Table2[[#This Row],[Open Quotas]]</f>
        <v>45</v>
      </c>
      <c r="Y197" s="200">
        <v>2</v>
      </c>
      <c r="Z197" s="201">
        <v>40</v>
      </c>
      <c r="AA197" s="201">
        <v>0</v>
      </c>
      <c r="AB197" s="200">
        <v>0</v>
      </c>
      <c r="AC197" s="200">
        <v>0</v>
      </c>
      <c r="AD197" s="200">
        <v>0</v>
      </c>
      <c r="AE197" s="200" t="s">
        <v>431</v>
      </c>
      <c r="AF197" s="495">
        <f ca="1">Table2[[#This Row],[End Date]]+2-TODAY()</f>
        <v>-184</v>
      </c>
      <c r="AG197" s="496">
        <f>IF(ISBLANK(Table2[[#This Row],[Roster Received by]]),1,0)</f>
        <v>0</v>
      </c>
      <c r="AH197" s="496">
        <f ca="1">IF(Table2[[#This Row],[Start Date]]&gt;TODAY(),1,)</f>
        <v>0</v>
      </c>
      <c r="AI197" s="496">
        <f>IF(ISBLANK(Table2[[#This Row],[Primary Instructor]]),0,1)</f>
        <v>1</v>
      </c>
      <c r="AJ197" s="496">
        <f>IF(ISBLANK(Table2[[#This Row],[Instructor 2]]),0,1)</f>
        <v>0</v>
      </c>
      <c r="AK197" s="496">
        <f>Table2[[#This Row],[Course Length (Hours)]]/(Table2[[#This Row],[1 Instructor]]+Table2[[#This Row],[2 Instructors]])</f>
        <v>32</v>
      </c>
      <c r="AL197" s="318">
        <v>0</v>
      </c>
      <c r="AM197" s="497">
        <v>2</v>
      </c>
      <c r="AN197" s="496" t="str">
        <f>VLOOKUP(Table2[[#This Row],[Course Title]],'TSD-Data'!$A$1:$G$83,7,FALSE)</f>
        <v>N5</v>
      </c>
      <c r="AO197" s="500">
        <f>Table2[[#This Row],[Quotas]]-Table2[[#This Row],[Graduates]]-Table2[[#This Row],[Fail]]</f>
        <v>5</v>
      </c>
    </row>
    <row r="198" spans="2:41" s="202" customFormat="1" ht="15" customHeight="1" x14ac:dyDescent="0.25">
      <c r="B198" s="530"/>
      <c r="C198" s="530" t="s">
        <v>229</v>
      </c>
      <c r="D198" s="200" t="str">
        <f>VLOOKUP(Table2[[#This Row],[Course Title]],'TSD-Data'!$A$1:$E$83,2,FALSE)</f>
        <v>A-570-0100</v>
      </c>
      <c r="E198" s="200" t="str">
        <f>VLOOKUP(Table2[[#This Row],[Course Title]],'TSD-Data'!$A$1:$E$83,3,FALSE)</f>
        <v>18B7</v>
      </c>
      <c r="F198" s="530" t="s">
        <v>54</v>
      </c>
      <c r="G198" s="531">
        <v>46055</v>
      </c>
      <c r="H198" s="531">
        <v>46056</v>
      </c>
      <c r="I198" s="531" t="s">
        <v>42</v>
      </c>
      <c r="J198" s="532"/>
      <c r="K198" s="536">
        <v>0.5</v>
      </c>
      <c r="L198" s="536">
        <v>0.375</v>
      </c>
      <c r="M198" s="536">
        <v>0.83333333333333337</v>
      </c>
      <c r="N198" s="536">
        <v>0.75</v>
      </c>
      <c r="O198" s="536">
        <v>0.29166666666666669</v>
      </c>
      <c r="P198" s="536">
        <v>8.3333333333333329E-2</v>
      </c>
      <c r="Q198" s="535" t="s">
        <v>432</v>
      </c>
      <c r="R198" s="535"/>
      <c r="S198" s="535"/>
      <c r="T198" s="200">
        <f>VLOOKUP(Table2[[#This Row],[Course Title]],'TSD-Data'!$A$1:$E$83,4,FALSE)</f>
        <v>45</v>
      </c>
      <c r="U198" s="200">
        <f>VLOOKUP(Table2[[#This Row],[Course Title]],'TSD-Data'!$A$1:$F$83,6,FALSE)</f>
        <v>16</v>
      </c>
      <c r="V198" s="201">
        <f>VLOOKUP(Table2[[#This Row],[Course Title]],'TSD-Data'!$A$1:$F$83,5,FALSE)</f>
        <v>2</v>
      </c>
      <c r="W198" s="201">
        <v>663</v>
      </c>
      <c r="X198" s="200">
        <f>Table2[[#This Row],[Quotas]]-Table2[[#This Row],[Open Quotas]]</f>
        <v>15</v>
      </c>
      <c r="Y198" s="200">
        <v>0</v>
      </c>
      <c r="Z198" s="201">
        <v>13</v>
      </c>
      <c r="AA198" s="201">
        <v>0</v>
      </c>
      <c r="AB198" s="200">
        <v>3</v>
      </c>
      <c r="AC198" s="200">
        <v>0</v>
      </c>
      <c r="AD198" s="200">
        <v>0</v>
      </c>
      <c r="AE198" s="200" t="s">
        <v>429</v>
      </c>
      <c r="AF198" s="495">
        <f ca="1">Table2[[#This Row],[End Date]]+2-TODAY()</f>
        <v>-186</v>
      </c>
      <c r="AG198" s="496">
        <f>IF(ISBLANK(Table2[[#This Row],[Roster Received by]]),1,0)</f>
        <v>0</v>
      </c>
      <c r="AH198" s="496">
        <f ca="1">IF(Table2[[#This Row],[Start Date]]&gt;TODAY(),1,)</f>
        <v>0</v>
      </c>
      <c r="AI198" s="496">
        <f>IF(ISBLANK(Table2[[#This Row],[Primary Instructor]]),0,1)</f>
        <v>1</v>
      </c>
      <c r="AJ198" s="496">
        <f>IF(ISBLANK(Table2[[#This Row],[Instructor 2]]),0,1)</f>
        <v>0</v>
      </c>
      <c r="AK198" s="496">
        <f>Table2[[#This Row],[Course Length (Hours)]]/(Table2[[#This Row],[1 Instructor]]+Table2[[#This Row],[2 Instructors]])</f>
        <v>16</v>
      </c>
      <c r="AL198" s="318">
        <v>30</v>
      </c>
      <c r="AM198" s="497">
        <v>2</v>
      </c>
      <c r="AN198" s="496" t="str">
        <f>VLOOKUP(Table2[[#This Row],[Course Title]],'TSD-Data'!$A$1:$G$83,7,FALSE)</f>
        <v>N8</v>
      </c>
      <c r="AO198" s="500">
        <f>Table2[[#This Row],[Quotas]]-Table2[[#This Row],[Graduates]]-Table2[[#This Row],[Fail]]</f>
        <v>32</v>
      </c>
    </row>
    <row r="199" spans="2:41" s="202" customFormat="1" ht="15" customHeight="1" x14ac:dyDescent="0.25">
      <c r="B199" s="530"/>
      <c r="C199" s="530" t="s">
        <v>70</v>
      </c>
      <c r="D199" s="200" t="str">
        <f>VLOOKUP(Table2[[#This Row],[Course Title]],'TSD-Data'!$A$1:$E$83,2,FALSE)</f>
        <v>A-493-0077</v>
      </c>
      <c r="E199" s="200" t="str">
        <f>VLOOKUP(Table2[[#This Row],[Course Title]],'TSD-Data'!$A$1:$E$83,3,FALSE)</f>
        <v>0381</v>
      </c>
      <c r="F199" s="530" t="s">
        <v>300</v>
      </c>
      <c r="G199" s="531">
        <v>46056</v>
      </c>
      <c r="H199" s="531">
        <v>46058</v>
      </c>
      <c r="I199" s="531" t="s">
        <v>42</v>
      </c>
      <c r="J199" s="532">
        <v>0.33333333333333331</v>
      </c>
      <c r="K199" s="532"/>
      <c r="L199" s="531"/>
      <c r="M199" s="531"/>
      <c r="N199" s="531"/>
      <c r="O199" s="531"/>
      <c r="P199" s="531"/>
      <c r="Q199" s="535" t="s">
        <v>48</v>
      </c>
      <c r="R199" s="535"/>
      <c r="S199" s="535"/>
      <c r="T199" s="200">
        <f>VLOOKUP(Table2[[#This Row],[Course Title]],'TSD-Data'!$A$1:$E$83,4,FALSE)</f>
        <v>25</v>
      </c>
      <c r="U199" s="200">
        <f>VLOOKUP(Table2[[#This Row],[Course Title]],'TSD-Data'!$A$1:$F$83,6,FALSE)</f>
        <v>24</v>
      </c>
      <c r="V199" s="201">
        <f>VLOOKUP(Table2[[#This Row],[Course Title]],'TSD-Data'!$A$1:$F$83,5,FALSE)</f>
        <v>3</v>
      </c>
      <c r="W199" s="201">
        <v>52</v>
      </c>
      <c r="X199" s="200">
        <f>Table2[[#This Row],[Quotas]]-Table2[[#This Row],[Open Quotas]]</f>
        <v>2</v>
      </c>
      <c r="Y199" s="200">
        <v>0</v>
      </c>
      <c r="Z199" s="201">
        <v>3</v>
      </c>
      <c r="AA199" s="201">
        <v>0</v>
      </c>
      <c r="AB199" s="200">
        <v>0</v>
      </c>
      <c r="AC199" s="200">
        <v>1</v>
      </c>
      <c r="AD199" s="200">
        <v>0</v>
      </c>
      <c r="AE199" s="200" t="s">
        <v>428</v>
      </c>
      <c r="AF199" s="495">
        <f ca="1">Table2[[#This Row],[End Date]]+2-TODAY()</f>
        <v>-184</v>
      </c>
      <c r="AG199" s="496">
        <f>IF(ISBLANK(Table2[[#This Row],[Roster Received by]]),1,0)</f>
        <v>0</v>
      </c>
      <c r="AH199" s="496">
        <f ca="1">IF(Table2[[#This Row],[Start Date]]&gt;TODAY(),1,)</f>
        <v>0</v>
      </c>
      <c r="AI199" s="496">
        <f>IF(ISBLANK(Table2[[#This Row],[Primary Instructor]]),0,1)</f>
        <v>1</v>
      </c>
      <c r="AJ199" s="496">
        <f>IF(ISBLANK(Table2[[#This Row],[Instructor 2]]),0,1)</f>
        <v>0</v>
      </c>
      <c r="AK199" s="496">
        <f>Table2[[#This Row],[Course Length (Hours)]]/(Table2[[#This Row],[1 Instructor]]+Table2[[#This Row],[2 Instructors]])</f>
        <v>24</v>
      </c>
      <c r="AL199" s="318">
        <v>23</v>
      </c>
      <c r="AM199" s="497">
        <v>2</v>
      </c>
      <c r="AN199" s="496" t="str">
        <f>VLOOKUP(Table2[[#This Row],[Course Title]],'TSD-Data'!$A$1:$G$83,7,FALSE)</f>
        <v>N4</v>
      </c>
      <c r="AO199" s="500">
        <f>Table2[[#This Row],[Quotas]]-Table2[[#This Row],[Graduates]]-Table2[[#This Row],[Fail]]</f>
        <v>22</v>
      </c>
    </row>
    <row r="200" spans="2:41" ht="15" customHeight="1" x14ac:dyDescent="0.25">
      <c r="B200" s="530"/>
      <c r="C200" s="530" t="s">
        <v>275</v>
      </c>
      <c r="D200" s="200" t="str">
        <f>VLOOKUP(Table2[[#This Row],[Course Title]],'TSD-Data'!$A$1:$E$83,2,FALSE)</f>
        <v>A-493-0099</v>
      </c>
      <c r="E200" s="200" t="str">
        <f>VLOOKUP(Table2[[#This Row],[Course Title]],'TSD-Data'!$A$1:$E$83,3,FALSE)</f>
        <v>12JW</v>
      </c>
      <c r="F200" s="530" t="s">
        <v>54</v>
      </c>
      <c r="G200" s="531">
        <v>46057</v>
      </c>
      <c r="H200" s="531">
        <v>46059</v>
      </c>
      <c r="I200" s="531" t="s">
        <v>42</v>
      </c>
      <c r="J200" s="532"/>
      <c r="K200" s="532">
        <v>0.33333333333333331</v>
      </c>
      <c r="L200" s="532">
        <v>0.20833333333333334</v>
      </c>
      <c r="M200" s="541">
        <v>1600</v>
      </c>
      <c r="N200" s="541">
        <v>1400</v>
      </c>
      <c r="O200" s="532">
        <v>0.125</v>
      </c>
      <c r="P200" s="541">
        <v>2200</v>
      </c>
      <c r="Q200" s="535" t="s">
        <v>274</v>
      </c>
      <c r="R200" s="535"/>
      <c r="S200" s="535"/>
      <c r="T200" s="200">
        <f>VLOOKUP(Table2[[#This Row],[Course Title]],'TSD-Data'!$A$1:$E$83,4,FALSE)</f>
        <v>45</v>
      </c>
      <c r="U200" s="200">
        <f>VLOOKUP(Table2[[#This Row],[Course Title]],'TSD-Data'!$A$1:$F$83,6,FALSE)</f>
        <v>24</v>
      </c>
      <c r="V200" s="201">
        <f>VLOOKUP(Table2[[#This Row],[Course Title]],'TSD-Data'!$A$1:$F$83,5,FALSE)</f>
        <v>3</v>
      </c>
      <c r="W200" s="201">
        <v>406</v>
      </c>
      <c r="X200" s="200">
        <f>Table2[[#This Row],[Quotas]]-Table2[[#This Row],[Open Quotas]]</f>
        <v>24</v>
      </c>
      <c r="Y200" s="200">
        <v>0</v>
      </c>
      <c r="Z200" s="201">
        <v>23</v>
      </c>
      <c r="AA200" s="201">
        <v>1</v>
      </c>
      <c r="AB200" s="200">
        <v>3</v>
      </c>
      <c r="AC200" s="200">
        <v>0</v>
      </c>
      <c r="AD200" s="200">
        <v>0</v>
      </c>
      <c r="AE200" s="200" t="s">
        <v>431</v>
      </c>
      <c r="AF200" s="495">
        <f ca="1">Table2[[#This Row],[End Date]]+2-TODAY()</f>
        <v>-183</v>
      </c>
      <c r="AG200" s="496">
        <f>IF(ISBLANK(Table2[[#This Row],[Roster Received by]]),1,0)</f>
        <v>0</v>
      </c>
      <c r="AH200" s="496">
        <f ca="1">IF(Table2[[#This Row],[Start Date]]&gt;TODAY(),1,)</f>
        <v>0</v>
      </c>
      <c r="AI200" s="496">
        <f>IF(ISBLANK(Table2[[#This Row],[Primary Instructor]]),0,1)</f>
        <v>1</v>
      </c>
      <c r="AJ200" s="496">
        <f>IF(ISBLANK(Table2[[#This Row],[Instructor 2]]),0,1)</f>
        <v>0</v>
      </c>
      <c r="AK200" s="496">
        <f>Table2[[#This Row],[Course Length (Hours)]]/(Table2[[#This Row],[1 Instructor]]+Table2[[#This Row],[2 Instructors]])</f>
        <v>24</v>
      </c>
      <c r="AL200" s="318">
        <v>21</v>
      </c>
      <c r="AM200" s="497">
        <v>2</v>
      </c>
      <c r="AN200" s="496" t="str">
        <f>VLOOKUP(Table2[[#This Row],[Course Title]],'TSD-Data'!$A$1:$G$83,7,FALSE)</f>
        <v>N5</v>
      </c>
      <c r="AO200" s="500">
        <f>Table2[[#This Row],[Quotas]]-Table2[[#This Row],[Graduates]]-Table2[[#This Row],[Fail]]</f>
        <v>21</v>
      </c>
    </row>
    <row r="201" spans="2:41" s="202" customFormat="1" ht="15" customHeight="1" x14ac:dyDescent="0.25">
      <c r="B201" s="530"/>
      <c r="C201" s="530" t="s">
        <v>84</v>
      </c>
      <c r="D201" s="200" t="str">
        <f>VLOOKUP(Table2[[#This Row],[Course Title]],'TSD-Data'!$A$1:$E$83,2,FALSE)</f>
        <v>A-493-0083</v>
      </c>
      <c r="E201" s="200" t="str">
        <f>VLOOKUP(Table2[[#This Row],[Course Title]],'TSD-Data'!$A$1:$E$83,3,FALSE)</f>
        <v>339E</v>
      </c>
      <c r="F201" s="530" t="s">
        <v>300</v>
      </c>
      <c r="G201" s="531">
        <v>46059</v>
      </c>
      <c r="H201" s="531">
        <v>46059</v>
      </c>
      <c r="I201" s="531" t="s">
        <v>42</v>
      </c>
      <c r="J201" s="532">
        <v>0.33333333333333331</v>
      </c>
      <c r="K201" s="532"/>
      <c r="L201" s="531"/>
      <c r="M201" s="531"/>
      <c r="N201" s="531"/>
      <c r="O201" s="531"/>
      <c r="P201" s="531"/>
      <c r="Q201" s="535" t="s">
        <v>48</v>
      </c>
      <c r="R201" s="535"/>
      <c r="S201" s="535"/>
      <c r="T201" s="200">
        <f>VLOOKUP(Table2[[#This Row],[Course Title]],'TSD-Data'!$A$1:$E$83,4,FALSE)</f>
        <v>30</v>
      </c>
      <c r="U201" s="200">
        <f>VLOOKUP(Table2[[#This Row],[Course Title]],'TSD-Data'!$A$1:$F$83,6,FALSE)</f>
        <v>8</v>
      </c>
      <c r="V201" s="201">
        <f>VLOOKUP(Table2[[#This Row],[Course Title]],'TSD-Data'!$A$1:$F$83,5,FALSE)</f>
        <v>1</v>
      </c>
      <c r="W201" s="201">
        <v>36</v>
      </c>
      <c r="X201" s="200">
        <f>Table2[[#This Row],[Quotas]]-Table2[[#This Row],[Open Quotas]]</f>
        <v>5</v>
      </c>
      <c r="Y201" s="200">
        <v>0</v>
      </c>
      <c r="Z201" s="201">
        <v>4</v>
      </c>
      <c r="AA201" s="201">
        <v>0</v>
      </c>
      <c r="AB201" s="200">
        <v>1</v>
      </c>
      <c r="AC201" s="200">
        <v>0</v>
      </c>
      <c r="AD201" s="200">
        <v>0</v>
      </c>
      <c r="AE201" s="200" t="s">
        <v>428</v>
      </c>
      <c r="AF201" s="495">
        <f ca="1">Table2[[#This Row],[End Date]]+2-TODAY()</f>
        <v>-183</v>
      </c>
      <c r="AG201" s="496">
        <f>IF(ISBLANK(Table2[[#This Row],[Roster Received by]]),1,0)</f>
        <v>0</v>
      </c>
      <c r="AH201" s="496">
        <f ca="1">IF(Table2[[#This Row],[Start Date]]&gt;TODAY(),1,)</f>
        <v>0</v>
      </c>
      <c r="AI201" s="496">
        <f>IF(ISBLANK(Table2[[#This Row],[Primary Instructor]]),0,1)</f>
        <v>1</v>
      </c>
      <c r="AJ201" s="496">
        <f>IF(ISBLANK(Table2[[#This Row],[Instructor 2]]),0,1)</f>
        <v>0</v>
      </c>
      <c r="AK201" s="496">
        <f>Table2[[#This Row],[Course Length (Hours)]]/(Table2[[#This Row],[1 Instructor]]+Table2[[#This Row],[2 Instructors]])</f>
        <v>8</v>
      </c>
      <c r="AL201" s="318">
        <v>25</v>
      </c>
      <c r="AM201" s="497">
        <v>2</v>
      </c>
      <c r="AN201" s="496" t="str">
        <f>VLOOKUP(Table2[[#This Row],[Course Title]],'TSD-Data'!$A$1:$G$83,7,FALSE)</f>
        <v>N4</v>
      </c>
      <c r="AO201" s="500">
        <f>Table2[[#This Row],[Quotas]]-Table2[[#This Row],[Graduates]]-Table2[[#This Row],[Fail]]</f>
        <v>26</v>
      </c>
    </row>
    <row r="202" spans="2:41" s="202" customFormat="1" ht="15" customHeight="1" x14ac:dyDescent="0.25">
      <c r="B202" s="530"/>
      <c r="C202" s="557" t="s">
        <v>59</v>
      </c>
      <c r="D202" s="200" t="str">
        <f>VLOOKUP(Table2[[#This Row],[Course Title]],'TSD-Data'!$A$1:$E$83,2,FALSE)</f>
        <v>A-493-0070</v>
      </c>
      <c r="E202" s="200" t="str">
        <f>VLOOKUP(Table2[[#This Row],[Course Title]],'TSD-Data'!$A$1:$E$83,3,FALSE)</f>
        <v>450V</v>
      </c>
      <c r="F202" s="530" t="s">
        <v>54</v>
      </c>
      <c r="G202" s="531">
        <v>46062</v>
      </c>
      <c r="H202" s="531">
        <v>46063</v>
      </c>
      <c r="I202" s="531" t="s">
        <v>42</v>
      </c>
      <c r="J202" s="532"/>
      <c r="K202" s="532">
        <v>0.79166666666666663</v>
      </c>
      <c r="L202" s="536">
        <v>0.66666666666666663</v>
      </c>
      <c r="M202" s="536">
        <v>0.125</v>
      </c>
      <c r="N202" s="536">
        <v>4.1666666666666664E-2</v>
      </c>
      <c r="O202" s="536">
        <v>0.58333333333333337</v>
      </c>
      <c r="P202" s="536">
        <v>0.375</v>
      </c>
      <c r="Q202" s="535" t="s">
        <v>67</v>
      </c>
      <c r="R202" s="535"/>
      <c r="S202" s="535"/>
      <c r="T202" s="200">
        <f>VLOOKUP(Table2[[#This Row],[Course Title]],'TSD-Data'!$A$1:$E$83,4,FALSE)</f>
        <v>30</v>
      </c>
      <c r="U202" s="200">
        <f>VLOOKUP(Table2[[#This Row],[Course Title]],'TSD-Data'!$A$1:$F$83,6,FALSE)</f>
        <v>8</v>
      </c>
      <c r="V202" s="201">
        <f>VLOOKUP(Table2[[#This Row],[Course Title]],'TSD-Data'!$A$1:$F$83,5,FALSE)</f>
        <v>1</v>
      </c>
      <c r="W202" s="201">
        <v>0</v>
      </c>
      <c r="X202" s="200">
        <f>Table2[[#This Row],[Quotas]]-Table2[[#This Row],[Open Quotas]]</f>
        <v>22</v>
      </c>
      <c r="Y202" s="200">
        <v>0</v>
      </c>
      <c r="Z202" s="201">
        <v>22</v>
      </c>
      <c r="AA202" s="201">
        <v>0</v>
      </c>
      <c r="AB202" s="200">
        <v>1</v>
      </c>
      <c r="AC202" s="200">
        <v>0</v>
      </c>
      <c r="AD202" s="200">
        <v>9</v>
      </c>
      <c r="AE202" s="200" t="s">
        <v>429</v>
      </c>
      <c r="AF202" s="495">
        <f ca="1">Table2[[#This Row],[End Date]]+2-TODAY()</f>
        <v>-179</v>
      </c>
      <c r="AG202" s="496">
        <f>IF(ISBLANK(Table2[[#This Row],[Roster Received by]]),1,0)</f>
        <v>0</v>
      </c>
      <c r="AH202" s="496">
        <f ca="1">IF(Table2[[#This Row],[Start Date]]&gt;TODAY(),1,)</f>
        <v>0</v>
      </c>
      <c r="AI202" s="496">
        <f>IF(ISBLANK(Table2[[#This Row],[Primary Instructor]]),0,1)</f>
        <v>1</v>
      </c>
      <c r="AJ202" s="496">
        <f>IF(ISBLANK(Table2[[#This Row],[Instructor 2]]),0,1)</f>
        <v>0</v>
      </c>
      <c r="AK202" s="496">
        <f>Table2[[#This Row],[Course Length (Hours)]]/(Table2[[#This Row],[1 Instructor]]+Table2[[#This Row],[2 Instructors]])</f>
        <v>8</v>
      </c>
      <c r="AL202" s="318">
        <v>8</v>
      </c>
      <c r="AM202" s="497">
        <v>2</v>
      </c>
      <c r="AN202" s="496" t="str">
        <f>VLOOKUP(Table2[[#This Row],[Course Title]],'TSD-Data'!$A$1:$G$83,7,FALSE)</f>
        <v>N3</v>
      </c>
      <c r="AO202" s="500">
        <f>Table2[[#This Row],[Quotas]]-Table2[[#This Row],[Graduates]]-Table2[[#This Row],[Fail]]</f>
        <v>8</v>
      </c>
    </row>
    <row r="203" spans="2:41" ht="15" customHeight="1" x14ac:dyDescent="0.25">
      <c r="B203" s="530"/>
      <c r="C203" s="530" t="s">
        <v>276</v>
      </c>
      <c r="D203" s="200" t="str">
        <f>VLOOKUP(Table2[[#This Row],[Course Title]],'TSD-Data'!$A$1:$E$83,2,FALSE)</f>
        <v>A-493-0103</v>
      </c>
      <c r="E203" s="200" t="str">
        <f>VLOOKUP(Table2[[#This Row],[Course Title]],'TSD-Data'!$A$1:$E$83,3,FALSE)</f>
        <v>12JY</v>
      </c>
      <c r="F203" s="530" t="s">
        <v>41</v>
      </c>
      <c r="G203" s="531">
        <v>46062</v>
      </c>
      <c r="H203" s="531">
        <v>46066</v>
      </c>
      <c r="I203" s="531" t="s">
        <v>42</v>
      </c>
      <c r="J203" s="532">
        <v>0.33333333333333331</v>
      </c>
      <c r="K203" s="532"/>
      <c r="L203" s="531"/>
      <c r="M203" s="531"/>
      <c r="N203" s="531"/>
      <c r="O203" s="531"/>
      <c r="P203" s="531"/>
      <c r="Q203" s="535" t="s">
        <v>280</v>
      </c>
      <c r="R203" s="535"/>
      <c r="S203" s="535"/>
      <c r="T203" s="200">
        <f>VLOOKUP(Table2[[#This Row],[Course Title]],'TSD-Data'!$A$1:$E$83,4,FALSE)</f>
        <v>25</v>
      </c>
      <c r="U203" s="200">
        <f>VLOOKUP(Table2[[#This Row],[Course Title]],'TSD-Data'!$A$1:$F$83,6,FALSE)</f>
        <v>40</v>
      </c>
      <c r="V203" s="201">
        <f>VLOOKUP(Table2[[#This Row],[Course Title]],'TSD-Data'!$A$1:$F$83,5,FALSE)</f>
        <v>5</v>
      </c>
      <c r="W203" s="201">
        <v>116</v>
      </c>
      <c r="X203" s="200">
        <f>Table2[[#This Row],[Quotas]]-Table2[[#This Row],[Open Quotas]]</f>
        <v>15</v>
      </c>
      <c r="Y203" s="200">
        <v>0</v>
      </c>
      <c r="Z203" s="201">
        <v>13</v>
      </c>
      <c r="AA203" s="201">
        <v>0</v>
      </c>
      <c r="AB203" s="200">
        <v>2</v>
      </c>
      <c r="AC203" s="200">
        <v>0</v>
      </c>
      <c r="AD203" s="200">
        <v>0</v>
      </c>
      <c r="AE203" s="200" t="s">
        <v>431</v>
      </c>
      <c r="AF203" s="495">
        <f ca="1">Table2[[#This Row],[End Date]]+2-TODAY()</f>
        <v>-176</v>
      </c>
      <c r="AG203" s="496">
        <f>IF(ISBLANK(Table2[[#This Row],[Roster Received by]]),1,0)</f>
        <v>0</v>
      </c>
      <c r="AH203" s="496">
        <f ca="1">IF(Table2[[#This Row],[Start Date]]&gt;TODAY(),1,)</f>
        <v>0</v>
      </c>
      <c r="AI203" s="496">
        <f>IF(ISBLANK(Table2[[#This Row],[Primary Instructor]]),0,1)</f>
        <v>1</v>
      </c>
      <c r="AJ203" s="496">
        <f>IF(ISBLANK(Table2[[#This Row],[Instructor 2]]),0,1)</f>
        <v>0</v>
      </c>
      <c r="AK203" s="496">
        <f>Table2[[#This Row],[Course Length (Hours)]]/(Table2[[#This Row],[1 Instructor]]+Table2[[#This Row],[2 Instructors]])</f>
        <v>40</v>
      </c>
      <c r="AL203" s="318">
        <v>10</v>
      </c>
      <c r="AM203" s="497">
        <v>2</v>
      </c>
      <c r="AN203" s="496" t="str">
        <f>VLOOKUP(Table2[[#This Row],[Course Title]],'TSD-Data'!$A$1:$G$83,7,FALSE)</f>
        <v>N5</v>
      </c>
      <c r="AO203" s="500">
        <f>Table2[[#This Row],[Quotas]]-Table2[[#This Row],[Graduates]]-Table2[[#This Row],[Fail]]</f>
        <v>12</v>
      </c>
    </row>
    <row r="204" spans="2:41" s="202" customFormat="1" ht="15" customHeight="1" x14ac:dyDescent="0.25">
      <c r="B204" s="530"/>
      <c r="C204" s="530" t="s">
        <v>271</v>
      </c>
      <c r="D204" s="200" t="str">
        <f>VLOOKUP(Table2[[#This Row],[Course Title]],'TSD-Data'!$A$1:$E$83,2,FALSE)</f>
        <v>A-493-0061</v>
      </c>
      <c r="E204" s="200" t="str">
        <f>VLOOKUP(Table2[[#This Row],[Course Title]],'TSD-Data'!$A$1:$E$83,3,FALSE)</f>
        <v>288E</v>
      </c>
      <c r="F204" s="530" t="s">
        <v>54</v>
      </c>
      <c r="G204" s="531">
        <v>46062</v>
      </c>
      <c r="H204" s="531">
        <v>46065</v>
      </c>
      <c r="I204" s="531" t="s">
        <v>42</v>
      </c>
      <c r="J204" s="532"/>
      <c r="K204" s="532">
        <v>0.33333333333333331</v>
      </c>
      <c r="L204" s="532">
        <v>0.20833333333333334</v>
      </c>
      <c r="M204" s="541">
        <v>1600</v>
      </c>
      <c r="N204" s="541">
        <v>1400</v>
      </c>
      <c r="O204" s="532">
        <v>0.125</v>
      </c>
      <c r="P204" s="541">
        <v>2200</v>
      </c>
      <c r="Q204" s="535" t="s">
        <v>148</v>
      </c>
      <c r="R204" s="535"/>
      <c r="S204" s="535"/>
      <c r="T204" s="200">
        <f>VLOOKUP(Table2[[#This Row],[Course Title]],'TSD-Data'!$A$1:$E$83,4,FALSE)</f>
        <v>45</v>
      </c>
      <c r="U204" s="200">
        <f>VLOOKUP(Table2[[#This Row],[Course Title]],'TSD-Data'!$A$1:$F$83,6,FALSE)</f>
        <v>30</v>
      </c>
      <c r="V204" s="201">
        <f>VLOOKUP(Table2[[#This Row],[Course Title]],'TSD-Data'!$A$1:$F$83,5,FALSE)</f>
        <v>4</v>
      </c>
      <c r="W204" s="201">
        <v>366</v>
      </c>
      <c r="X204" s="200">
        <f>Table2[[#This Row],[Quotas]]-Table2[[#This Row],[Open Quotas]]</f>
        <v>40</v>
      </c>
      <c r="Y204" s="200">
        <v>0</v>
      </c>
      <c r="Z204" s="201">
        <v>33</v>
      </c>
      <c r="AA204" s="201">
        <v>0</v>
      </c>
      <c r="AB204" s="200">
        <v>6</v>
      </c>
      <c r="AC204" s="200">
        <v>0</v>
      </c>
      <c r="AD204" s="200">
        <v>0</v>
      </c>
      <c r="AE204" s="200" t="s">
        <v>431</v>
      </c>
      <c r="AF204" s="495">
        <f ca="1">Table2[[#This Row],[End Date]]+2-TODAY()</f>
        <v>-177</v>
      </c>
      <c r="AG204" s="496">
        <f>IF(ISBLANK(Table2[[#This Row],[Roster Received by]]),1,0)</f>
        <v>0</v>
      </c>
      <c r="AH204" s="496">
        <f ca="1">IF(Table2[[#This Row],[Start Date]]&gt;TODAY(),1,)</f>
        <v>0</v>
      </c>
      <c r="AI204" s="496">
        <f>IF(ISBLANK(Table2[[#This Row],[Primary Instructor]]),0,1)</f>
        <v>1</v>
      </c>
      <c r="AJ204" s="496">
        <f>IF(ISBLANK(Table2[[#This Row],[Instructor 2]]),0,1)</f>
        <v>0</v>
      </c>
      <c r="AK204" s="496">
        <f>Table2[[#This Row],[Course Length (Hours)]]/(Table2[[#This Row],[1 Instructor]]+Table2[[#This Row],[2 Instructors]])</f>
        <v>30</v>
      </c>
      <c r="AL204" s="318">
        <v>5</v>
      </c>
      <c r="AM204" s="497">
        <v>2</v>
      </c>
      <c r="AN204" s="496" t="str">
        <f>VLOOKUP(Table2[[#This Row],[Course Title]],'TSD-Data'!$A$1:$G$83,7,FALSE)</f>
        <v>N5</v>
      </c>
      <c r="AO204" s="500">
        <f>Table2[[#This Row],[Quotas]]-Table2[[#This Row],[Graduates]]-Table2[[#This Row],[Fail]]</f>
        <v>12</v>
      </c>
    </row>
    <row r="205" spans="2:41" s="202" customFormat="1" ht="15" customHeight="1" x14ac:dyDescent="0.25">
      <c r="B205" s="530"/>
      <c r="C205" s="530" t="s">
        <v>213</v>
      </c>
      <c r="D205" s="200" t="str">
        <f>VLOOKUP(Table2[[#This Row],[Course Title]],'TSD-Data'!$A$1:$E$83,2,FALSE)</f>
        <v>A-322-2604</v>
      </c>
      <c r="E205" s="200" t="str">
        <f>VLOOKUP(Table2[[#This Row],[Course Title]],'TSD-Data'!$A$1:$E$83,3,FALSE)</f>
        <v>10ZZ</v>
      </c>
      <c r="F205" s="530" t="s">
        <v>54</v>
      </c>
      <c r="G205" s="531">
        <v>46062</v>
      </c>
      <c r="H205" s="531">
        <v>46064</v>
      </c>
      <c r="I205" s="531" t="s">
        <v>42</v>
      </c>
      <c r="J205" s="532"/>
      <c r="K205" s="536">
        <v>0.5</v>
      </c>
      <c r="L205" s="536">
        <v>0.375</v>
      </c>
      <c r="M205" s="536">
        <v>0.83333333333333337</v>
      </c>
      <c r="N205" s="536">
        <v>0.75</v>
      </c>
      <c r="O205" s="536">
        <v>0.29166666666666669</v>
      </c>
      <c r="P205" s="536">
        <v>8.3333333333333329E-2</v>
      </c>
      <c r="Q205" s="535" t="s">
        <v>79</v>
      </c>
      <c r="R205" s="535"/>
      <c r="S205" s="535"/>
      <c r="T205" s="200">
        <f>VLOOKUP(Table2[[#This Row],[Course Title]],'TSD-Data'!$A$1:$E$83,4,FALSE)</f>
        <v>45</v>
      </c>
      <c r="U205" s="200">
        <f>VLOOKUP(Table2[[#This Row],[Course Title]],'TSD-Data'!$A$1:$F$83,6,FALSE)</f>
        <v>24</v>
      </c>
      <c r="V205" s="201">
        <f>VLOOKUP(Table2[[#This Row],[Course Title]],'TSD-Data'!$A$1:$F$83,5,FALSE)</f>
        <v>3</v>
      </c>
      <c r="W205" s="201">
        <v>621</v>
      </c>
      <c r="X205" s="200">
        <f>Table2[[#This Row],[Quotas]]-Table2[[#This Row],[Open Quotas]]</f>
        <v>45</v>
      </c>
      <c r="Y205" s="200">
        <v>1</v>
      </c>
      <c r="Z205" s="201">
        <v>39</v>
      </c>
      <c r="AA205" s="201">
        <v>2</v>
      </c>
      <c r="AB205" s="200">
        <v>4</v>
      </c>
      <c r="AC205" s="200">
        <v>0</v>
      </c>
      <c r="AD205" s="200">
        <v>0</v>
      </c>
      <c r="AE205" s="200" t="s">
        <v>431</v>
      </c>
      <c r="AF205" s="495">
        <f ca="1">Table2[[#This Row],[End Date]]+2-TODAY()</f>
        <v>-178</v>
      </c>
      <c r="AG205" s="496">
        <f>IF(ISBLANK(Table2[[#This Row],[Roster Received by]]),1,0)</f>
        <v>0</v>
      </c>
      <c r="AH205" s="496">
        <f ca="1">IF(Table2[[#This Row],[Start Date]]&gt;TODAY(),1,)</f>
        <v>0</v>
      </c>
      <c r="AI205" s="496">
        <f>IF(ISBLANK(Table2[[#This Row],[Primary Instructor]]),0,1)</f>
        <v>1</v>
      </c>
      <c r="AJ205" s="496">
        <f>IF(ISBLANK(Table2[[#This Row],[Instructor 2]]),0,1)</f>
        <v>0</v>
      </c>
      <c r="AK205" s="496">
        <f>Table2[[#This Row],[Course Length (Hours)]]/(Table2[[#This Row],[1 Instructor]]+Table2[[#This Row],[2 Instructors]])</f>
        <v>24</v>
      </c>
      <c r="AL205" s="318">
        <v>0</v>
      </c>
      <c r="AM205" s="497">
        <v>2</v>
      </c>
      <c r="AN205" s="496" t="str">
        <f>VLOOKUP(Table2[[#This Row],[Course Title]],'TSD-Data'!$A$1:$G$83,7,FALSE)</f>
        <v>N8</v>
      </c>
      <c r="AO205" s="500">
        <f>Table2[[#This Row],[Quotas]]-Table2[[#This Row],[Graduates]]-Table2[[#This Row],[Fail]]</f>
        <v>4</v>
      </c>
    </row>
    <row r="206" spans="2:41" s="202" customFormat="1" ht="15" customHeight="1" x14ac:dyDescent="0.25">
      <c r="B206" s="155" t="s">
        <v>455</v>
      </c>
      <c r="C206" s="321" t="s">
        <v>49</v>
      </c>
      <c r="D206" s="200" t="str">
        <f>VLOOKUP(Table2[[#This Row],[Course Title]],'TSD-Data'!$A$1:$E$83,2,FALSE)</f>
        <v>A-493-0012</v>
      </c>
      <c r="E206" s="200">
        <f>VLOOKUP(Table2[[#This Row],[Course Title]],'TSD-Data'!$A$1:$E$83,3,FALSE)</f>
        <v>3682</v>
      </c>
      <c r="F206" s="321" t="s">
        <v>297</v>
      </c>
      <c r="G206" s="531">
        <v>46062</v>
      </c>
      <c r="H206" s="531">
        <v>46066</v>
      </c>
      <c r="I206" s="531" t="s">
        <v>42</v>
      </c>
      <c r="J206" s="532">
        <v>0.33333333333333331</v>
      </c>
      <c r="K206" s="532"/>
      <c r="L206" s="531"/>
      <c r="M206" s="531"/>
      <c r="N206" s="531"/>
      <c r="O206" s="531"/>
      <c r="P206" s="531"/>
      <c r="Q206" s="535" t="s">
        <v>104</v>
      </c>
      <c r="R206" s="535"/>
      <c r="S206" s="535"/>
      <c r="T206" s="200">
        <f>VLOOKUP(Table2[[#This Row],[Course Title]],'TSD-Data'!$A$1:$E$83,4,FALSE)</f>
        <v>40</v>
      </c>
      <c r="U206" s="200">
        <f>VLOOKUP(Table2[[#This Row],[Course Title]],'TSD-Data'!$A$1:$F$83,6,FALSE)</f>
        <v>40</v>
      </c>
      <c r="V206" s="201">
        <f>VLOOKUP(Table2[[#This Row],[Course Title]],'TSD-Data'!$A$1:$F$83,5,FALSE)</f>
        <v>5</v>
      </c>
      <c r="W206" s="200">
        <v>52</v>
      </c>
      <c r="X206" s="200">
        <f>Table2[[#This Row],[Quotas]]-Table2[[#This Row],[Open Quotas]]</f>
        <v>8</v>
      </c>
      <c r="Y206" s="200">
        <v>0</v>
      </c>
      <c r="Z206" s="201">
        <v>36</v>
      </c>
      <c r="AA206" s="201"/>
      <c r="AB206" s="200">
        <v>8</v>
      </c>
      <c r="AC206" s="200">
        <v>36</v>
      </c>
      <c r="AD206" s="200">
        <v>36</v>
      </c>
      <c r="AE206" s="200" t="s">
        <v>428</v>
      </c>
      <c r="AF206" s="495">
        <f ca="1">Table2[[#This Row],[End Date]]+2-TODAY()</f>
        <v>-176</v>
      </c>
      <c r="AG206" s="496">
        <f>IF(ISBLANK(Table2[[#This Row],[Roster Received by]]),1,0)</f>
        <v>0</v>
      </c>
      <c r="AH206" s="496">
        <f ca="1">IF(Table2[[#This Row],[Start Date]]&gt;TODAY(),1,)</f>
        <v>0</v>
      </c>
      <c r="AI206" s="496">
        <f>IF(ISBLANK(Table2[[#This Row],[Primary Instructor]]),0,1)</f>
        <v>1</v>
      </c>
      <c r="AJ206" s="496">
        <f>IF(ISBLANK(Table2[[#This Row],[Instructor 2]]),0,1)</f>
        <v>0</v>
      </c>
      <c r="AK206" s="496">
        <f>Table2[[#This Row],[Course Length (Hours)]]/(Table2[[#This Row],[1 Instructor]]+Table2[[#This Row],[2 Instructors]])</f>
        <v>40</v>
      </c>
      <c r="AL206" s="318">
        <v>32</v>
      </c>
      <c r="AM206" s="497">
        <v>2</v>
      </c>
      <c r="AN206" s="496" t="str">
        <f>VLOOKUP(Table2[[#This Row],[Course Title]],'TSD-Data'!$A$1:$G$83,7,FALSE)</f>
        <v>N4</v>
      </c>
      <c r="AO206" s="500">
        <f>Table2[[#This Row],[Quotas]]-Table2[[#This Row],[Graduates]]-Table2[[#This Row],[Fail]]</f>
        <v>4</v>
      </c>
    </row>
    <row r="207" spans="2:41" s="202" customFormat="1" ht="15" customHeight="1" x14ac:dyDescent="0.25">
      <c r="B207" s="530"/>
      <c r="C207" s="530" t="s">
        <v>56</v>
      </c>
      <c r="D207" s="200" t="str">
        <f>VLOOKUP(Table2[[#This Row],[Course Title]],'TSD-Data'!$A$1:$E$83,2,FALSE)</f>
        <v>A-493-0550</v>
      </c>
      <c r="E207" s="200" t="str">
        <f>VLOOKUP(Table2[[#This Row],[Course Title]],'TSD-Data'!$A$1:$E$83,3,FALSE)</f>
        <v>09K5</v>
      </c>
      <c r="F207" s="530" t="s">
        <v>54</v>
      </c>
      <c r="G207" s="531">
        <v>46062</v>
      </c>
      <c r="H207" s="531">
        <v>46065</v>
      </c>
      <c r="I207" s="531" t="s">
        <v>42</v>
      </c>
      <c r="J207" s="532"/>
      <c r="K207" s="532">
        <v>0.79166666666666663</v>
      </c>
      <c r="L207" s="536">
        <v>0.66666666666666663</v>
      </c>
      <c r="M207" s="536">
        <v>0.125</v>
      </c>
      <c r="N207" s="536">
        <v>4.1666666666666664E-2</v>
      </c>
      <c r="O207" s="536">
        <v>0.58333333333333337</v>
      </c>
      <c r="P207" s="536">
        <v>0.375</v>
      </c>
      <c r="Q207" s="535" t="s">
        <v>427</v>
      </c>
      <c r="R207" s="535"/>
      <c r="S207" s="535"/>
      <c r="T207" s="200">
        <f>VLOOKUP(Table2[[#This Row],[Course Title]],'TSD-Data'!$A$1:$E$83,4,FALSE)</f>
        <v>45</v>
      </c>
      <c r="U207" s="200">
        <f>VLOOKUP(Table2[[#This Row],[Course Title]],'TSD-Data'!$A$1:$F$83,6,FALSE)</f>
        <v>32</v>
      </c>
      <c r="V207" s="201">
        <f>VLOOKUP(Table2[[#This Row],[Course Title]],'TSD-Data'!$A$1:$F$83,5,FALSE)</f>
        <v>4</v>
      </c>
      <c r="W207" s="201">
        <v>180</v>
      </c>
      <c r="X207" s="200">
        <f>Table2[[#This Row],[Quotas]]-Table2[[#This Row],[Open Quotas]]</f>
        <v>43</v>
      </c>
      <c r="Y207" s="200">
        <v>0</v>
      </c>
      <c r="Z207" s="201">
        <v>39</v>
      </c>
      <c r="AA207" s="201">
        <v>1</v>
      </c>
      <c r="AB207" s="200">
        <v>5</v>
      </c>
      <c r="AC207" s="200">
        <v>0</v>
      </c>
      <c r="AD207" s="200">
        <v>0</v>
      </c>
      <c r="AE207" s="200" t="s">
        <v>431</v>
      </c>
      <c r="AF207" s="495">
        <f ca="1">Table2[[#This Row],[End Date]]+2-TODAY()</f>
        <v>-177</v>
      </c>
      <c r="AG207" s="496">
        <f>IF(ISBLANK(Table2[[#This Row],[Roster Received by]]),1,0)</f>
        <v>0</v>
      </c>
      <c r="AH207" s="496">
        <f ca="1">IF(Table2[[#This Row],[Start Date]]&gt;TODAY(),1,)</f>
        <v>0</v>
      </c>
      <c r="AI207" s="496">
        <f>IF(ISBLANK(Table2[[#This Row],[Primary Instructor]]),0,1)</f>
        <v>1</v>
      </c>
      <c r="AJ207" s="496">
        <f>IF(ISBLANK(Table2[[#This Row],[Instructor 2]]),0,1)</f>
        <v>0</v>
      </c>
      <c r="AK207" s="496">
        <f>Table2[[#This Row],[Course Length (Hours)]]/(Table2[[#This Row],[1 Instructor]]+Table2[[#This Row],[2 Instructors]])</f>
        <v>32</v>
      </c>
      <c r="AL207" s="318">
        <v>2</v>
      </c>
      <c r="AM207" s="497">
        <v>2</v>
      </c>
      <c r="AN207" s="496" t="str">
        <f>VLOOKUP(Table2[[#This Row],[Course Title]],'TSD-Data'!$A$1:$G$83,7,FALSE)</f>
        <v>N5</v>
      </c>
      <c r="AO207" s="500">
        <f>Table2[[#This Row],[Quotas]]-Table2[[#This Row],[Graduates]]-Table2[[#This Row],[Fail]]</f>
        <v>5</v>
      </c>
    </row>
    <row r="208" spans="2:41" s="202" customFormat="1" ht="15" customHeight="1" x14ac:dyDescent="0.25">
      <c r="B208" s="530"/>
      <c r="C208" s="530" t="s">
        <v>70</v>
      </c>
      <c r="D208" s="200" t="str">
        <f>VLOOKUP(Table2[[#This Row],[Course Title]],'TSD-Data'!$A$1:$E$83,2,FALSE)</f>
        <v>A-493-0077</v>
      </c>
      <c r="E208" s="200" t="str">
        <f>VLOOKUP(Table2[[#This Row],[Course Title]],'TSD-Data'!$A$1:$E$83,3,FALSE)</f>
        <v>0381</v>
      </c>
      <c r="F208" s="530" t="s">
        <v>81</v>
      </c>
      <c r="G208" s="531">
        <v>46062</v>
      </c>
      <c r="H208" s="531">
        <v>46064</v>
      </c>
      <c r="I208" s="531" t="s">
        <v>42</v>
      </c>
      <c r="J208" s="532">
        <v>0.33333333333333331</v>
      </c>
      <c r="K208" s="532"/>
      <c r="L208" s="531"/>
      <c r="M208" s="531"/>
      <c r="N208" s="531"/>
      <c r="O208" s="531"/>
      <c r="P208" s="531"/>
      <c r="Q208" s="535" t="s">
        <v>48</v>
      </c>
      <c r="R208" s="535"/>
      <c r="S208" s="535"/>
      <c r="T208" s="200">
        <f>VLOOKUP(Table2[[#This Row],[Course Title]],'TSD-Data'!$A$1:$E$83,4,FALSE)</f>
        <v>25</v>
      </c>
      <c r="U208" s="200">
        <f>VLOOKUP(Table2[[#This Row],[Course Title]],'TSD-Data'!$A$1:$F$83,6,FALSE)</f>
        <v>24</v>
      </c>
      <c r="V208" s="201">
        <f>VLOOKUP(Table2[[#This Row],[Course Title]],'TSD-Data'!$A$1:$F$83,5,FALSE)</f>
        <v>3</v>
      </c>
      <c r="W208" s="201">
        <v>60</v>
      </c>
      <c r="X208" s="200">
        <f>Table2[[#This Row],[Quotas]]-Table2[[#This Row],[Open Quotas]]</f>
        <v>6</v>
      </c>
      <c r="Y208" s="200">
        <v>0</v>
      </c>
      <c r="Z208" s="201">
        <v>5</v>
      </c>
      <c r="AA208" s="201">
        <v>1</v>
      </c>
      <c r="AB208" s="200">
        <v>1</v>
      </c>
      <c r="AC208" s="200">
        <v>1</v>
      </c>
      <c r="AD208" s="200">
        <v>0</v>
      </c>
      <c r="AE208" s="200" t="s">
        <v>428</v>
      </c>
      <c r="AF208" s="495">
        <f ca="1">Table2[[#This Row],[End Date]]+2-TODAY()</f>
        <v>-178</v>
      </c>
      <c r="AG208" s="496">
        <f>IF(ISBLANK(Table2[[#This Row],[Roster Received by]]),1,0)</f>
        <v>0</v>
      </c>
      <c r="AH208" s="496">
        <f ca="1">IF(Table2[[#This Row],[Start Date]]&gt;TODAY(),1,)</f>
        <v>0</v>
      </c>
      <c r="AI208" s="496">
        <f>IF(ISBLANK(Table2[[#This Row],[Primary Instructor]]),0,1)</f>
        <v>1</v>
      </c>
      <c r="AJ208" s="496">
        <f>IF(ISBLANK(Table2[[#This Row],[Instructor 2]]),0,1)</f>
        <v>0</v>
      </c>
      <c r="AK208" s="496">
        <f>Table2[[#This Row],[Course Length (Hours)]]/(Table2[[#This Row],[1 Instructor]]+Table2[[#This Row],[2 Instructors]])</f>
        <v>24</v>
      </c>
      <c r="AL208" s="318">
        <v>19</v>
      </c>
      <c r="AM208" s="497">
        <v>2</v>
      </c>
      <c r="AN208" s="496" t="str">
        <f>VLOOKUP(Table2[[#This Row],[Course Title]],'TSD-Data'!$A$1:$G$83,7,FALSE)</f>
        <v>N4</v>
      </c>
      <c r="AO208" s="500">
        <f>Table2[[#This Row],[Quotas]]-Table2[[#This Row],[Graduates]]-Table2[[#This Row],[Fail]]</f>
        <v>19</v>
      </c>
    </row>
    <row r="209" spans="2:41" s="202" customFormat="1" ht="15" customHeight="1" x14ac:dyDescent="0.25">
      <c r="B209" s="530"/>
      <c r="C209" s="542" t="s">
        <v>249</v>
      </c>
      <c r="D209" s="200" t="str">
        <f>VLOOKUP(Table2[[#This Row],[Course Title]],'TSD-Data'!$A$1:$E$83,2,FALSE)</f>
        <v>A-493-0331</v>
      </c>
      <c r="E209" s="200" t="str">
        <f>VLOOKUP(Table2[[#This Row],[Course Title]],'TSD-Data'!$A$1:$E$83,3,FALSE)</f>
        <v>10UG</v>
      </c>
      <c r="F209" s="530" t="s">
        <v>54</v>
      </c>
      <c r="G209" s="129">
        <v>46063</v>
      </c>
      <c r="H209" s="129">
        <v>46065</v>
      </c>
      <c r="I209" s="531" t="s">
        <v>42</v>
      </c>
      <c r="J209" s="532"/>
      <c r="K209" s="536">
        <v>0.5</v>
      </c>
      <c r="L209" s="536">
        <v>0.375</v>
      </c>
      <c r="M209" s="536">
        <v>0.83333333333333337</v>
      </c>
      <c r="N209" s="536">
        <v>0.75</v>
      </c>
      <c r="O209" s="536">
        <v>0.29166666666666669</v>
      </c>
      <c r="P209" s="536">
        <v>8.3333333333333329E-2</v>
      </c>
      <c r="Q209" s="535" t="s">
        <v>437</v>
      </c>
      <c r="R209" s="535"/>
      <c r="S209" s="535"/>
      <c r="T209" s="200">
        <f>VLOOKUP(Table2[[#This Row],[Course Title]],'TSD-Data'!$A$1:$E$83,4,FALSE)</f>
        <v>45</v>
      </c>
      <c r="U209" s="200">
        <f>VLOOKUP(Table2[[#This Row],[Course Title]],'TSD-Data'!$A$1:$F$83,6,FALSE)</f>
        <v>24</v>
      </c>
      <c r="V209" s="201">
        <f>VLOOKUP(Table2[[#This Row],[Course Title]],'TSD-Data'!$A$1:$F$83,5,FALSE)</f>
        <v>3</v>
      </c>
      <c r="W209" s="201">
        <v>844</v>
      </c>
      <c r="X209" s="200">
        <f>Table2[[#This Row],[Quotas]]-Table2[[#This Row],[Open Quotas]]</f>
        <v>44</v>
      </c>
      <c r="Y209" s="200">
        <v>4</v>
      </c>
      <c r="Z209" s="201">
        <v>38</v>
      </c>
      <c r="AA209" s="201">
        <v>3</v>
      </c>
      <c r="AB209" s="200">
        <v>8</v>
      </c>
      <c r="AC209" s="200">
        <v>0</v>
      </c>
      <c r="AD209" s="200">
        <v>0</v>
      </c>
      <c r="AE209" s="200" t="s">
        <v>429</v>
      </c>
      <c r="AF209" s="495">
        <f ca="1">Table2[[#This Row],[End Date]]+2-TODAY()</f>
        <v>-177</v>
      </c>
      <c r="AG209" s="496">
        <f>IF(ISBLANK(Table2[[#This Row],[Roster Received by]]),1,0)</f>
        <v>0</v>
      </c>
      <c r="AH209" s="496">
        <f ca="1">IF(Table2[[#This Row],[Start Date]]&gt;TODAY(),1,)</f>
        <v>0</v>
      </c>
      <c r="AI209" s="496">
        <f>IF(ISBLANK(Table2[[#This Row],[Primary Instructor]]),0,1)</f>
        <v>1</v>
      </c>
      <c r="AJ209" s="496">
        <f>IF(ISBLANK(Table2[[#This Row],[Instructor 2]]),0,1)</f>
        <v>0</v>
      </c>
      <c r="AK209" s="496">
        <f>Table2[[#This Row],[Course Length (Hours)]]/(Table2[[#This Row],[1 Instructor]]+Table2[[#This Row],[2 Instructors]])</f>
        <v>24</v>
      </c>
      <c r="AL209" s="318">
        <v>1</v>
      </c>
      <c r="AM209" s="497">
        <v>2</v>
      </c>
      <c r="AN209" s="496" t="str">
        <f>VLOOKUP(Table2[[#This Row],[Course Title]],'TSD-Data'!$A$1:$G$83,7,FALSE)</f>
        <v>N3</v>
      </c>
      <c r="AO209" s="500">
        <f>Table2[[#This Row],[Quotas]]-Table2[[#This Row],[Graduates]]-Table2[[#This Row],[Fail]]</f>
        <v>4</v>
      </c>
    </row>
    <row r="210" spans="2:41" s="202" customFormat="1" ht="15" customHeight="1" x14ac:dyDescent="0.25">
      <c r="B210" s="530"/>
      <c r="C210" s="557" t="s">
        <v>63</v>
      </c>
      <c r="D210" s="200" t="str">
        <f>VLOOKUP(Table2[[#This Row],[Course Title]],'TSD-Data'!$A$1:$E$83,2,FALSE)</f>
        <v>A-493-0015</v>
      </c>
      <c r="E210" s="200">
        <f>VLOOKUP(Table2[[#This Row],[Course Title]],'TSD-Data'!$A$1:$E$83,3,FALSE)</f>
        <v>3879</v>
      </c>
      <c r="F210" s="530" t="s">
        <v>54</v>
      </c>
      <c r="G210" s="531">
        <v>46064</v>
      </c>
      <c r="H210" s="531">
        <v>46064</v>
      </c>
      <c r="I210" s="531" t="s">
        <v>42</v>
      </c>
      <c r="J210" s="532"/>
      <c r="K210" s="532">
        <v>0.79166666666666663</v>
      </c>
      <c r="L210" s="536">
        <v>0.66666666666666663</v>
      </c>
      <c r="M210" s="536">
        <v>0.125</v>
      </c>
      <c r="N210" s="536">
        <v>4.1666666666666664E-2</v>
      </c>
      <c r="O210" s="536">
        <v>0.58333333333333337</v>
      </c>
      <c r="P210" s="536">
        <v>0.375</v>
      </c>
      <c r="Q210" s="535" t="s">
        <v>67</v>
      </c>
      <c r="R210" s="535"/>
      <c r="S210" s="535"/>
      <c r="T210" s="200">
        <f>VLOOKUP(Table2[[#This Row],[Course Title]],'TSD-Data'!$A$1:$E$83,4,FALSE)</f>
        <v>30</v>
      </c>
      <c r="U210" s="200">
        <f>VLOOKUP(Table2[[#This Row],[Course Title]],'TSD-Data'!$A$1:$F$83,6,FALSE)</f>
        <v>4</v>
      </c>
      <c r="V210" s="201">
        <f>VLOOKUP(Table2[[#This Row],[Course Title]],'TSD-Data'!$A$1:$F$83,5,FALSE)</f>
        <v>0.5</v>
      </c>
      <c r="W210" s="201">
        <v>0</v>
      </c>
      <c r="X210" s="200">
        <f>Table2[[#This Row],[Quotas]]-Table2[[#This Row],[Open Quotas]]</f>
        <v>29</v>
      </c>
      <c r="Y210" s="200">
        <v>0</v>
      </c>
      <c r="Z210" s="201">
        <v>30</v>
      </c>
      <c r="AA210" s="201">
        <v>0</v>
      </c>
      <c r="AB210" s="200">
        <v>0</v>
      </c>
      <c r="AC210" s="200">
        <v>1</v>
      </c>
      <c r="AD210" s="200">
        <v>13</v>
      </c>
      <c r="AE210" s="200" t="s">
        <v>429</v>
      </c>
      <c r="AF210" s="495">
        <f ca="1">Table2[[#This Row],[End Date]]+2-TODAY()</f>
        <v>-178</v>
      </c>
      <c r="AG210" s="496">
        <f>IF(ISBLANK(Table2[[#This Row],[Roster Received by]]),1,0)</f>
        <v>0</v>
      </c>
      <c r="AH210" s="496">
        <f ca="1">IF(Table2[[#This Row],[Start Date]]&gt;TODAY(),1,)</f>
        <v>0</v>
      </c>
      <c r="AI210" s="496">
        <f>IF(ISBLANK(Table2[[#This Row],[Primary Instructor]]),0,1)</f>
        <v>1</v>
      </c>
      <c r="AJ210" s="496">
        <f>IF(ISBLANK(Table2[[#This Row],[Instructor 2]]),0,1)</f>
        <v>0</v>
      </c>
      <c r="AK210" s="496">
        <f>Table2[[#This Row],[Course Length (Hours)]]/(Table2[[#This Row],[1 Instructor]]+Table2[[#This Row],[2 Instructors]])</f>
        <v>4</v>
      </c>
      <c r="AL210" s="318">
        <v>1</v>
      </c>
      <c r="AM210" s="497">
        <v>2</v>
      </c>
      <c r="AN210" s="496" t="str">
        <f>VLOOKUP(Table2[[#This Row],[Course Title]],'TSD-Data'!$A$1:$G$83,7,FALSE)</f>
        <v>N3</v>
      </c>
      <c r="AO210" s="500">
        <f>Table2[[#This Row],[Quotas]]-Table2[[#This Row],[Graduates]]-Table2[[#This Row],[Fail]]</f>
        <v>0</v>
      </c>
    </row>
    <row r="211" spans="2:41" ht="15" customHeight="1" x14ac:dyDescent="0.25">
      <c r="B211" s="530"/>
      <c r="C211" s="557" t="s">
        <v>64</v>
      </c>
      <c r="D211" s="200" t="str">
        <f>VLOOKUP(Table2[[#This Row],[Course Title]],'TSD-Data'!$A$1:$E$83,2,FALSE)</f>
        <v>A-493-0020</v>
      </c>
      <c r="E211" s="200">
        <f>VLOOKUP(Table2[[#This Row],[Course Title]],'TSD-Data'!$A$1:$E$83,3,FALSE)</f>
        <v>3888</v>
      </c>
      <c r="F211" s="530" t="s">
        <v>54</v>
      </c>
      <c r="G211" s="531">
        <v>46065</v>
      </c>
      <c r="H211" s="531">
        <v>46065</v>
      </c>
      <c r="I211" s="531" t="s">
        <v>42</v>
      </c>
      <c r="J211" s="532"/>
      <c r="K211" s="532">
        <v>0.79166666666666663</v>
      </c>
      <c r="L211" s="536">
        <v>0.66666666666666663</v>
      </c>
      <c r="M211" s="536">
        <v>0.125</v>
      </c>
      <c r="N211" s="536">
        <v>4.1666666666666664E-2</v>
      </c>
      <c r="O211" s="536">
        <v>0.58333333333333337</v>
      </c>
      <c r="P211" s="536">
        <v>0.375</v>
      </c>
      <c r="Q211" s="535" t="s">
        <v>67</v>
      </c>
      <c r="R211" s="535"/>
      <c r="S211" s="535"/>
      <c r="T211" s="200">
        <f>VLOOKUP(Table2[[#This Row],[Course Title]],'TSD-Data'!$A$1:$E$83,4,FALSE)</f>
        <v>30</v>
      </c>
      <c r="U211" s="200">
        <f>VLOOKUP(Table2[[#This Row],[Course Title]],'TSD-Data'!$A$1:$F$83,6,FALSE)</f>
        <v>4</v>
      </c>
      <c r="V211" s="201">
        <f>VLOOKUP(Table2[[#This Row],[Course Title]],'TSD-Data'!$A$1:$F$83,5,FALSE)</f>
        <v>0.5</v>
      </c>
      <c r="W211" s="201">
        <v>0</v>
      </c>
      <c r="X211" s="200">
        <f>Table2[[#This Row],[Quotas]]-Table2[[#This Row],[Open Quotas]]</f>
        <v>18</v>
      </c>
      <c r="Y211" s="200">
        <v>0</v>
      </c>
      <c r="Z211" s="201">
        <v>18</v>
      </c>
      <c r="AA211" s="201">
        <v>0</v>
      </c>
      <c r="AB211" s="200">
        <v>0</v>
      </c>
      <c r="AC211" s="200">
        <v>0</v>
      </c>
      <c r="AD211" s="200">
        <v>6</v>
      </c>
      <c r="AE211" s="200" t="s">
        <v>429</v>
      </c>
      <c r="AF211" s="495">
        <f ca="1">Table2[[#This Row],[End Date]]+2-TODAY()</f>
        <v>-177</v>
      </c>
      <c r="AG211" s="496">
        <f>IF(ISBLANK(Table2[[#This Row],[Roster Received by]]),1,0)</f>
        <v>0</v>
      </c>
      <c r="AH211" s="496">
        <f ca="1">IF(Table2[[#This Row],[Start Date]]&gt;TODAY(),1,)</f>
        <v>0</v>
      </c>
      <c r="AI211" s="496">
        <f>IF(ISBLANK(Table2[[#This Row],[Primary Instructor]]),0,1)</f>
        <v>1</v>
      </c>
      <c r="AJ211" s="496">
        <f>IF(ISBLANK(Table2[[#This Row],[Instructor 2]]),0,1)</f>
        <v>0</v>
      </c>
      <c r="AK211" s="496">
        <f>Table2[[#This Row],[Course Length (Hours)]]/(Table2[[#This Row],[1 Instructor]]+Table2[[#This Row],[2 Instructors]])</f>
        <v>4</v>
      </c>
      <c r="AL211" s="318">
        <v>12</v>
      </c>
      <c r="AM211" s="497">
        <v>2</v>
      </c>
      <c r="AN211" s="496" t="str">
        <f>VLOOKUP(Table2[[#This Row],[Course Title]],'TSD-Data'!$A$1:$G$83,7,FALSE)</f>
        <v>N3</v>
      </c>
      <c r="AO211" s="500">
        <f>Table2[[#This Row],[Quotas]]-Table2[[#This Row],[Graduates]]-Table2[[#This Row],[Fail]]</f>
        <v>12</v>
      </c>
    </row>
    <row r="212" spans="2:41" ht="15" customHeight="1" x14ac:dyDescent="0.25">
      <c r="B212" s="530"/>
      <c r="C212" s="530" t="s">
        <v>84</v>
      </c>
      <c r="D212" s="200" t="str">
        <f>VLOOKUP(Table2[[#This Row],[Course Title]],'TSD-Data'!$A$1:$E$83,2,FALSE)</f>
        <v>A-493-0083</v>
      </c>
      <c r="E212" s="200" t="str">
        <f>VLOOKUP(Table2[[#This Row],[Course Title]],'TSD-Data'!$A$1:$E$83,3,FALSE)</f>
        <v>339E</v>
      </c>
      <c r="F212" s="530" t="s">
        <v>81</v>
      </c>
      <c r="G212" s="531">
        <v>46065</v>
      </c>
      <c r="H212" s="531">
        <v>46065</v>
      </c>
      <c r="I212" s="531" t="s">
        <v>42</v>
      </c>
      <c r="J212" s="532">
        <v>0.33333333333333331</v>
      </c>
      <c r="K212" s="532"/>
      <c r="L212" s="531"/>
      <c r="M212" s="531"/>
      <c r="N212" s="531"/>
      <c r="O212" s="531"/>
      <c r="P212" s="531"/>
      <c r="Q212" s="535" t="s">
        <v>48</v>
      </c>
      <c r="R212" s="535"/>
      <c r="S212" s="535"/>
      <c r="T212" s="200">
        <f>VLOOKUP(Table2[[#This Row],[Course Title]],'TSD-Data'!$A$1:$E$83,4,FALSE)</f>
        <v>30</v>
      </c>
      <c r="U212" s="200">
        <f>VLOOKUP(Table2[[#This Row],[Course Title]],'TSD-Data'!$A$1:$F$83,6,FALSE)</f>
        <v>8</v>
      </c>
      <c r="V212" s="201">
        <f>VLOOKUP(Table2[[#This Row],[Course Title]],'TSD-Data'!$A$1:$F$83,5,FALSE)</f>
        <v>1</v>
      </c>
      <c r="W212" s="201">
        <v>59</v>
      </c>
      <c r="X212" s="200">
        <f>Table2[[#This Row],[Quotas]]-Table2[[#This Row],[Open Quotas]]</f>
        <v>0</v>
      </c>
      <c r="Y212" s="200">
        <v>0</v>
      </c>
      <c r="Z212" s="201">
        <v>0</v>
      </c>
      <c r="AA212" s="201">
        <v>0</v>
      </c>
      <c r="AB212" s="200">
        <v>0</v>
      </c>
      <c r="AC212" s="200">
        <v>0</v>
      </c>
      <c r="AD212" s="200">
        <v>0</v>
      </c>
      <c r="AE212" s="200" t="s">
        <v>428</v>
      </c>
      <c r="AF212" s="495">
        <f ca="1">Table2[[#This Row],[End Date]]+2-TODAY()</f>
        <v>-177</v>
      </c>
      <c r="AG212" s="496">
        <f>IF(ISBLANK(Table2[[#This Row],[Roster Received by]]),1,0)</f>
        <v>0</v>
      </c>
      <c r="AH212" s="496">
        <f ca="1">IF(Table2[[#This Row],[Start Date]]&gt;TODAY(),1,)</f>
        <v>0</v>
      </c>
      <c r="AI212" s="496">
        <f>IF(ISBLANK(Table2[[#This Row],[Primary Instructor]]),0,1)</f>
        <v>1</v>
      </c>
      <c r="AJ212" s="496">
        <f>IF(ISBLANK(Table2[[#This Row],[Instructor 2]]),0,1)</f>
        <v>0</v>
      </c>
      <c r="AK212" s="496">
        <f>Table2[[#This Row],[Course Length (Hours)]]/(Table2[[#This Row],[1 Instructor]]+Table2[[#This Row],[2 Instructors]])</f>
        <v>8</v>
      </c>
      <c r="AL212" s="318">
        <v>30</v>
      </c>
      <c r="AM212" s="497">
        <v>2</v>
      </c>
      <c r="AN212" s="496" t="str">
        <f>VLOOKUP(Table2[[#This Row],[Course Title]],'TSD-Data'!$A$1:$G$83,7,FALSE)</f>
        <v>N4</v>
      </c>
      <c r="AO212" s="500">
        <f>Table2[[#This Row],[Quotas]]-Table2[[#This Row],[Graduates]]-Table2[[#This Row],[Fail]]</f>
        <v>30</v>
      </c>
    </row>
    <row r="213" spans="2:41" ht="15" customHeight="1" x14ac:dyDescent="0.25">
      <c r="B213" s="530" t="s">
        <v>456</v>
      </c>
      <c r="C213" s="530" t="s">
        <v>99</v>
      </c>
      <c r="D213" s="200" t="str">
        <f>VLOOKUP(Table2[[#This Row],[Course Title]],'TSD-Data'!$A$1:$E$83,2,FALSE)</f>
        <v>A-493-2501</v>
      </c>
      <c r="E213" s="200" t="str">
        <f>VLOOKUP(Table2[[#This Row],[Course Title]],'TSD-Data'!$A$1:$E$83,3,FALSE)</f>
        <v>05ZE</v>
      </c>
      <c r="F213" s="530" t="s">
        <v>297</v>
      </c>
      <c r="G213" s="531">
        <v>46066</v>
      </c>
      <c r="H213" s="531">
        <v>46066</v>
      </c>
      <c r="I213" s="531" t="s">
        <v>42</v>
      </c>
      <c r="J213" s="532">
        <v>0.33333333333333331</v>
      </c>
      <c r="K213" s="532"/>
      <c r="L213" s="531"/>
      <c r="M213" s="531"/>
      <c r="N213" s="531"/>
      <c r="O213" s="531"/>
      <c r="P213" s="531"/>
      <c r="Q213" s="535" t="s">
        <v>48</v>
      </c>
      <c r="R213" s="535"/>
      <c r="S213" s="535"/>
      <c r="T213" s="200">
        <f>VLOOKUP(Table2[[#This Row],[Course Title]],'TSD-Data'!$A$1:$E$83,4,FALSE)</f>
        <v>30</v>
      </c>
      <c r="U213" s="200">
        <f>VLOOKUP(Table2[[#This Row],[Course Title]],'TSD-Data'!$A$1:$F$83,6,FALSE)</f>
        <v>8</v>
      </c>
      <c r="V213" s="201">
        <f>VLOOKUP(Table2[[#This Row],[Course Title]],'TSD-Data'!$A$1:$F$83,5,FALSE)</f>
        <v>1</v>
      </c>
      <c r="W213" s="201">
        <v>51</v>
      </c>
      <c r="X213" s="200">
        <f>Table2[[#This Row],[Quotas]]-Table2[[#This Row],[Open Quotas]]</f>
        <v>13</v>
      </c>
      <c r="Y213" s="200">
        <v>0</v>
      </c>
      <c r="Z213" s="201">
        <v>12</v>
      </c>
      <c r="AA213" s="201">
        <v>4</v>
      </c>
      <c r="AB213" s="200">
        <v>10</v>
      </c>
      <c r="AC213" s="200">
        <v>12</v>
      </c>
      <c r="AD213" s="200">
        <v>0</v>
      </c>
      <c r="AE213" s="200" t="s">
        <v>428</v>
      </c>
      <c r="AF213" s="495">
        <f ca="1">Table2[[#This Row],[End Date]]+2-TODAY()</f>
        <v>-176</v>
      </c>
      <c r="AG213" s="496">
        <f>IF(ISBLANK(Table2[[#This Row],[Roster Received by]]),1,0)</f>
        <v>0</v>
      </c>
      <c r="AH213" s="496">
        <f ca="1">IF(Table2[[#This Row],[Start Date]]&gt;TODAY(),1,)</f>
        <v>0</v>
      </c>
      <c r="AI213" s="496">
        <f>IF(ISBLANK(Table2[[#This Row],[Primary Instructor]]),0,1)</f>
        <v>1</v>
      </c>
      <c r="AJ213" s="496">
        <f>IF(ISBLANK(Table2[[#This Row],[Instructor 2]]),0,1)</f>
        <v>0</v>
      </c>
      <c r="AK213" s="496">
        <f>Table2[[#This Row],[Course Length (Hours)]]/(Table2[[#This Row],[1 Instructor]]+Table2[[#This Row],[2 Instructors]])</f>
        <v>8</v>
      </c>
      <c r="AL213" s="318">
        <v>17</v>
      </c>
      <c r="AM213" s="497">
        <v>2</v>
      </c>
      <c r="AN213" s="496" t="str">
        <f>VLOOKUP(Table2[[#This Row],[Course Title]],'TSD-Data'!$A$1:$G$83,7,FALSE)</f>
        <v>N4</v>
      </c>
      <c r="AO213" s="500">
        <f>Table2[[#This Row],[Quotas]]-Table2[[#This Row],[Graduates]]-Table2[[#This Row],[Fail]]</f>
        <v>14</v>
      </c>
    </row>
    <row r="214" spans="2:41" s="202" customFormat="1" ht="15" customHeight="1" x14ac:dyDescent="0.25">
      <c r="B214" s="530"/>
      <c r="C214" s="530" t="s">
        <v>276</v>
      </c>
      <c r="D214" s="200" t="str">
        <f>VLOOKUP(Table2[[#This Row],[Course Title]],'TSD-Data'!$A$1:$E$83,2,FALSE)</f>
        <v>A-493-0103</v>
      </c>
      <c r="E214" s="200" t="str">
        <f>VLOOKUP(Table2[[#This Row],[Course Title]],'TSD-Data'!$A$1:$E$83,3,FALSE)</f>
        <v>12JY</v>
      </c>
      <c r="F214" s="550" t="s">
        <v>121</v>
      </c>
      <c r="G214" s="531">
        <v>46069</v>
      </c>
      <c r="H214" s="531">
        <v>46073</v>
      </c>
      <c r="I214" s="531" t="s">
        <v>42</v>
      </c>
      <c r="J214" s="532">
        <v>0.33333333333333331</v>
      </c>
      <c r="K214" s="532"/>
      <c r="L214" s="531"/>
      <c r="M214" s="531"/>
      <c r="N214" s="531"/>
      <c r="O214" s="531"/>
      <c r="P214" s="531"/>
      <c r="Q214" s="535" t="s">
        <v>280</v>
      </c>
      <c r="R214" s="535"/>
      <c r="S214" s="535"/>
      <c r="T214" s="200">
        <f>VLOOKUP(Table2[[#This Row],[Course Title]],'TSD-Data'!$A$1:$E$83,4,FALSE)</f>
        <v>25</v>
      </c>
      <c r="U214" s="200">
        <f>VLOOKUP(Table2[[#This Row],[Course Title]],'TSD-Data'!$A$1:$F$83,6,FALSE)</f>
        <v>40</v>
      </c>
      <c r="V214" s="201">
        <f>VLOOKUP(Table2[[#This Row],[Course Title]],'TSD-Data'!$A$1:$F$83,5,FALSE)</f>
        <v>5</v>
      </c>
      <c r="W214" s="201">
        <v>225</v>
      </c>
      <c r="X214" s="200">
        <f>Table2[[#This Row],[Quotas]]-Table2[[#This Row],[Open Quotas]]</f>
        <v>13</v>
      </c>
      <c r="Y214" s="200">
        <v>0</v>
      </c>
      <c r="Z214" s="201">
        <v>14</v>
      </c>
      <c r="AA214" s="201">
        <v>0</v>
      </c>
      <c r="AB214" s="200">
        <v>6</v>
      </c>
      <c r="AC214" s="200">
        <v>5</v>
      </c>
      <c r="AD214" s="200">
        <v>0</v>
      </c>
      <c r="AE214" s="200" t="s">
        <v>431</v>
      </c>
      <c r="AF214" s="495">
        <f ca="1">Table2[[#This Row],[End Date]]+2-TODAY()</f>
        <v>-169</v>
      </c>
      <c r="AG214" s="496">
        <f>IF(ISBLANK(Table2[[#This Row],[Roster Received by]]),1,0)</f>
        <v>0</v>
      </c>
      <c r="AH214" s="496">
        <f ca="1">IF(Table2[[#This Row],[Start Date]]&gt;TODAY(),1,)</f>
        <v>0</v>
      </c>
      <c r="AI214" s="496">
        <f>IF(ISBLANK(Table2[[#This Row],[Primary Instructor]]),0,1)</f>
        <v>1</v>
      </c>
      <c r="AJ214" s="496">
        <f>IF(ISBLANK(Table2[[#This Row],[Instructor 2]]),0,1)</f>
        <v>0</v>
      </c>
      <c r="AK214" s="496">
        <f>Table2[[#This Row],[Course Length (Hours)]]/(Table2[[#This Row],[1 Instructor]]+Table2[[#This Row],[2 Instructors]])</f>
        <v>40</v>
      </c>
      <c r="AL214" s="318">
        <v>12</v>
      </c>
      <c r="AM214" s="497">
        <v>2</v>
      </c>
      <c r="AN214" s="496" t="str">
        <f>VLOOKUP(Table2[[#This Row],[Course Title]],'TSD-Data'!$A$1:$G$83,7,FALSE)</f>
        <v>N5</v>
      </c>
      <c r="AO214" s="500">
        <f>Table2[[#This Row],[Quotas]]-Table2[[#This Row],[Graduates]]-Table2[[#This Row],[Fail]]</f>
        <v>11</v>
      </c>
    </row>
    <row r="215" spans="2:41" ht="15" customHeight="1" x14ac:dyDescent="0.25">
      <c r="B215" s="530" t="s">
        <v>224</v>
      </c>
      <c r="C215" s="530" t="s">
        <v>218</v>
      </c>
      <c r="D215" s="200" t="str">
        <f>VLOOKUP(Table2[[#This Row],[Course Title]],'TSD-Data'!$A$1:$E$83,2,FALSE)</f>
        <v>Holiday</v>
      </c>
      <c r="E215" s="200" t="str">
        <f>VLOOKUP(Table2[[#This Row],[Course Title]],'TSD-Data'!$A$1:$E$83,3,FALSE)</f>
        <v>Holiday</v>
      </c>
      <c r="F215" s="530" t="s">
        <v>218</v>
      </c>
      <c r="G215" s="531">
        <v>46069</v>
      </c>
      <c r="H215" s="531">
        <v>46069</v>
      </c>
      <c r="I215" s="531" t="s">
        <v>434</v>
      </c>
      <c r="J215" s="532"/>
      <c r="K215" s="532"/>
      <c r="L215" s="531"/>
      <c r="M215" s="531"/>
      <c r="N215" s="531"/>
      <c r="O215" s="531"/>
      <c r="P215" s="531"/>
      <c r="Q215" s="542" t="s">
        <v>435</v>
      </c>
      <c r="R215" s="535"/>
      <c r="S215" s="542"/>
      <c r="T215" s="200">
        <f>VLOOKUP(Table2[[#This Row],[Course Title]],'TSD-Data'!$A$1:$E$83,4,FALSE)</f>
        <v>0</v>
      </c>
      <c r="U215" s="200">
        <f>VLOOKUP(Table2[[#This Row],[Course Title]],'TSD-Data'!$A$1:$F$83,6,FALSE)</f>
        <v>0</v>
      </c>
      <c r="V215" s="201">
        <f>VLOOKUP(Table2[[#This Row],[Course Title]],'TSD-Data'!$A$1:$F$83,5,FALSE)</f>
        <v>0</v>
      </c>
      <c r="W215" s="201">
        <v>0</v>
      </c>
      <c r="X215" s="200">
        <f>Table2[[#This Row],[Quotas]]-Table2[[#This Row],[Open Quotas]]</f>
        <v>0</v>
      </c>
      <c r="Y215" s="200">
        <v>0</v>
      </c>
      <c r="Z215" s="200">
        <v>0</v>
      </c>
      <c r="AA215" s="200">
        <v>0</v>
      </c>
      <c r="AB215" s="200">
        <v>0</v>
      </c>
      <c r="AC215" s="200">
        <v>0</v>
      </c>
      <c r="AD215" s="200">
        <v>0</v>
      </c>
      <c r="AE215" s="541" t="s">
        <v>436</v>
      </c>
      <c r="AF215" s="495">
        <f ca="1">Table2[[#This Row],[End Date]]+2-TODAY()</f>
        <v>-173</v>
      </c>
      <c r="AG215" s="496">
        <f>IF(ISBLANK(Table2[[#This Row],[Roster Received by]]),1,0)</f>
        <v>0</v>
      </c>
      <c r="AH215" s="496">
        <f ca="1">IF(Table2[[#This Row],[Start Date]]&gt;TODAY(),1,)</f>
        <v>0</v>
      </c>
      <c r="AI215" s="496">
        <f>IF(ISBLANK(Table2[[#This Row],[Primary Instructor]]),0,1)</f>
        <v>1</v>
      </c>
      <c r="AJ215" s="496">
        <f>IF(ISBLANK(Table2[[#This Row],[Instructor 2]]),0,1)</f>
        <v>0</v>
      </c>
      <c r="AK215" s="496">
        <f>Table2[[#This Row],[Course Length (Hours)]]/(Table2[[#This Row],[1 Instructor]]+Table2[[#This Row],[2 Instructors]])</f>
        <v>0</v>
      </c>
      <c r="AL215" s="318"/>
      <c r="AM215" s="497">
        <v>2</v>
      </c>
      <c r="AN215" s="496" t="str">
        <f>VLOOKUP(Table2[[#This Row],[Course Title]],'TSD-Data'!$A$1:$G$83,7,FALSE)</f>
        <v>TSD</v>
      </c>
      <c r="AO215" s="500">
        <f>Table2[[#This Row],[Quotas]]-Table2[[#This Row],[Graduates]]-Table2[[#This Row],[Fail]]</f>
        <v>0</v>
      </c>
    </row>
    <row r="216" spans="2:41" s="202" customFormat="1" ht="15" customHeight="1" x14ac:dyDescent="0.25">
      <c r="B216" s="530"/>
      <c r="C216" s="542" t="s">
        <v>249</v>
      </c>
      <c r="D216" s="200" t="str">
        <f>VLOOKUP(Table2[[#This Row],[Course Title]],'TSD-Data'!$A$1:$E$83,2,FALSE)</f>
        <v>A-493-0331</v>
      </c>
      <c r="E216" s="200" t="str">
        <f>VLOOKUP(Table2[[#This Row],[Course Title]],'TSD-Data'!$A$1:$E$83,3,FALSE)</f>
        <v>10UG</v>
      </c>
      <c r="F216" s="530" t="s">
        <v>54</v>
      </c>
      <c r="G216" s="531">
        <v>46070</v>
      </c>
      <c r="H216" s="531">
        <v>46072</v>
      </c>
      <c r="I216" s="531" t="s">
        <v>42</v>
      </c>
      <c r="J216" s="532"/>
      <c r="K216" s="536">
        <v>0.5</v>
      </c>
      <c r="L216" s="536">
        <v>0.375</v>
      </c>
      <c r="M216" s="536">
        <v>0.83333333333333337</v>
      </c>
      <c r="N216" s="536">
        <v>0.75</v>
      </c>
      <c r="O216" s="536">
        <v>0.29166666666666669</v>
      </c>
      <c r="P216" s="536">
        <v>8.3333333333333329E-2</v>
      </c>
      <c r="Q216" s="535" t="s">
        <v>437</v>
      </c>
      <c r="R216" s="535" t="s">
        <v>111</v>
      </c>
      <c r="S216" s="535"/>
      <c r="T216" s="200">
        <f>VLOOKUP(Table2[[#This Row],[Course Title]],'TSD-Data'!$A$1:$E$83,4,FALSE)</f>
        <v>45</v>
      </c>
      <c r="U216" s="200">
        <f>VLOOKUP(Table2[[#This Row],[Course Title]],'TSD-Data'!$A$1:$F$83,6,FALSE)</f>
        <v>24</v>
      </c>
      <c r="V216" s="201">
        <f>VLOOKUP(Table2[[#This Row],[Course Title]],'TSD-Data'!$A$1:$F$83,5,FALSE)</f>
        <v>3</v>
      </c>
      <c r="W216" s="201">
        <v>844</v>
      </c>
      <c r="X216" s="200">
        <f>Table2[[#This Row],[Quotas]]-Table2[[#This Row],[Open Quotas]]</f>
        <v>43</v>
      </c>
      <c r="Y216" s="200">
        <v>5</v>
      </c>
      <c r="Z216" s="201">
        <v>39</v>
      </c>
      <c r="AA216" s="201">
        <v>0</v>
      </c>
      <c r="AB216" s="200">
        <v>11</v>
      </c>
      <c r="AC216" s="200">
        <v>5</v>
      </c>
      <c r="AD216" s="200">
        <v>0</v>
      </c>
      <c r="AE216" s="200" t="s">
        <v>429</v>
      </c>
      <c r="AF216" s="495">
        <f ca="1">Table2[[#This Row],[End Date]]+2-TODAY()</f>
        <v>-170</v>
      </c>
      <c r="AG216" s="496">
        <f>IF(ISBLANK(Table2[[#This Row],[Roster Received by]]),1,0)</f>
        <v>0</v>
      </c>
      <c r="AH216" s="496">
        <f ca="1">IF(Table2[[#This Row],[Start Date]]&gt;TODAY(),1,)</f>
        <v>0</v>
      </c>
      <c r="AI216" s="496">
        <f>IF(ISBLANK(Table2[[#This Row],[Primary Instructor]]),0,1)</f>
        <v>1</v>
      </c>
      <c r="AJ216" s="496">
        <f>IF(ISBLANK(Table2[[#This Row],[Instructor 2]]),0,1)</f>
        <v>1</v>
      </c>
      <c r="AK216" s="496">
        <f>Table2[[#This Row],[Course Length (Hours)]]/(Table2[[#This Row],[1 Instructor]]+Table2[[#This Row],[2 Instructors]])</f>
        <v>12</v>
      </c>
      <c r="AL216" s="318">
        <v>2</v>
      </c>
      <c r="AM216" s="497">
        <v>2</v>
      </c>
      <c r="AN216" s="496" t="str">
        <f>VLOOKUP(Table2[[#This Row],[Course Title]],'TSD-Data'!$A$1:$G$83,7,FALSE)</f>
        <v>N3</v>
      </c>
      <c r="AO216" s="500">
        <f>Table2[[#This Row],[Quotas]]-Table2[[#This Row],[Graduates]]-Table2[[#This Row],[Fail]]</f>
        <v>6</v>
      </c>
    </row>
    <row r="217" spans="2:41" ht="15" customHeight="1" x14ac:dyDescent="0.25">
      <c r="B217" s="530"/>
      <c r="C217" s="530" t="s">
        <v>236</v>
      </c>
      <c r="D217" s="200" t="str">
        <f>VLOOKUP(Table2[[#This Row],[Course Title]],'TSD-Data'!$A$1:$E$83,2,FALSE)</f>
        <v>A-493-2098</v>
      </c>
      <c r="E217" s="200" t="str">
        <f>VLOOKUP(Table2[[#This Row],[Course Title]],'TSD-Data'!$A$1:$E$83,3,FALSE)</f>
        <v>09WW</v>
      </c>
      <c r="F217" s="530" t="s">
        <v>54</v>
      </c>
      <c r="G217" s="531">
        <v>46070</v>
      </c>
      <c r="H217" s="531">
        <v>46072</v>
      </c>
      <c r="I217" s="531" t="s">
        <v>42</v>
      </c>
      <c r="J217" s="532"/>
      <c r="K217" s="532">
        <v>0.79166666666666663</v>
      </c>
      <c r="L217" s="536">
        <v>0.66666666666666663</v>
      </c>
      <c r="M217" s="536">
        <v>8.3333333333333329E-2</v>
      </c>
      <c r="N217" s="536">
        <v>0</v>
      </c>
      <c r="O217" s="536">
        <v>0.54166666666666663</v>
      </c>
      <c r="P217" s="536">
        <v>0.33333333333333331</v>
      </c>
      <c r="Q217" s="535" t="s">
        <v>43</v>
      </c>
      <c r="R217" s="535"/>
      <c r="S217" s="535"/>
      <c r="T217" s="200">
        <f>VLOOKUP(Table2[[#This Row],[Course Title]],'TSD-Data'!$A$1:$E$83,4,FALSE)</f>
        <v>100</v>
      </c>
      <c r="U217" s="200">
        <f>VLOOKUP(Table2[[#This Row],[Course Title]],'TSD-Data'!$A$1:$F$83,6,FALSE)</f>
        <v>16</v>
      </c>
      <c r="V217" s="201">
        <f>VLOOKUP(Table2[[#This Row],[Course Title]],'TSD-Data'!$A$1:$F$83,5,FALSE)</f>
        <v>3</v>
      </c>
      <c r="W217" s="201"/>
      <c r="X217" s="200">
        <f>Table2[[#This Row],[Quotas]]-Table2[[#This Row],[Open Quotas]]</f>
        <v>100</v>
      </c>
      <c r="Y217" s="200">
        <v>0</v>
      </c>
      <c r="Z217" s="201">
        <v>76</v>
      </c>
      <c r="AA217" s="201">
        <v>4</v>
      </c>
      <c r="AB217" s="200">
        <v>22</v>
      </c>
      <c r="AC217" s="200">
        <v>2</v>
      </c>
      <c r="AD217" s="200">
        <v>0</v>
      </c>
      <c r="AE217" s="200" t="s">
        <v>428</v>
      </c>
      <c r="AF217" s="495">
        <f ca="1">Table2[[#This Row],[End Date]]+2-TODAY()</f>
        <v>-170</v>
      </c>
      <c r="AG217" s="496">
        <f>IF(ISBLANK(Table2[[#This Row],[Roster Received by]]),1,0)</f>
        <v>0</v>
      </c>
      <c r="AH217" s="496">
        <f ca="1">IF(Table2[[#This Row],[Start Date]]&gt;TODAY(),1,)</f>
        <v>0</v>
      </c>
      <c r="AI217" s="496">
        <f>IF(ISBLANK(Table2[[#This Row],[Primary Instructor]]),0,1)</f>
        <v>1</v>
      </c>
      <c r="AJ217" s="496">
        <f>IF(ISBLANK(Table2[[#This Row],[Instructor 2]]),0,1)</f>
        <v>0</v>
      </c>
      <c r="AK217" s="496">
        <f>Table2[[#This Row],[Course Length (Hours)]]/(Table2[[#This Row],[1 Instructor]]+Table2[[#This Row],[2 Instructors]])</f>
        <v>16</v>
      </c>
      <c r="AL217" s="318">
        <v>0</v>
      </c>
      <c r="AM217" s="497">
        <v>2</v>
      </c>
      <c r="AN217" s="496" t="str">
        <f>VLOOKUP(Table2[[#This Row],[Course Title]],'TSD-Data'!$A$1:$G$83,7,FALSE)</f>
        <v>N8</v>
      </c>
      <c r="AO217" s="500">
        <f>Table2[[#This Row],[Quotas]]-Table2[[#This Row],[Graduates]]-Table2[[#This Row],[Fail]]</f>
        <v>20</v>
      </c>
    </row>
    <row r="218" spans="2:41" ht="15" customHeight="1" x14ac:dyDescent="0.25">
      <c r="B218" s="530"/>
      <c r="C218" s="530" t="s">
        <v>275</v>
      </c>
      <c r="D218" s="200" t="str">
        <f>VLOOKUP(Table2[[#This Row],[Course Title]],'TSD-Data'!$A$1:$E$83,2,FALSE)</f>
        <v>A-493-0099</v>
      </c>
      <c r="E218" s="200" t="str">
        <f>VLOOKUP(Table2[[#This Row],[Course Title]],'TSD-Data'!$A$1:$E$83,3,FALSE)</f>
        <v>12JW</v>
      </c>
      <c r="F218" s="530" t="s">
        <v>54</v>
      </c>
      <c r="G218" s="531">
        <v>46071</v>
      </c>
      <c r="H218" s="531">
        <v>46073</v>
      </c>
      <c r="I218" s="531" t="s">
        <v>42</v>
      </c>
      <c r="J218" s="532"/>
      <c r="K218" s="532">
        <v>0.33333333333333331</v>
      </c>
      <c r="L218" s="532">
        <v>0.20833333333333334</v>
      </c>
      <c r="M218" s="541">
        <v>1600</v>
      </c>
      <c r="N218" s="541">
        <v>1400</v>
      </c>
      <c r="O218" s="532">
        <v>0.125</v>
      </c>
      <c r="P218" s="541">
        <v>2200</v>
      </c>
      <c r="Q218" s="535" t="s">
        <v>274</v>
      </c>
      <c r="R218" s="535"/>
      <c r="S218" s="535"/>
      <c r="T218" s="200">
        <f>VLOOKUP(Table2[[#This Row],[Course Title]],'TSD-Data'!$A$1:$E$83,4,FALSE)</f>
        <v>45</v>
      </c>
      <c r="U218" s="200">
        <f>VLOOKUP(Table2[[#This Row],[Course Title]],'TSD-Data'!$A$1:$F$83,6,FALSE)</f>
        <v>24</v>
      </c>
      <c r="V218" s="201">
        <f>VLOOKUP(Table2[[#This Row],[Course Title]],'TSD-Data'!$A$1:$F$83,5,FALSE)</f>
        <v>3</v>
      </c>
      <c r="W218" s="201">
        <v>334</v>
      </c>
      <c r="X218" s="200">
        <f>Table2[[#This Row],[Quotas]]-Table2[[#This Row],[Open Quotas]]</f>
        <v>25</v>
      </c>
      <c r="Y218" s="200">
        <v>0</v>
      </c>
      <c r="Z218" s="201">
        <v>28</v>
      </c>
      <c r="AA218" s="201">
        <v>0</v>
      </c>
      <c r="AB218" s="200">
        <v>3</v>
      </c>
      <c r="AC218" s="200">
        <v>0</v>
      </c>
      <c r="AD218" s="200">
        <v>0</v>
      </c>
      <c r="AE218" s="200" t="s">
        <v>431</v>
      </c>
      <c r="AF218" s="495">
        <f ca="1">Table2[[#This Row],[End Date]]+2-TODAY()</f>
        <v>-169</v>
      </c>
      <c r="AG218" s="496">
        <f>IF(ISBLANK(Table2[[#This Row],[Roster Received by]]),1,0)</f>
        <v>0</v>
      </c>
      <c r="AH218" s="496">
        <f ca="1">IF(Table2[[#This Row],[Start Date]]&gt;TODAY(),1,)</f>
        <v>0</v>
      </c>
      <c r="AI218" s="496">
        <f>IF(ISBLANK(Table2[[#This Row],[Primary Instructor]]),0,1)</f>
        <v>1</v>
      </c>
      <c r="AJ218" s="496">
        <f>IF(ISBLANK(Table2[[#This Row],[Instructor 2]]),0,1)</f>
        <v>0</v>
      </c>
      <c r="AK218" s="496">
        <f>Table2[[#This Row],[Course Length (Hours)]]/(Table2[[#This Row],[1 Instructor]]+Table2[[#This Row],[2 Instructors]])</f>
        <v>24</v>
      </c>
      <c r="AL218" s="318">
        <v>20</v>
      </c>
      <c r="AM218" s="497">
        <v>2</v>
      </c>
      <c r="AN218" s="496" t="str">
        <f>VLOOKUP(Table2[[#This Row],[Course Title]],'TSD-Data'!$A$1:$G$83,7,FALSE)</f>
        <v>N5</v>
      </c>
      <c r="AO218" s="500">
        <f>Table2[[#This Row],[Quotas]]-Table2[[#This Row],[Graduates]]-Table2[[#This Row],[Fail]]</f>
        <v>17</v>
      </c>
    </row>
    <row r="219" spans="2:41" ht="15" customHeight="1" x14ac:dyDescent="0.25">
      <c r="B219" s="530"/>
      <c r="C219" s="557" t="s">
        <v>72</v>
      </c>
      <c r="D219" s="200" t="str">
        <f>VLOOKUP(Table2[[#This Row],[Course Title]],'TSD-Data'!$A$1:$E$83,2,FALSE)</f>
        <v>A-493-0092</v>
      </c>
      <c r="E219" s="200">
        <f>VLOOKUP(Table2[[#This Row],[Course Title]],'TSD-Data'!$A$1:$E$83,3,FALSE)</f>
        <v>5891</v>
      </c>
      <c r="F219" s="530" t="s">
        <v>51</v>
      </c>
      <c r="G219" s="531">
        <v>46071</v>
      </c>
      <c r="H219" s="531">
        <v>46073</v>
      </c>
      <c r="I219" s="531" t="s">
        <v>42</v>
      </c>
      <c r="J219" s="532">
        <v>0.33333333333333331</v>
      </c>
      <c r="K219" s="532"/>
      <c r="L219" s="531"/>
      <c r="M219" s="531"/>
      <c r="N219" s="531"/>
      <c r="O219" s="531"/>
      <c r="P219" s="531"/>
      <c r="Q219" s="535" t="s">
        <v>62</v>
      </c>
      <c r="R219" s="535"/>
      <c r="S219" s="535" t="s">
        <v>43</v>
      </c>
      <c r="T219" s="200">
        <f>VLOOKUP(Table2[[#This Row],[Course Title]],'TSD-Data'!$A$1:$E$83,4,FALSE)</f>
        <v>25</v>
      </c>
      <c r="U219" s="200">
        <f>VLOOKUP(Table2[[#This Row],[Course Title]],'TSD-Data'!$A$1:$F$83,6,FALSE)</f>
        <v>24</v>
      </c>
      <c r="V219" s="201">
        <f>VLOOKUP(Table2[[#This Row],[Course Title]],'TSD-Data'!$A$1:$F$83,5,FALSE)</f>
        <v>3</v>
      </c>
      <c r="W219" s="201">
        <v>51</v>
      </c>
      <c r="X219" s="200">
        <f>Table2[[#This Row],[Quotas]]-Table2[[#This Row],[Open Quotas]]</f>
        <v>17</v>
      </c>
      <c r="Y219" s="200">
        <v>0</v>
      </c>
      <c r="Z219" s="201">
        <v>13</v>
      </c>
      <c r="AA219" s="201">
        <v>0</v>
      </c>
      <c r="AB219" s="200">
        <v>5</v>
      </c>
      <c r="AC219" s="200">
        <v>1</v>
      </c>
      <c r="AD219" s="200">
        <v>0</v>
      </c>
      <c r="AE219" s="200" t="s">
        <v>429</v>
      </c>
      <c r="AF219" s="495">
        <f ca="1">Table2[[#This Row],[End Date]]+2-TODAY()</f>
        <v>-169</v>
      </c>
      <c r="AG219" s="496">
        <f>IF(ISBLANK(Table2[[#This Row],[Roster Received by]]),1,0)</f>
        <v>0</v>
      </c>
      <c r="AH219" s="496">
        <f ca="1">IF(Table2[[#This Row],[Start Date]]&gt;TODAY(),1,)</f>
        <v>0</v>
      </c>
      <c r="AI219" s="496">
        <f>IF(ISBLANK(Table2[[#This Row],[Primary Instructor]]),0,1)</f>
        <v>1</v>
      </c>
      <c r="AJ219" s="496">
        <f>IF(ISBLANK(Table2[[#This Row],[Instructor 2]]),0,1)</f>
        <v>0</v>
      </c>
      <c r="AK219" s="496">
        <f>Table2[[#This Row],[Course Length (Hours)]]/(Table2[[#This Row],[1 Instructor]]+Table2[[#This Row],[2 Instructors]])</f>
        <v>24</v>
      </c>
      <c r="AL219" s="318">
        <v>8</v>
      </c>
      <c r="AM219" s="497">
        <v>2</v>
      </c>
      <c r="AN219" s="496" t="str">
        <f>VLOOKUP(Table2[[#This Row],[Course Title]],'TSD-Data'!$A$1:$G$83,7,FALSE)</f>
        <v>N3</v>
      </c>
      <c r="AO219" s="500">
        <f>Table2[[#This Row],[Quotas]]-Table2[[#This Row],[Graduates]]-Table2[[#This Row],[Fail]]</f>
        <v>12</v>
      </c>
    </row>
    <row r="220" spans="2:41" s="202" customFormat="1" ht="15" customHeight="1" x14ac:dyDescent="0.25">
      <c r="B220" s="530"/>
      <c r="C220" s="530" t="s">
        <v>70</v>
      </c>
      <c r="D220" s="200" t="str">
        <f>VLOOKUP(Table2[[#This Row],[Course Title]],'TSD-Data'!$A$1:$E$83,2,FALSE)</f>
        <v>A-493-0077</v>
      </c>
      <c r="E220" s="200" t="str">
        <f>VLOOKUP(Table2[[#This Row],[Course Title]],'TSD-Data'!$A$1:$E$83,3,FALSE)</f>
        <v>0381</v>
      </c>
      <c r="F220" s="530" t="s">
        <v>78</v>
      </c>
      <c r="G220" s="531">
        <v>46071</v>
      </c>
      <c r="H220" s="531">
        <v>46073</v>
      </c>
      <c r="I220" s="531" t="s">
        <v>42</v>
      </c>
      <c r="J220" s="532">
        <v>0.33333333333333331</v>
      </c>
      <c r="K220" s="532"/>
      <c r="L220" s="531"/>
      <c r="M220" s="531"/>
      <c r="N220" s="531"/>
      <c r="O220" s="531"/>
      <c r="P220" s="531"/>
      <c r="Q220" s="535" t="s">
        <v>48</v>
      </c>
      <c r="R220" s="535"/>
      <c r="S220" s="535"/>
      <c r="T220" s="200">
        <f>VLOOKUP(Table2[[#This Row],[Course Title]],'TSD-Data'!$A$1:$E$83,4,FALSE)</f>
        <v>25</v>
      </c>
      <c r="U220" s="200">
        <f>VLOOKUP(Table2[[#This Row],[Course Title]],'TSD-Data'!$A$1:$F$83,6,FALSE)</f>
        <v>24</v>
      </c>
      <c r="V220" s="201">
        <f>VLOOKUP(Table2[[#This Row],[Course Title]],'TSD-Data'!$A$1:$F$83,5,FALSE)</f>
        <v>3</v>
      </c>
      <c r="W220" s="201">
        <v>34</v>
      </c>
      <c r="X220" s="200">
        <f>Table2[[#This Row],[Quotas]]-Table2[[#This Row],[Open Quotas]]</f>
        <v>23</v>
      </c>
      <c r="Y220" s="200">
        <v>0</v>
      </c>
      <c r="Z220" s="201">
        <v>22</v>
      </c>
      <c r="AA220" s="201">
        <v>0</v>
      </c>
      <c r="AB220" s="200">
        <v>5</v>
      </c>
      <c r="AC220" s="200">
        <v>4</v>
      </c>
      <c r="AD220" s="200">
        <v>0</v>
      </c>
      <c r="AE220" s="200" t="s">
        <v>428</v>
      </c>
      <c r="AF220" s="495">
        <f ca="1">Table2[[#This Row],[End Date]]+2-TODAY()</f>
        <v>-169</v>
      </c>
      <c r="AG220" s="496">
        <f>IF(ISBLANK(Table2[[#This Row],[Roster Received by]]),1,0)</f>
        <v>0</v>
      </c>
      <c r="AH220" s="496">
        <f ca="1">IF(Table2[[#This Row],[Start Date]]&gt;TODAY(),1,)</f>
        <v>0</v>
      </c>
      <c r="AI220" s="496">
        <f>IF(ISBLANK(Table2[[#This Row],[Primary Instructor]]),0,1)</f>
        <v>1</v>
      </c>
      <c r="AJ220" s="496">
        <f>IF(ISBLANK(Table2[[#This Row],[Instructor 2]]),0,1)</f>
        <v>0</v>
      </c>
      <c r="AK220" s="496">
        <f>Table2[[#This Row],[Course Length (Hours)]]/(Table2[[#This Row],[1 Instructor]]+Table2[[#This Row],[2 Instructors]])</f>
        <v>24</v>
      </c>
      <c r="AL220" s="318">
        <v>2</v>
      </c>
      <c r="AM220" s="497">
        <v>2</v>
      </c>
      <c r="AN220" s="496" t="str">
        <f>VLOOKUP(Table2[[#This Row],[Course Title]],'TSD-Data'!$A$1:$G$83,7,FALSE)</f>
        <v>N4</v>
      </c>
      <c r="AO220" s="500">
        <f>Table2[[#This Row],[Quotas]]-Table2[[#This Row],[Graduates]]-Table2[[#This Row],[Fail]]</f>
        <v>3</v>
      </c>
    </row>
    <row r="221" spans="2:41" ht="15" customHeight="1" x14ac:dyDescent="0.25">
      <c r="B221" s="530"/>
      <c r="C221" s="530" t="s">
        <v>84</v>
      </c>
      <c r="D221" s="200" t="str">
        <f>VLOOKUP(Table2[[#This Row],[Course Title]],'TSD-Data'!$A$1:$E$83,2,FALSE)</f>
        <v>A-493-0083</v>
      </c>
      <c r="E221" s="200" t="str">
        <f>VLOOKUP(Table2[[#This Row],[Course Title]],'TSD-Data'!$A$1:$E$83,3,FALSE)</f>
        <v>339E</v>
      </c>
      <c r="F221" s="530" t="s">
        <v>297</v>
      </c>
      <c r="G221" s="531">
        <v>46073</v>
      </c>
      <c r="H221" s="531">
        <v>46073</v>
      </c>
      <c r="I221" s="531" t="s">
        <v>42</v>
      </c>
      <c r="J221" s="532">
        <v>0.33333333333333331</v>
      </c>
      <c r="K221" s="532"/>
      <c r="L221" s="531"/>
      <c r="M221" s="531"/>
      <c r="N221" s="531"/>
      <c r="O221" s="531"/>
      <c r="P221" s="531"/>
      <c r="Q221" s="535" t="s">
        <v>48</v>
      </c>
      <c r="R221" s="535"/>
      <c r="S221" s="535"/>
      <c r="T221" s="200">
        <f>VLOOKUP(Table2[[#This Row],[Course Title]],'TSD-Data'!$A$1:$E$83,4,FALSE)</f>
        <v>30</v>
      </c>
      <c r="U221" s="200">
        <f>VLOOKUP(Table2[[#This Row],[Course Title]],'TSD-Data'!$A$1:$F$83,6,FALSE)</f>
        <v>8</v>
      </c>
      <c r="V221" s="201">
        <f>VLOOKUP(Table2[[#This Row],[Course Title]],'TSD-Data'!$A$1:$F$83,5,FALSE)</f>
        <v>1</v>
      </c>
      <c r="W221" s="201">
        <v>92</v>
      </c>
      <c r="X221" s="200">
        <f>Table2[[#This Row],[Quotas]]-Table2[[#This Row],[Open Quotas]]</f>
        <v>12</v>
      </c>
      <c r="Y221" s="200">
        <v>0</v>
      </c>
      <c r="Z221" s="201">
        <v>29</v>
      </c>
      <c r="AA221" s="201">
        <v>0</v>
      </c>
      <c r="AB221" s="200">
        <v>0</v>
      </c>
      <c r="AC221" s="200">
        <v>17</v>
      </c>
      <c r="AD221" s="200">
        <v>0</v>
      </c>
      <c r="AE221" s="200" t="s">
        <v>428</v>
      </c>
      <c r="AF221" s="495">
        <f ca="1">Table2[[#This Row],[End Date]]+2-TODAY()</f>
        <v>-169</v>
      </c>
      <c r="AG221" s="496">
        <f>IF(ISBLANK(Table2[[#This Row],[Roster Received by]]),1,0)</f>
        <v>0</v>
      </c>
      <c r="AH221" s="496">
        <f ca="1">IF(Table2[[#This Row],[Start Date]]&gt;TODAY(),1,)</f>
        <v>0</v>
      </c>
      <c r="AI221" s="496">
        <f>IF(ISBLANK(Table2[[#This Row],[Primary Instructor]]),0,1)</f>
        <v>1</v>
      </c>
      <c r="AJ221" s="496">
        <f>IF(ISBLANK(Table2[[#This Row],[Instructor 2]]),0,1)</f>
        <v>0</v>
      </c>
      <c r="AK221" s="496">
        <f>Table2[[#This Row],[Course Length (Hours)]]/(Table2[[#This Row],[1 Instructor]]+Table2[[#This Row],[2 Instructors]])</f>
        <v>8</v>
      </c>
      <c r="AL221" s="318">
        <v>18</v>
      </c>
      <c r="AM221" s="497">
        <v>2</v>
      </c>
      <c r="AN221" s="496" t="str">
        <f>VLOOKUP(Table2[[#This Row],[Course Title]],'TSD-Data'!$A$1:$G$83,7,FALSE)</f>
        <v>N4</v>
      </c>
      <c r="AO221" s="500">
        <f>Table2[[#This Row],[Quotas]]-Table2[[#This Row],[Graduates]]-Table2[[#This Row],[Fail]]</f>
        <v>1</v>
      </c>
    </row>
    <row r="222" spans="2:41" s="202" customFormat="1" ht="15" customHeight="1" x14ac:dyDescent="0.25">
      <c r="B222" s="530"/>
      <c r="C222" s="530" t="s">
        <v>200</v>
      </c>
      <c r="D222" s="200" t="str">
        <f>VLOOKUP(Table2[[#This Row],[Course Title]],'TSD-Data'!$A$1:$E$83,2,FALSE)</f>
        <v>A-493-0665</v>
      </c>
      <c r="E222" s="200" t="str">
        <f>VLOOKUP(Table2[[#This Row],[Course Title]],'TSD-Data'!$A$1:$E$83,3,FALSE)</f>
        <v>10KW</v>
      </c>
      <c r="F222" s="530" t="s">
        <v>54</v>
      </c>
      <c r="G222" s="531">
        <v>46076</v>
      </c>
      <c r="H222" s="531">
        <v>46078</v>
      </c>
      <c r="I222" s="531" t="s">
        <v>42</v>
      </c>
      <c r="J222" s="532"/>
      <c r="K222" s="532">
        <v>0.79166666666666663</v>
      </c>
      <c r="L222" s="536">
        <v>0.66666666666666663</v>
      </c>
      <c r="M222" s="536">
        <v>0.125</v>
      </c>
      <c r="N222" s="536">
        <v>4.1666666666666664E-2</v>
      </c>
      <c r="O222" s="536">
        <v>0.58333333333333337</v>
      </c>
      <c r="P222" s="536">
        <v>0.375</v>
      </c>
      <c r="Q222" s="535" t="s">
        <v>79</v>
      </c>
      <c r="R222" s="535"/>
      <c r="S222" s="535"/>
      <c r="T222" s="200">
        <f>VLOOKUP(Table2[[#This Row],[Course Title]],'TSD-Data'!$A$1:$E$83,4,FALSE)</f>
        <v>45</v>
      </c>
      <c r="U222" s="200">
        <f>VLOOKUP(Table2[[#This Row],[Course Title]],'TSD-Data'!$A$1:$F$83,6,FALSE)</f>
        <v>24</v>
      </c>
      <c r="V222" s="201">
        <f>VLOOKUP(Table2[[#This Row],[Course Title]],'TSD-Data'!$A$1:$F$83,5,FALSE)</f>
        <v>3</v>
      </c>
      <c r="W222" s="201">
        <v>82</v>
      </c>
      <c r="X222" s="200">
        <f>Table2[[#This Row],[Quotas]]-Table2[[#This Row],[Open Quotas]]</f>
        <v>43</v>
      </c>
      <c r="Y222" s="200">
        <v>0</v>
      </c>
      <c r="Z222" s="201">
        <v>40</v>
      </c>
      <c r="AA222" s="201">
        <v>1</v>
      </c>
      <c r="AB222" s="200">
        <v>5</v>
      </c>
      <c r="AC222" s="200">
        <v>0</v>
      </c>
      <c r="AD222" s="200">
        <v>0</v>
      </c>
      <c r="AE222" s="200" t="s">
        <v>442</v>
      </c>
      <c r="AF222" s="495">
        <f ca="1">Table2[[#This Row],[End Date]]+2-TODAY()</f>
        <v>-164</v>
      </c>
      <c r="AG222" s="496">
        <f>IF(ISBLANK(Table2[[#This Row],[Roster Received by]]),1,0)</f>
        <v>0</v>
      </c>
      <c r="AH222" s="496">
        <f ca="1">IF(Table2[[#This Row],[Start Date]]&gt;TODAY(),1,)</f>
        <v>0</v>
      </c>
      <c r="AI222" s="496">
        <f>IF(ISBLANK(Table2[[#This Row],[Primary Instructor]]),0,1)</f>
        <v>1</v>
      </c>
      <c r="AJ222" s="496">
        <f>IF(ISBLANK(Table2[[#This Row],[Instructor 2]]),0,1)</f>
        <v>0</v>
      </c>
      <c r="AK222" s="496">
        <f>Table2[[#This Row],[Course Length (Hours)]]/(Table2[[#This Row],[1 Instructor]]+Table2[[#This Row],[2 Instructors]])</f>
        <v>24</v>
      </c>
      <c r="AL222" s="318">
        <v>2</v>
      </c>
      <c r="AM222" s="497">
        <v>2</v>
      </c>
      <c r="AN222" s="496" t="str">
        <f>VLOOKUP(Table2[[#This Row],[Course Title]],'TSD-Data'!$A$1:$G$83,7,FALSE)</f>
        <v>N8</v>
      </c>
      <c r="AO222" s="500">
        <f>Table2[[#This Row],[Quotas]]-Table2[[#This Row],[Graduates]]-Table2[[#This Row],[Fail]]</f>
        <v>4</v>
      </c>
    </row>
    <row r="223" spans="2:41" ht="15" customHeight="1" x14ac:dyDescent="0.25">
      <c r="B223" s="530"/>
      <c r="C223" s="530" t="s">
        <v>196</v>
      </c>
      <c r="D223" s="200" t="str">
        <f>VLOOKUP(Table2[[#This Row],[Course Title]],'TSD-Data'!$A$1:$E$83,2,FALSE)</f>
        <v>A-4J-0022</v>
      </c>
      <c r="E223" s="200" t="str">
        <f>VLOOKUP(Table2[[#This Row],[Course Title]],'TSD-Data'!$A$1:$E$83,3,FALSE)</f>
        <v>09ER</v>
      </c>
      <c r="F223" s="530" t="s">
        <v>54</v>
      </c>
      <c r="G223" s="531">
        <v>46076</v>
      </c>
      <c r="H223" s="531">
        <v>46080</v>
      </c>
      <c r="I223" s="531" t="s">
        <v>42</v>
      </c>
      <c r="J223" s="532"/>
      <c r="K223" s="536">
        <v>0.5</v>
      </c>
      <c r="L223" s="536">
        <v>0.375</v>
      </c>
      <c r="M223" s="536">
        <v>0.83333333333333337</v>
      </c>
      <c r="N223" s="536">
        <v>0.75</v>
      </c>
      <c r="O223" s="536">
        <v>0.29166666666666669</v>
      </c>
      <c r="P223" s="536">
        <v>8.3333333333333329E-2</v>
      </c>
      <c r="Q223" s="535" t="s">
        <v>437</v>
      </c>
      <c r="R223" s="535"/>
      <c r="S223" s="535"/>
      <c r="T223" s="200">
        <f>VLOOKUP(Table2[[#This Row],[Course Title]],'TSD-Data'!$A$1:$E$83,4,FALSE)</f>
        <v>45</v>
      </c>
      <c r="U223" s="200">
        <f>VLOOKUP(Table2[[#This Row],[Course Title]],'TSD-Data'!$A$1:$F$83,6,FALSE)</f>
        <v>40</v>
      </c>
      <c r="V223" s="201">
        <f>VLOOKUP(Table2[[#This Row],[Course Title]],'TSD-Data'!$A$1:$F$83,5,FALSE)</f>
        <v>2</v>
      </c>
      <c r="W223" s="201">
        <v>130</v>
      </c>
      <c r="X223" s="200">
        <f>Table2[[#This Row],[Quotas]]-Table2[[#This Row],[Open Quotas]]</f>
        <v>23</v>
      </c>
      <c r="Y223" s="200">
        <v>0</v>
      </c>
      <c r="Z223" s="201">
        <v>15</v>
      </c>
      <c r="AA223" s="201">
        <v>1</v>
      </c>
      <c r="AB223" s="200">
        <v>5</v>
      </c>
      <c r="AC223" s="200">
        <v>0</v>
      </c>
      <c r="AD223" s="200">
        <v>0</v>
      </c>
      <c r="AE223" s="200" t="s">
        <v>428</v>
      </c>
      <c r="AF223" s="495">
        <f ca="1">Table2[[#This Row],[End Date]]+2-TODAY()</f>
        <v>-162</v>
      </c>
      <c r="AG223" s="496">
        <f>IF(ISBLANK(Table2[[#This Row],[Roster Received by]]),1,0)</f>
        <v>0</v>
      </c>
      <c r="AH223" s="496">
        <f ca="1">IF(Table2[[#This Row],[Start Date]]&gt;TODAY(),1,)</f>
        <v>0</v>
      </c>
      <c r="AI223" s="496">
        <f>IF(ISBLANK(Table2[[#This Row],[Primary Instructor]]),0,1)</f>
        <v>1</v>
      </c>
      <c r="AJ223" s="496">
        <f>IF(ISBLANK(Table2[[#This Row],[Instructor 2]]),0,1)</f>
        <v>0</v>
      </c>
      <c r="AK223" s="496">
        <f>Table2[[#This Row],[Course Length (Hours)]]/(Table2[[#This Row],[1 Instructor]]+Table2[[#This Row],[2 Instructors]])</f>
        <v>40</v>
      </c>
      <c r="AL223" s="318">
        <v>22</v>
      </c>
      <c r="AM223" s="497">
        <v>2</v>
      </c>
      <c r="AN223" s="496" t="str">
        <f>VLOOKUP(Table2[[#This Row],[Course Title]],'TSD-Data'!$A$1:$G$83,7,FALSE)</f>
        <v>N4</v>
      </c>
      <c r="AO223" s="500">
        <f>Table2[[#This Row],[Quotas]]-Table2[[#This Row],[Graduates]]-Table2[[#This Row],[Fail]]</f>
        <v>29</v>
      </c>
    </row>
    <row r="224" spans="2:41" ht="15" customHeight="1" x14ac:dyDescent="0.25">
      <c r="B224" s="530"/>
      <c r="C224" s="530" t="s">
        <v>271</v>
      </c>
      <c r="D224" s="200" t="str">
        <f>VLOOKUP(Table2[[#This Row],[Course Title]],'TSD-Data'!$A$1:$E$83,2,FALSE)</f>
        <v>A-493-0061</v>
      </c>
      <c r="E224" s="200" t="str">
        <f>VLOOKUP(Table2[[#This Row],[Course Title]],'TSD-Data'!$A$1:$E$83,3,FALSE)</f>
        <v>288E</v>
      </c>
      <c r="F224" s="530" t="s">
        <v>54</v>
      </c>
      <c r="G224" s="531">
        <v>46076</v>
      </c>
      <c r="H224" s="531">
        <v>46079</v>
      </c>
      <c r="I224" s="531" t="s">
        <v>42</v>
      </c>
      <c r="J224" s="532"/>
      <c r="K224" s="536">
        <v>0.5</v>
      </c>
      <c r="L224" s="536">
        <v>0.375</v>
      </c>
      <c r="M224" s="536">
        <v>0.83333333333333337</v>
      </c>
      <c r="N224" s="536">
        <v>0.75</v>
      </c>
      <c r="O224" s="536">
        <v>0.29166666666666669</v>
      </c>
      <c r="P224" s="536">
        <v>8.3333333333333329E-2</v>
      </c>
      <c r="Q224" s="535" t="s">
        <v>148</v>
      </c>
      <c r="R224" s="535"/>
      <c r="S224" s="535"/>
      <c r="T224" s="200">
        <f>VLOOKUP(Table2[[#This Row],[Course Title]],'TSD-Data'!$A$1:$E$83,4,FALSE)</f>
        <v>45</v>
      </c>
      <c r="U224" s="200">
        <f>VLOOKUP(Table2[[#This Row],[Course Title]],'TSD-Data'!$A$1:$F$83,6,FALSE)</f>
        <v>30</v>
      </c>
      <c r="V224" s="201">
        <f>VLOOKUP(Table2[[#This Row],[Course Title]],'TSD-Data'!$A$1:$F$83,5,FALSE)</f>
        <v>4</v>
      </c>
      <c r="W224" s="201">
        <v>620</v>
      </c>
      <c r="X224" s="200">
        <f>Table2[[#This Row],[Quotas]]-Table2[[#This Row],[Open Quotas]]</f>
        <v>34</v>
      </c>
      <c r="Y224" s="200">
        <v>0</v>
      </c>
      <c r="Z224" s="201">
        <v>28</v>
      </c>
      <c r="AA224" s="201">
        <v>0</v>
      </c>
      <c r="AB224" s="200">
        <v>8</v>
      </c>
      <c r="AC224" s="200">
        <v>0</v>
      </c>
      <c r="AD224" s="200">
        <v>0</v>
      </c>
      <c r="AE224" s="200" t="s">
        <v>431</v>
      </c>
      <c r="AF224" s="495">
        <f ca="1">Table2[[#This Row],[End Date]]+2-TODAY()</f>
        <v>-163</v>
      </c>
      <c r="AG224" s="496">
        <f>IF(ISBLANK(Table2[[#This Row],[Roster Received by]]),1,0)</f>
        <v>0</v>
      </c>
      <c r="AH224" s="496">
        <f ca="1">IF(Table2[[#This Row],[Start Date]]&gt;TODAY(),1,)</f>
        <v>0</v>
      </c>
      <c r="AI224" s="496">
        <f>IF(ISBLANK(Table2[[#This Row],[Primary Instructor]]),0,1)</f>
        <v>1</v>
      </c>
      <c r="AJ224" s="496">
        <f>IF(ISBLANK(Table2[[#This Row],[Instructor 2]]),0,1)</f>
        <v>0</v>
      </c>
      <c r="AK224" s="496">
        <f>Table2[[#This Row],[Course Length (Hours)]]/(Table2[[#This Row],[1 Instructor]]+Table2[[#This Row],[2 Instructors]])</f>
        <v>30</v>
      </c>
      <c r="AL224" s="318">
        <v>11</v>
      </c>
      <c r="AM224" s="497">
        <v>2</v>
      </c>
      <c r="AN224" s="496" t="str">
        <f>VLOOKUP(Table2[[#This Row],[Course Title]],'TSD-Data'!$A$1:$G$83,7,FALSE)</f>
        <v>N5</v>
      </c>
      <c r="AO224" s="500">
        <f>Table2[[#This Row],[Quotas]]-Table2[[#This Row],[Graduates]]-Table2[[#This Row],[Fail]]</f>
        <v>17</v>
      </c>
    </row>
    <row r="225" spans="2:41" s="202" customFormat="1" ht="15" customHeight="1" x14ac:dyDescent="0.25">
      <c r="B225" s="155" t="s">
        <v>457</v>
      </c>
      <c r="C225" s="321" t="s">
        <v>49</v>
      </c>
      <c r="D225" s="200" t="str">
        <f>VLOOKUP(Table2[[#This Row],[Course Title]],'TSD-Data'!$A$1:$E$83,2,FALSE)</f>
        <v>A-493-0012</v>
      </c>
      <c r="E225" s="200">
        <f>VLOOKUP(Table2[[#This Row],[Course Title]],'TSD-Data'!$A$1:$E$83,3,FALSE)</f>
        <v>3682</v>
      </c>
      <c r="F225" s="321" t="s">
        <v>121</v>
      </c>
      <c r="G225" s="531">
        <v>46076</v>
      </c>
      <c r="H225" s="531">
        <v>46080</v>
      </c>
      <c r="I225" s="531" t="s">
        <v>42</v>
      </c>
      <c r="J225" s="532">
        <v>0.33333333333333331</v>
      </c>
      <c r="K225" s="532"/>
      <c r="L225" s="531"/>
      <c r="M225" s="531"/>
      <c r="N225" s="531"/>
      <c r="O225" s="531"/>
      <c r="P225" s="531"/>
      <c r="Q225" s="535" t="s">
        <v>439</v>
      </c>
      <c r="R225" s="535"/>
      <c r="S225" s="535"/>
      <c r="T225" s="200">
        <f>VLOOKUP(Table2[[#This Row],[Course Title]],'TSD-Data'!$A$1:$E$83,4,FALSE)</f>
        <v>40</v>
      </c>
      <c r="U225" s="200">
        <f>VLOOKUP(Table2[[#This Row],[Course Title]],'TSD-Data'!$A$1:$F$83,6,FALSE)</f>
        <v>40</v>
      </c>
      <c r="V225" s="201">
        <f>VLOOKUP(Table2[[#This Row],[Course Title]],'TSD-Data'!$A$1:$F$83,5,FALSE)</f>
        <v>5</v>
      </c>
      <c r="W225" s="200">
        <v>10</v>
      </c>
      <c r="X225" s="200">
        <f>Table2[[#This Row],[Quotas]]-Table2[[#This Row],[Open Quotas]]</f>
        <v>17</v>
      </c>
      <c r="Y225" s="200">
        <v>0</v>
      </c>
      <c r="Z225" s="201">
        <v>15</v>
      </c>
      <c r="AA225" s="201">
        <v>0</v>
      </c>
      <c r="AB225" s="200">
        <v>1</v>
      </c>
      <c r="AC225" s="200">
        <v>0</v>
      </c>
      <c r="AD225" s="200">
        <v>0</v>
      </c>
      <c r="AE225" s="200" t="s">
        <v>428</v>
      </c>
      <c r="AF225" s="495">
        <f ca="1">Table2[[#This Row],[End Date]]+2-TODAY()</f>
        <v>-162</v>
      </c>
      <c r="AG225" s="496">
        <f>IF(ISBLANK(Table2[[#This Row],[Roster Received by]]),1,0)</f>
        <v>0</v>
      </c>
      <c r="AH225" s="496">
        <f ca="1">IF(Table2[[#This Row],[Start Date]]&gt;TODAY(),1,)</f>
        <v>0</v>
      </c>
      <c r="AI225" s="496">
        <f>IF(ISBLANK(Table2[[#This Row],[Primary Instructor]]),0,1)</f>
        <v>1</v>
      </c>
      <c r="AJ225" s="496">
        <f>IF(ISBLANK(Table2[[#This Row],[Instructor 2]]),0,1)</f>
        <v>0</v>
      </c>
      <c r="AK225" s="496">
        <f>Table2[[#This Row],[Course Length (Hours)]]/(Table2[[#This Row],[1 Instructor]]+Table2[[#This Row],[2 Instructors]])</f>
        <v>40</v>
      </c>
      <c r="AL225" s="318">
        <v>23</v>
      </c>
      <c r="AM225" s="497">
        <v>2</v>
      </c>
      <c r="AN225" s="496" t="str">
        <f>VLOOKUP(Table2[[#This Row],[Course Title]],'TSD-Data'!$A$1:$G$83,7,FALSE)</f>
        <v>N4</v>
      </c>
      <c r="AO225" s="500">
        <f>Table2[[#This Row],[Quotas]]-Table2[[#This Row],[Graduates]]-Table2[[#This Row],[Fail]]</f>
        <v>25</v>
      </c>
    </row>
    <row r="226" spans="2:41" ht="15" customHeight="1" x14ac:dyDescent="0.25">
      <c r="B226" s="530"/>
      <c r="C226" s="530" t="s">
        <v>53</v>
      </c>
      <c r="D226" s="200" t="str">
        <f>VLOOKUP(Table2[[#This Row],[Course Title]],'TSD-Data'!$A$1:$E$83,2,FALSE)</f>
        <v>A-493-0078</v>
      </c>
      <c r="E226" s="200">
        <f>VLOOKUP(Table2[[#This Row],[Course Title]],'TSD-Data'!$A$1:$E$83,3,FALSE)</f>
        <v>1228</v>
      </c>
      <c r="F226" s="530" t="s">
        <v>54</v>
      </c>
      <c r="G226" s="531">
        <v>46076</v>
      </c>
      <c r="H226" s="531">
        <v>46079</v>
      </c>
      <c r="I226" s="531" t="s">
        <v>42</v>
      </c>
      <c r="J226" s="532"/>
      <c r="K226" s="536">
        <v>0.5</v>
      </c>
      <c r="L226" s="536">
        <v>0.375</v>
      </c>
      <c r="M226" s="536">
        <v>0.83333333333333337</v>
      </c>
      <c r="N226" s="536">
        <v>0.75</v>
      </c>
      <c r="O226" s="536">
        <v>0.29166666666666669</v>
      </c>
      <c r="P226" s="536">
        <v>8.3333333333333329E-2</v>
      </c>
      <c r="Q226" s="535" t="s">
        <v>55</v>
      </c>
      <c r="R226" s="535"/>
      <c r="S226" s="535"/>
      <c r="T226" s="200">
        <f>VLOOKUP(Table2[[#This Row],[Course Title]],'TSD-Data'!$A$1:$E$83,4,FALSE)</f>
        <v>45</v>
      </c>
      <c r="U226" s="200">
        <f>VLOOKUP(Table2[[#This Row],[Course Title]],'TSD-Data'!$A$1:$F$83,6,FALSE)</f>
        <v>32</v>
      </c>
      <c r="V226" s="201">
        <f>VLOOKUP(Table2[[#This Row],[Course Title]],'TSD-Data'!$A$1:$F$83,5,FALSE)</f>
        <v>4</v>
      </c>
      <c r="W226" s="201">
        <v>568</v>
      </c>
      <c r="X226" s="200">
        <f>Table2[[#This Row],[Quotas]]-Table2[[#This Row],[Open Quotas]]</f>
        <v>45</v>
      </c>
      <c r="Y226" s="200">
        <v>0</v>
      </c>
      <c r="Z226" s="201">
        <v>39</v>
      </c>
      <c r="AA226" s="201">
        <v>0</v>
      </c>
      <c r="AB226" s="200">
        <v>7</v>
      </c>
      <c r="AC226" s="200">
        <v>1</v>
      </c>
      <c r="AD226" s="200">
        <v>0</v>
      </c>
      <c r="AE226" s="200" t="s">
        <v>431</v>
      </c>
      <c r="AF226" s="495">
        <f ca="1">Table2[[#This Row],[End Date]]+2-TODAY()</f>
        <v>-163</v>
      </c>
      <c r="AG226" s="496">
        <f>IF(ISBLANK(Table2[[#This Row],[Roster Received by]]),1,0)</f>
        <v>0</v>
      </c>
      <c r="AH226" s="496">
        <f ca="1">IF(Table2[[#This Row],[Start Date]]&gt;TODAY(),1,)</f>
        <v>0</v>
      </c>
      <c r="AI226" s="496">
        <f>IF(ISBLANK(Table2[[#This Row],[Primary Instructor]]),0,1)</f>
        <v>1</v>
      </c>
      <c r="AJ226" s="496">
        <f>IF(ISBLANK(Table2[[#This Row],[Instructor 2]]),0,1)</f>
        <v>0</v>
      </c>
      <c r="AK226" s="496">
        <f>Table2[[#This Row],[Course Length (Hours)]]/(Table2[[#This Row],[1 Instructor]]+Table2[[#This Row],[2 Instructors]])</f>
        <v>32</v>
      </c>
      <c r="AL226" s="318">
        <v>0</v>
      </c>
      <c r="AM226" s="497">
        <v>2</v>
      </c>
      <c r="AN226" s="496" t="str">
        <f>VLOOKUP(Table2[[#This Row],[Course Title]],'TSD-Data'!$A$1:$G$83,7,FALSE)</f>
        <v>N5</v>
      </c>
      <c r="AO226" s="500">
        <f>Table2[[#This Row],[Quotas]]-Table2[[#This Row],[Graduates]]-Table2[[#This Row],[Fail]]</f>
        <v>6</v>
      </c>
    </row>
    <row r="227" spans="2:41" ht="15" customHeight="1" x14ac:dyDescent="0.25">
      <c r="B227" s="530"/>
      <c r="C227" s="530" t="s">
        <v>255</v>
      </c>
      <c r="D227" s="200" t="str">
        <f>VLOOKUP(Table2[[#This Row],[Course Title]],'TSD-Data'!$A$1:$E$83,2,FALSE)</f>
        <v>A-493-0085</v>
      </c>
      <c r="E227" s="200">
        <f>VLOOKUP(Table2[[#This Row],[Course Title]],'TSD-Data'!$A$1:$E$83,3,FALSE)</f>
        <v>3555</v>
      </c>
      <c r="F227" s="530" t="s">
        <v>54</v>
      </c>
      <c r="G227" s="531">
        <v>46076</v>
      </c>
      <c r="H227" s="531">
        <v>46079</v>
      </c>
      <c r="I227" s="531" t="s">
        <v>42</v>
      </c>
      <c r="J227" s="532"/>
      <c r="K227" s="532">
        <v>0.79166666666666663</v>
      </c>
      <c r="L227" s="536">
        <v>0.66666666666666663</v>
      </c>
      <c r="M227" s="536">
        <v>0.125</v>
      </c>
      <c r="N227" s="536">
        <v>4.1666666666666664E-2</v>
      </c>
      <c r="O227" s="536">
        <v>0.58333333333333337</v>
      </c>
      <c r="P227" s="536">
        <v>0.375</v>
      </c>
      <c r="Q227" s="535" t="s">
        <v>82</v>
      </c>
      <c r="R227" s="535" t="s">
        <v>111</v>
      </c>
      <c r="S227" s="535"/>
      <c r="T227" s="200">
        <f>VLOOKUP(Table2[[#This Row],[Course Title]],'TSD-Data'!$A$1:$E$83,4,FALSE)</f>
        <v>45</v>
      </c>
      <c r="U227" s="200">
        <f>VLOOKUP(Table2[[#This Row],[Course Title]],'TSD-Data'!$A$1:$F$83,6,FALSE)</f>
        <v>32</v>
      </c>
      <c r="V227" s="201">
        <f>VLOOKUP(Table2[[#This Row],[Course Title]],'TSD-Data'!$A$1:$F$83,5,FALSE)</f>
        <v>4</v>
      </c>
      <c r="W227" s="201">
        <v>166</v>
      </c>
      <c r="X227" s="200">
        <f>Table2[[#This Row],[Quotas]]-Table2[[#This Row],[Open Quotas]]</f>
        <v>7</v>
      </c>
      <c r="Y227" s="200">
        <v>0</v>
      </c>
      <c r="Z227" s="201">
        <v>4</v>
      </c>
      <c r="AA227" s="201">
        <v>0</v>
      </c>
      <c r="AB227" s="200">
        <v>3</v>
      </c>
      <c r="AC227" s="200">
        <v>0</v>
      </c>
      <c r="AD227" s="200">
        <v>0</v>
      </c>
      <c r="AE227" s="200" t="s">
        <v>429</v>
      </c>
      <c r="AF227" s="495">
        <f ca="1">Table2[[#This Row],[End Date]]+2-TODAY()</f>
        <v>-163</v>
      </c>
      <c r="AG227" s="496">
        <f>IF(ISBLANK(Table2[[#This Row],[Roster Received by]]),1,0)</f>
        <v>0</v>
      </c>
      <c r="AH227" s="496">
        <f ca="1">IF(Table2[[#This Row],[Start Date]]&gt;TODAY(),1,)</f>
        <v>0</v>
      </c>
      <c r="AI227" s="496">
        <f>IF(ISBLANK(Table2[[#This Row],[Primary Instructor]]),0,1)</f>
        <v>1</v>
      </c>
      <c r="AJ227" s="496">
        <f>IF(ISBLANK(Table2[[#This Row],[Instructor 2]]),0,1)</f>
        <v>1</v>
      </c>
      <c r="AK227" s="496">
        <f>Table2[[#This Row],[Course Length (Hours)]]/(Table2[[#This Row],[1 Instructor]]+Table2[[#This Row],[2 Instructors]])</f>
        <v>16</v>
      </c>
      <c r="AL227" s="318">
        <v>38</v>
      </c>
      <c r="AM227" s="497">
        <v>2</v>
      </c>
      <c r="AN227" s="496" t="str">
        <f>VLOOKUP(Table2[[#This Row],[Course Title]],'TSD-Data'!$A$1:$G$83,7,FALSE)</f>
        <v>N3</v>
      </c>
      <c r="AO227" s="500">
        <f>Table2[[#This Row],[Quotas]]-Table2[[#This Row],[Graduates]]-Table2[[#This Row],[Fail]]</f>
        <v>41</v>
      </c>
    </row>
    <row r="228" spans="2:41" s="202" customFormat="1" ht="15" customHeight="1" x14ac:dyDescent="0.25">
      <c r="B228" s="530"/>
      <c r="C228" s="530" t="s">
        <v>70</v>
      </c>
      <c r="D228" s="200" t="str">
        <f>VLOOKUP(Table2[[#This Row],[Course Title]],'TSD-Data'!$A$1:$E$83,2,FALSE)</f>
        <v>A-493-0077</v>
      </c>
      <c r="E228" s="200" t="str">
        <f>VLOOKUP(Table2[[#This Row],[Course Title]],'TSD-Data'!$A$1:$E$83,3,FALSE)</f>
        <v>0381</v>
      </c>
      <c r="F228" s="530" t="s">
        <v>112</v>
      </c>
      <c r="G228" s="531">
        <v>46076</v>
      </c>
      <c r="H228" s="531">
        <v>46078</v>
      </c>
      <c r="I228" s="531" t="s">
        <v>42</v>
      </c>
      <c r="J228" s="532">
        <v>0.33333333333333331</v>
      </c>
      <c r="K228" s="532"/>
      <c r="L228" s="531"/>
      <c r="M228" s="531"/>
      <c r="N228" s="531"/>
      <c r="O228" s="531"/>
      <c r="P228" s="531"/>
      <c r="Q228" s="535" t="s">
        <v>48</v>
      </c>
      <c r="R228" s="535"/>
      <c r="S228" s="535"/>
      <c r="T228" s="200">
        <f>VLOOKUP(Table2[[#This Row],[Course Title]],'TSD-Data'!$A$1:$E$83,4,FALSE)</f>
        <v>25</v>
      </c>
      <c r="U228" s="200">
        <f>VLOOKUP(Table2[[#This Row],[Course Title]],'TSD-Data'!$A$1:$F$83,6,FALSE)</f>
        <v>24</v>
      </c>
      <c r="V228" s="201">
        <f>VLOOKUP(Table2[[#This Row],[Course Title]],'TSD-Data'!$A$1:$F$83,5,FALSE)</f>
        <v>3</v>
      </c>
      <c r="W228" s="201">
        <v>63</v>
      </c>
      <c r="X228" s="200">
        <f>Table2[[#This Row],[Quotas]]-Table2[[#This Row],[Open Quotas]]</f>
        <v>5</v>
      </c>
      <c r="Y228" s="200">
        <v>0</v>
      </c>
      <c r="Z228" s="201">
        <v>5</v>
      </c>
      <c r="AA228" s="201">
        <v>0</v>
      </c>
      <c r="AB228" s="200">
        <v>3</v>
      </c>
      <c r="AC228" s="200">
        <v>0</v>
      </c>
      <c r="AD228" s="200">
        <v>0</v>
      </c>
      <c r="AE228" s="200" t="s">
        <v>428</v>
      </c>
      <c r="AF228" s="495">
        <f ca="1">Table2[[#This Row],[End Date]]+2-TODAY()</f>
        <v>-164</v>
      </c>
      <c r="AG228" s="496">
        <f>IF(ISBLANK(Table2[[#This Row],[Roster Received by]]),1,0)</f>
        <v>0</v>
      </c>
      <c r="AH228" s="496">
        <f ca="1">IF(Table2[[#This Row],[Start Date]]&gt;TODAY(),1,)</f>
        <v>0</v>
      </c>
      <c r="AI228" s="496">
        <f>IF(ISBLANK(Table2[[#This Row],[Primary Instructor]]),0,1)</f>
        <v>1</v>
      </c>
      <c r="AJ228" s="496">
        <f>IF(ISBLANK(Table2[[#This Row],[Instructor 2]]),0,1)</f>
        <v>0</v>
      </c>
      <c r="AK228" s="496">
        <f>Table2[[#This Row],[Course Length (Hours)]]/(Table2[[#This Row],[1 Instructor]]+Table2[[#This Row],[2 Instructors]])</f>
        <v>24</v>
      </c>
      <c r="AL228" s="318">
        <v>20</v>
      </c>
      <c r="AM228" s="497">
        <v>2</v>
      </c>
      <c r="AN228" s="496" t="str">
        <f>VLOOKUP(Table2[[#This Row],[Course Title]],'TSD-Data'!$A$1:$G$83,7,FALSE)</f>
        <v>N4</v>
      </c>
      <c r="AO228" s="500">
        <f>Table2[[#This Row],[Quotas]]-Table2[[#This Row],[Graduates]]-Table2[[#This Row],[Fail]]</f>
        <v>20</v>
      </c>
    </row>
    <row r="229" spans="2:41" ht="15" customHeight="1" x14ac:dyDescent="0.25">
      <c r="B229" s="530"/>
      <c r="C229" s="530" t="s">
        <v>70</v>
      </c>
      <c r="D229" s="200" t="str">
        <f>VLOOKUP(Table2[[#This Row],[Course Title]],'TSD-Data'!$A$1:$E$83,2,FALSE)</f>
        <v>A-493-0077</v>
      </c>
      <c r="E229" s="200" t="str">
        <f>VLOOKUP(Table2[[#This Row],[Course Title]],'TSD-Data'!$A$1:$E$83,3,FALSE)</f>
        <v>0381</v>
      </c>
      <c r="F229" s="530" t="s">
        <v>297</v>
      </c>
      <c r="G229" s="531">
        <v>46076</v>
      </c>
      <c r="H229" s="531">
        <v>46078</v>
      </c>
      <c r="I229" s="531" t="s">
        <v>42</v>
      </c>
      <c r="J229" s="532">
        <v>0.33333333333333331</v>
      </c>
      <c r="K229" s="532"/>
      <c r="L229" s="531"/>
      <c r="M229" s="531"/>
      <c r="N229" s="531"/>
      <c r="O229" s="531"/>
      <c r="P229" s="531"/>
      <c r="Q229" s="535" t="s">
        <v>48</v>
      </c>
      <c r="R229" s="535"/>
      <c r="S229" s="535"/>
      <c r="T229" s="200">
        <f>VLOOKUP(Table2[[#This Row],[Course Title]],'TSD-Data'!$A$1:$E$83,4,FALSE)</f>
        <v>25</v>
      </c>
      <c r="U229" s="200">
        <f>VLOOKUP(Table2[[#This Row],[Course Title]],'TSD-Data'!$A$1:$F$83,6,FALSE)</f>
        <v>24</v>
      </c>
      <c r="V229" s="201">
        <f>VLOOKUP(Table2[[#This Row],[Course Title]],'TSD-Data'!$A$1:$F$83,5,FALSE)</f>
        <v>3</v>
      </c>
      <c r="W229" s="201">
        <v>53</v>
      </c>
      <c r="X229" s="200">
        <f>Table2[[#This Row],[Quotas]]-Table2[[#This Row],[Open Quotas]]</f>
        <v>9</v>
      </c>
      <c r="Y229" s="200">
        <v>0</v>
      </c>
      <c r="Z229" s="201">
        <v>25</v>
      </c>
      <c r="AA229" s="201">
        <v>0</v>
      </c>
      <c r="AB229" s="200">
        <v>1</v>
      </c>
      <c r="AC229" s="200">
        <v>17</v>
      </c>
      <c r="AD229" s="200">
        <v>0</v>
      </c>
      <c r="AE229" s="200" t="s">
        <v>428</v>
      </c>
      <c r="AF229" s="495">
        <f ca="1">Table2[[#This Row],[End Date]]+2-TODAY()</f>
        <v>-164</v>
      </c>
      <c r="AG229" s="496">
        <f>IF(ISBLANK(Table2[[#This Row],[Roster Received by]]),1,0)</f>
        <v>0</v>
      </c>
      <c r="AH229" s="496">
        <f ca="1">IF(Table2[[#This Row],[Start Date]]&gt;TODAY(),1,)</f>
        <v>0</v>
      </c>
      <c r="AI229" s="496">
        <f>IF(ISBLANK(Table2[[#This Row],[Primary Instructor]]),0,1)</f>
        <v>1</v>
      </c>
      <c r="AJ229" s="496">
        <f>IF(ISBLANK(Table2[[#This Row],[Instructor 2]]),0,1)</f>
        <v>0</v>
      </c>
      <c r="AK229" s="496">
        <f>Table2[[#This Row],[Course Length (Hours)]]/(Table2[[#This Row],[1 Instructor]]+Table2[[#This Row],[2 Instructors]])</f>
        <v>24</v>
      </c>
      <c r="AL229" s="318">
        <v>16</v>
      </c>
      <c r="AM229" s="497">
        <v>2</v>
      </c>
      <c r="AN229" s="496" t="str">
        <f>VLOOKUP(Table2[[#This Row],[Course Title]],'TSD-Data'!$A$1:$G$83,7,FALSE)</f>
        <v>N4</v>
      </c>
      <c r="AO229" s="500">
        <f>Table2[[#This Row],[Quotas]]-Table2[[#This Row],[Graduates]]-Table2[[#This Row],[Fail]]</f>
        <v>0</v>
      </c>
    </row>
    <row r="230" spans="2:41" s="202" customFormat="1" ht="15" customHeight="1" x14ac:dyDescent="0.25">
      <c r="B230" s="530"/>
      <c r="C230" s="530" t="s">
        <v>229</v>
      </c>
      <c r="D230" s="200" t="str">
        <f>VLOOKUP(Table2[[#This Row],[Course Title]],'TSD-Data'!$A$1:$E$83,2,FALSE)</f>
        <v>A-570-0100</v>
      </c>
      <c r="E230" s="200" t="str">
        <f>VLOOKUP(Table2[[#This Row],[Course Title]],'TSD-Data'!$A$1:$E$83,3,FALSE)</f>
        <v>18B7</v>
      </c>
      <c r="F230" s="530" t="s">
        <v>54</v>
      </c>
      <c r="G230" s="531">
        <v>46076</v>
      </c>
      <c r="H230" s="531">
        <v>46077</v>
      </c>
      <c r="I230" s="531" t="s">
        <v>42</v>
      </c>
      <c r="J230" s="532"/>
      <c r="K230" s="536">
        <v>0.5</v>
      </c>
      <c r="L230" s="536">
        <v>0.375</v>
      </c>
      <c r="M230" s="536">
        <v>0.83333333333333337</v>
      </c>
      <c r="N230" s="536">
        <v>0.75</v>
      </c>
      <c r="O230" s="536">
        <v>0.29166666666666669</v>
      </c>
      <c r="P230" s="536">
        <v>8.3333333333333329E-2</v>
      </c>
      <c r="Q230" s="535" t="s">
        <v>432</v>
      </c>
      <c r="R230" s="535"/>
      <c r="S230" s="535"/>
      <c r="T230" s="200">
        <f>VLOOKUP(Table2[[#This Row],[Course Title]],'TSD-Data'!$A$1:$E$83,4,FALSE)</f>
        <v>45</v>
      </c>
      <c r="U230" s="200">
        <f>VLOOKUP(Table2[[#This Row],[Course Title]],'TSD-Data'!$A$1:$F$83,6,FALSE)</f>
        <v>16</v>
      </c>
      <c r="V230" s="201">
        <f>VLOOKUP(Table2[[#This Row],[Course Title]],'TSD-Data'!$A$1:$F$83,5,FALSE)</f>
        <v>2</v>
      </c>
      <c r="W230" s="201">
        <v>663</v>
      </c>
      <c r="X230" s="200">
        <f>Table2[[#This Row],[Quotas]]-Table2[[#This Row],[Open Quotas]]</f>
        <v>21</v>
      </c>
      <c r="Y230" s="200">
        <v>0</v>
      </c>
      <c r="Z230" s="201">
        <v>17</v>
      </c>
      <c r="AA230" s="201">
        <v>0</v>
      </c>
      <c r="AB230" s="200">
        <v>3</v>
      </c>
      <c r="AC230" s="200">
        <v>0</v>
      </c>
      <c r="AD230" s="200">
        <v>0</v>
      </c>
      <c r="AE230" s="200" t="s">
        <v>429</v>
      </c>
      <c r="AF230" s="495">
        <f ca="1">Table2[[#This Row],[End Date]]+2-TODAY()</f>
        <v>-165</v>
      </c>
      <c r="AG230" s="496">
        <f>IF(ISBLANK(Table2[[#This Row],[Roster Received by]]),1,0)</f>
        <v>0</v>
      </c>
      <c r="AH230" s="496">
        <f ca="1">IF(Table2[[#This Row],[Start Date]]&gt;TODAY(),1,)</f>
        <v>0</v>
      </c>
      <c r="AI230" s="496">
        <f>IF(ISBLANK(Table2[[#This Row],[Primary Instructor]]),0,1)</f>
        <v>1</v>
      </c>
      <c r="AJ230" s="496">
        <f>IF(ISBLANK(Table2[[#This Row],[Instructor 2]]),0,1)</f>
        <v>0</v>
      </c>
      <c r="AK230" s="496">
        <f>Table2[[#This Row],[Course Length (Hours)]]/(Table2[[#This Row],[1 Instructor]]+Table2[[#This Row],[2 Instructors]])</f>
        <v>16</v>
      </c>
      <c r="AL230" s="318">
        <v>24</v>
      </c>
      <c r="AM230" s="497">
        <v>2</v>
      </c>
      <c r="AN230" s="496" t="str">
        <f>VLOOKUP(Table2[[#This Row],[Course Title]],'TSD-Data'!$A$1:$G$83,7,FALSE)</f>
        <v>N8</v>
      </c>
      <c r="AO230" s="500">
        <f>Table2[[#This Row],[Quotas]]-Table2[[#This Row],[Graduates]]-Table2[[#This Row],[Fail]]</f>
        <v>28</v>
      </c>
    </row>
    <row r="231" spans="2:41" ht="15" customHeight="1" x14ac:dyDescent="0.25">
      <c r="B231" s="530"/>
      <c r="C231" s="530" t="s">
        <v>77</v>
      </c>
      <c r="D231" s="200" t="str">
        <f>VLOOKUP(Table2[[#This Row],[Course Title]],'TSD-Data'!$A$1:$E$83,2,FALSE)</f>
        <v>A-493-0072</v>
      </c>
      <c r="E231" s="200" t="str">
        <f>VLOOKUP(Table2[[#This Row],[Course Title]],'TSD-Data'!$A$1:$E$83,3,FALSE)</f>
        <v>713U</v>
      </c>
      <c r="F231" s="530" t="s">
        <v>51</v>
      </c>
      <c r="G231" s="531">
        <v>46076</v>
      </c>
      <c r="H231" s="531">
        <v>46080</v>
      </c>
      <c r="I231" s="531" t="s">
        <v>42</v>
      </c>
      <c r="J231" s="532">
        <v>0.33333333333333331</v>
      </c>
      <c r="K231" s="532"/>
      <c r="L231" s="531"/>
      <c r="M231" s="531"/>
      <c r="N231" s="531"/>
      <c r="O231" s="531"/>
      <c r="P231" s="531"/>
      <c r="Q231" s="535" t="s">
        <v>62</v>
      </c>
      <c r="R231" s="535"/>
      <c r="S231" s="535" t="s">
        <v>43</v>
      </c>
      <c r="T231" s="200">
        <f>VLOOKUP(Table2[[#This Row],[Course Title]],'TSD-Data'!$A$1:$E$83,4,FALSE)</f>
        <v>30</v>
      </c>
      <c r="U231" s="200">
        <f>VLOOKUP(Table2[[#This Row],[Course Title]],'TSD-Data'!$A$1:$F$83,6,FALSE)</f>
        <v>40</v>
      </c>
      <c r="V231" s="201">
        <f>VLOOKUP(Table2[[#This Row],[Course Title]],'TSD-Data'!$A$1:$F$83,5,FALSE)</f>
        <v>5</v>
      </c>
      <c r="W231" s="201">
        <v>78</v>
      </c>
      <c r="X231" s="200">
        <f>Table2[[#This Row],[Quotas]]-Table2[[#This Row],[Open Quotas]]</f>
        <v>29</v>
      </c>
      <c r="Y231" s="200">
        <v>0</v>
      </c>
      <c r="Z231" s="201">
        <v>28</v>
      </c>
      <c r="AA231" s="201">
        <v>0</v>
      </c>
      <c r="AB231" s="200">
        <v>1</v>
      </c>
      <c r="AC231" s="200">
        <v>0</v>
      </c>
      <c r="AD231" s="200">
        <v>0</v>
      </c>
      <c r="AE231" s="200" t="s">
        <v>429</v>
      </c>
      <c r="AF231" s="495">
        <f ca="1">Table2[[#This Row],[End Date]]+2-TODAY()</f>
        <v>-162</v>
      </c>
      <c r="AG231" s="496">
        <f>IF(ISBLANK(Table2[[#This Row],[Roster Received by]]),1,0)</f>
        <v>0</v>
      </c>
      <c r="AH231" s="496">
        <f ca="1">IF(Table2[[#This Row],[Start Date]]&gt;TODAY(),1,)</f>
        <v>0</v>
      </c>
      <c r="AI231" s="496">
        <f>IF(ISBLANK(Table2[[#This Row],[Primary Instructor]]),0,1)</f>
        <v>1</v>
      </c>
      <c r="AJ231" s="496">
        <f>IF(ISBLANK(Table2[[#This Row],[Instructor 2]]),0,1)</f>
        <v>0</v>
      </c>
      <c r="AK231" s="496">
        <f>Table2[[#This Row],[Course Length (Hours)]]/(Table2[[#This Row],[1 Instructor]]+Table2[[#This Row],[2 Instructors]])</f>
        <v>40</v>
      </c>
      <c r="AL231" s="318">
        <v>1</v>
      </c>
      <c r="AM231" s="497">
        <v>2</v>
      </c>
      <c r="AN231" s="496" t="str">
        <f>VLOOKUP(Table2[[#This Row],[Course Title]],'TSD-Data'!$A$1:$G$83,7,FALSE)</f>
        <v>N3</v>
      </c>
      <c r="AO231" s="500">
        <f>Table2[[#This Row],[Quotas]]-Table2[[#This Row],[Graduates]]-Table2[[#This Row],[Fail]]</f>
        <v>2</v>
      </c>
    </row>
    <row r="232" spans="2:41" s="202" customFormat="1" ht="15" customHeight="1" x14ac:dyDescent="0.25">
      <c r="B232" s="530"/>
      <c r="C232" s="530" t="s">
        <v>401</v>
      </c>
      <c r="D232" s="200" t="str">
        <f>VLOOKUP(Table2[[#This Row],[Course Title]],'TSD-Data'!$A$1:$E$83,2,FALSE)</f>
        <v>A-493-3002</v>
      </c>
      <c r="E232" s="200" t="str">
        <f>VLOOKUP(Table2[[#This Row],[Course Title]],'TSD-Data'!$A$1:$E$83,3,FALSE)</f>
        <v>31V4</v>
      </c>
      <c r="F232" s="530" t="s">
        <v>54</v>
      </c>
      <c r="G232" s="531">
        <v>46076</v>
      </c>
      <c r="H232" s="531">
        <v>46076</v>
      </c>
      <c r="I232" s="531" t="s">
        <v>42</v>
      </c>
      <c r="J232" s="532"/>
      <c r="K232" s="532">
        <v>0.45833333333333331</v>
      </c>
      <c r="L232" s="532">
        <v>0.33333333333333331</v>
      </c>
      <c r="M232" s="532">
        <v>0.79166666666666663</v>
      </c>
      <c r="N232" s="532">
        <v>0.70833333333333337</v>
      </c>
      <c r="O232" s="532">
        <v>0.25</v>
      </c>
      <c r="P232" s="532">
        <v>4.1666666666666664E-2</v>
      </c>
      <c r="Q232" s="535" t="s">
        <v>441</v>
      </c>
      <c r="R232" s="535"/>
      <c r="S232" s="535"/>
      <c r="T232" s="200">
        <f>VLOOKUP(Table2[[#This Row],[Course Title]],'TSD-Data'!$A$1:$E$83,4,FALSE)</f>
        <v>1000</v>
      </c>
      <c r="U232" s="200">
        <f>VLOOKUP(Table2[[#This Row],[Course Title]],'TSD-Data'!$A$1:$F$83,6,FALSE)</f>
        <v>8</v>
      </c>
      <c r="V232" s="201">
        <f>VLOOKUP(Table2[[#This Row],[Course Title]],'TSD-Data'!$A$1:$F$83,5,FALSE)</f>
        <v>1</v>
      </c>
      <c r="W232" s="201"/>
      <c r="X232" s="200">
        <f>Table2[[#This Row],[Quotas]]-Table2[[#This Row],[Open Quotas]]</f>
        <v>135</v>
      </c>
      <c r="Y232" s="200">
        <v>0</v>
      </c>
      <c r="Z232" s="201">
        <v>37</v>
      </c>
      <c r="AA232" s="201">
        <v>0</v>
      </c>
      <c r="AB232" s="200">
        <v>0</v>
      </c>
      <c r="AC232" s="200">
        <v>0</v>
      </c>
      <c r="AD232" s="200">
        <v>0</v>
      </c>
      <c r="AE232" s="200" t="s">
        <v>442</v>
      </c>
      <c r="AF232" s="495">
        <f ca="1">Table2[[#This Row],[End Date]]+2-TODAY()</f>
        <v>-166</v>
      </c>
      <c r="AG232" s="496">
        <f>IF(ISBLANK(Table2[[#This Row],[Roster Received by]]),1,0)</f>
        <v>0</v>
      </c>
      <c r="AH232" s="496">
        <f ca="1">IF(Table2[[#This Row],[Start Date]]&gt;TODAY(),1,)</f>
        <v>0</v>
      </c>
      <c r="AI232" s="496">
        <f>IF(ISBLANK(Table2[[#This Row],[Primary Instructor]]),0,1)</f>
        <v>1</v>
      </c>
      <c r="AJ232" s="496">
        <f>IF(ISBLANK(Table2[[#This Row],[Instructor 2]]),0,1)</f>
        <v>0</v>
      </c>
      <c r="AK232" s="496">
        <f>AJ477</f>
        <v>0</v>
      </c>
      <c r="AL232" s="318">
        <v>865</v>
      </c>
      <c r="AM232" s="496">
        <v>2</v>
      </c>
      <c r="AN232" s="496" t="str">
        <f>VLOOKUP(Table2[[#This Row],[Course Title]],'TSD-Data'!$A$1:$G$83,7,FALSE)</f>
        <v>N8-RMI</v>
      </c>
      <c r="AO232" s="500">
        <f>Table2[[#This Row],[Quotas]]-Table2[[#This Row],[Graduates]]-Table2[[#This Row],[Fail]]</f>
        <v>963</v>
      </c>
    </row>
    <row r="233" spans="2:41" s="202" customFormat="1" ht="15" customHeight="1" x14ac:dyDescent="0.25">
      <c r="B233" s="530"/>
      <c r="C233" s="530" t="s">
        <v>407</v>
      </c>
      <c r="D233" s="200" t="str">
        <f>VLOOKUP(Table2[[#This Row],[Course Title]],'TSD-Data'!$A$1:$E$83,2,FALSE)</f>
        <v>A-493-3003</v>
      </c>
      <c r="E233" s="200" t="str">
        <f>VLOOKUP(Table2[[#This Row],[Course Title]],'TSD-Data'!$A$1:$E$83,3,FALSE)</f>
        <v>31V5</v>
      </c>
      <c r="F233" s="530" t="s">
        <v>54</v>
      </c>
      <c r="G233" s="531">
        <v>46076</v>
      </c>
      <c r="H233" s="531">
        <v>46076</v>
      </c>
      <c r="I233" s="531" t="s">
        <v>42</v>
      </c>
      <c r="J233" s="532"/>
      <c r="K233" s="532">
        <v>0.625</v>
      </c>
      <c r="L233" s="532">
        <v>0.5</v>
      </c>
      <c r="M233" s="532">
        <v>0.95833333333333337</v>
      </c>
      <c r="N233" s="532">
        <v>0.875</v>
      </c>
      <c r="O233" s="532">
        <v>0.41666666666666669</v>
      </c>
      <c r="P233" s="532">
        <v>0.20833333333333334</v>
      </c>
      <c r="Q233" s="535" t="s">
        <v>441</v>
      </c>
      <c r="R233" s="535"/>
      <c r="S233" s="535"/>
      <c r="T233" s="200">
        <f>VLOOKUP(Table2[[#This Row],[Course Title]],'TSD-Data'!$A$1:$E$83,4,FALSE)</f>
        <v>1000</v>
      </c>
      <c r="U233" s="200">
        <f>VLOOKUP(Table2[[#This Row],[Course Title]],'TSD-Data'!$A$1:$F$83,6,FALSE)</f>
        <v>2</v>
      </c>
      <c r="V233" s="201">
        <f>VLOOKUP(Table2[[#This Row],[Course Title]],'TSD-Data'!$A$1:$F$83,5,FALSE)</f>
        <v>0.25</v>
      </c>
      <c r="W233" s="201"/>
      <c r="X233" s="200">
        <f>Table2[[#This Row],[Quotas]]-Table2[[#This Row],[Open Quotas]]</f>
        <v>135</v>
      </c>
      <c r="Y233" s="200">
        <v>0</v>
      </c>
      <c r="Z233" s="201">
        <v>20</v>
      </c>
      <c r="AA233" s="201">
        <v>0</v>
      </c>
      <c r="AB233" s="200">
        <v>0</v>
      </c>
      <c r="AC233" s="200">
        <v>0</v>
      </c>
      <c r="AD233" s="200">
        <v>0</v>
      </c>
      <c r="AE233" s="200" t="s">
        <v>442</v>
      </c>
      <c r="AF233" s="495">
        <f ca="1">Table2[[#This Row],[End Date]]+2-TODAY()</f>
        <v>-166</v>
      </c>
      <c r="AG233" s="496">
        <f>IF(ISBLANK(Table2[[#This Row],[Roster Received by]]),1,0)</f>
        <v>0</v>
      </c>
      <c r="AH233" s="496">
        <f ca="1">IF(Table2[[#This Row],[Start Date]]&gt;TODAY(),1,)</f>
        <v>0</v>
      </c>
      <c r="AI233" s="496">
        <f>IF(ISBLANK(Table2[[#This Row],[Primary Instructor]]),0,1)</f>
        <v>1</v>
      </c>
      <c r="AJ233" s="496">
        <f>IF(ISBLANK(Table2[[#This Row],[Instructor 2]]),0,1)</f>
        <v>0</v>
      </c>
      <c r="AK233" s="496" t="e">
        <f>#REF!</f>
        <v>#REF!</v>
      </c>
      <c r="AL233" s="318">
        <v>865</v>
      </c>
      <c r="AM233" s="496">
        <v>2</v>
      </c>
      <c r="AN233" s="496" t="str">
        <f>VLOOKUP(Table2[[#This Row],[Course Title]],'TSD-Data'!$A$1:$G$83,7,FALSE)</f>
        <v>N8-RMI</v>
      </c>
      <c r="AO233" s="500">
        <f>Table2[[#This Row],[Quotas]]-Table2[[#This Row],[Graduates]]-Table2[[#This Row],[Fail]]</f>
        <v>980</v>
      </c>
    </row>
    <row r="234" spans="2:41" ht="15" customHeight="1" x14ac:dyDescent="0.25">
      <c r="B234" s="530"/>
      <c r="C234" s="530" t="s">
        <v>410</v>
      </c>
      <c r="D234" s="200" t="str">
        <f>VLOOKUP(Table2[[#This Row],[Course Title]],'TSD-Data'!$A$1:$E$83,2,FALSE)</f>
        <v>A-493-3006</v>
      </c>
      <c r="E234" s="200" t="str">
        <f>VLOOKUP(Table2[[#This Row],[Course Title]],'TSD-Data'!$A$1:$E$83,3,FALSE)</f>
        <v>31V8</v>
      </c>
      <c r="F234" s="530" t="s">
        <v>54</v>
      </c>
      <c r="G234" s="531">
        <v>46076</v>
      </c>
      <c r="H234" s="531">
        <v>46076</v>
      </c>
      <c r="I234" s="531" t="s">
        <v>42</v>
      </c>
      <c r="J234" s="532"/>
      <c r="K234" s="532">
        <v>0.75</v>
      </c>
      <c r="L234" s="532">
        <v>0.625</v>
      </c>
      <c r="M234" s="532">
        <v>8.3333333333333329E-2</v>
      </c>
      <c r="N234" s="532">
        <v>6.9444444444444447E-4</v>
      </c>
      <c r="O234" s="532">
        <v>0.54166666666666663</v>
      </c>
      <c r="P234" s="532">
        <v>0.33333333333333331</v>
      </c>
      <c r="Q234" s="535" t="s">
        <v>441</v>
      </c>
      <c r="R234" s="535"/>
      <c r="S234" s="535"/>
      <c r="T234" s="200">
        <f>VLOOKUP(Table2[[#This Row],[Course Title]],'TSD-Data'!$A$1:$E$83,4,FALSE)</f>
        <v>1000</v>
      </c>
      <c r="U234" s="200">
        <f>VLOOKUP(Table2[[#This Row],[Course Title]],'TSD-Data'!$A$1:$F$83,6,FALSE)</f>
        <v>2</v>
      </c>
      <c r="V234" s="201">
        <f>VLOOKUP(Table2[[#This Row],[Course Title]],'TSD-Data'!$A$1:$F$83,5,FALSE)</f>
        <v>0.1</v>
      </c>
      <c r="W234" s="201"/>
      <c r="X234" s="200">
        <f>Table2[[#This Row],[Quotas]]-Table2[[#This Row],[Open Quotas]]</f>
        <v>135</v>
      </c>
      <c r="Y234" s="200">
        <v>0</v>
      </c>
      <c r="Z234" s="201">
        <v>23</v>
      </c>
      <c r="AA234" s="201">
        <v>0</v>
      </c>
      <c r="AB234" s="200">
        <v>0</v>
      </c>
      <c r="AC234" s="200">
        <v>0</v>
      </c>
      <c r="AD234" s="200">
        <v>0</v>
      </c>
      <c r="AE234" s="200" t="s">
        <v>442</v>
      </c>
      <c r="AF234" s="495">
        <f ca="1">Table2[[#This Row],[End Date]]+2-TODAY()</f>
        <v>-166</v>
      </c>
      <c r="AG234" s="496">
        <f>IF(ISBLANK(Table2[[#This Row],[Roster Received by]]),1,0)</f>
        <v>0</v>
      </c>
      <c r="AH234" s="496">
        <f ca="1">IF(Table2[[#This Row],[Start Date]]&gt;TODAY(),1,)</f>
        <v>0</v>
      </c>
      <c r="AI234" s="496">
        <f>IF(ISBLANK(Table2[[#This Row],[Primary Instructor]]),0,1)</f>
        <v>1</v>
      </c>
      <c r="AJ234" s="496">
        <f>IF(ISBLANK(Table2[[#This Row],[Instructor 2]]),0,1)</f>
        <v>0</v>
      </c>
      <c r="AK234" s="496" t="e">
        <f>#REF!</f>
        <v>#REF!</v>
      </c>
      <c r="AL234" s="318">
        <v>865</v>
      </c>
      <c r="AM234" s="496">
        <v>2</v>
      </c>
      <c r="AN234" s="496" t="str">
        <f>VLOOKUP(Table2[[#This Row],[Course Title]],'TSD-Data'!$A$1:$G$83,7,FALSE)</f>
        <v>N8-RMI</v>
      </c>
      <c r="AO234" s="500">
        <f>Table2[[#This Row],[Quotas]]-Table2[[#This Row],[Graduates]]-Table2[[#This Row],[Fail]]</f>
        <v>977</v>
      </c>
    </row>
    <row r="235" spans="2:41" ht="15" customHeight="1" x14ac:dyDescent="0.25">
      <c r="B235" s="530"/>
      <c r="C235" s="530" t="s">
        <v>413</v>
      </c>
      <c r="D235" s="200" t="str">
        <f>VLOOKUP(Table2[[#This Row],[Course Title]],'TSD-Data'!$A$1:$E$83,2,FALSE)</f>
        <v>A-493-3007</v>
      </c>
      <c r="E235" s="200" t="str">
        <f>VLOOKUP(Table2[[#This Row],[Course Title]],'TSD-Data'!$A$1:$E$83,3,FALSE)</f>
        <v>31V9</v>
      </c>
      <c r="F235" s="530" t="s">
        <v>54</v>
      </c>
      <c r="G235" s="531">
        <v>46076</v>
      </c>
      <c r="H235" s="531">
        <v>46076</v>
      </c>
      <c r="I235" s="531" t="s">
        <v>42</v>
      </c>
      <c r="J235" s="532"/>
      <c r="K235" s="532">
        <v>0.79166666666666663</v>
      </c>
      <c r="L235" s="532">
        <v>0.66666666666666663</v>
      </c>
      <c r="M235" s="532">
        <v>0.125</v>
      </c>
      <c r="N235" s="532">
        <v>4.1666666666666664E-2</v>
      </c>
      <c r="O235" s="532">
        <v>0.58333333333333337</v>
      </c>
      <c r="P235" s="532">
        <v>0.375</v>
      </c>
      <c r="Q235" s="535" t="s">
        <v>441</v>
      </c>
      <c r="R235" s="535"/>
      <c r="S235" s="535"/>
      <c r="T235" s="200">
        <f>VLOOKUP(Table2[[#This Row],[Course Title]],'TSD-Data'!$A$1:$E$83,4,FALSE)</f>
        <v>1000</v>
      </c>
      <c r="U235" s="200">
        <f>VLOOKUP(Table2[[#This Row],[Course Title]],'TSD-Data'!$A$1:$F$83,6,FALSE)</f>
        <v>2.5</v>
      </c>
      <c r="V235" s="201">
        <f>VLOOKUP(Table2[[#This Row],[Course Title]],'TSD-Data'!$A$1:$F$83,5,FALSE)</f>
        <v>0.3</v>
      </c>
      <c r="W235" s="201"/>
      <c r="X235" s="200">
        <f>Table2[[#This Row],[Quotas]]-Table2[[#This Row],[Open Quotas]]</f>
        <v>135</v>
      </c>
      <c r="Y235" s="200">
        <v>0</v>
      </c>
      <c r="Z235" s="201">
        <v>20</v>
      </c>
      <c r="AA235" s="201">
        <v>0</v>
      </c>
      <c r="AB235" s="200">
        <v>0</v>
      </c>
      <c r="AC235" s="200">
        <v>0</v>
      </c>
      <c r="AD235" s="200">
        <v>0</v>
      </c>
      <c r="AE235" s="200" t="s">
        <v>442</v>
      </c>
      <c r="AF235" s="495">
        <f ca="1">Table2[[#This Row],[End Date]]+2-TODAY()</f>
        <v>-166</v>
      </c>
      <c r="AG235" s="496">
        <f>IF(ISBLANK(Table2[[#This Row],[Roster Received by]]),1,0)</f>
        <v>0</v>
      </c>
      <c r="AH235" s="496">
        <f ca="1">IF(Table2[[#This Row],[Start Date]]&gt;TODAY(),1,)</f>
        <v>0</v>
      </c>
      <c r="AI235" s="496">
        <f>IF(ISBLANK(Table2[[#This Row],[Primary Instructor]]),0,1)</f>
        <v>1</v>
      </c>
      <c r="AJ235" s="496">
        <f>IF(ISBLANK(Table2[[#This Row],[Instructor 2]]),0,1)</f>
        <v>0</v>
      </c>
      <c r="AK235" s="496" t="e">
        <f>#REF!</f>
        <v>#REF!</v>
      </c>
      <c r="AL235" s="318">
        <v>865</v>
      </c>
      <c r="AM235" s="496">
        <v>2</v>
      </c>
      <c r="AN235" s="496" t="str">
        <f>VLOOKUP(Table2[[#This Row],[Course Title]],'TSD-Data'!$A$1:$G$83,7,FALSE)</f>
        <v>N8-RMI</v>
      </c>
      <c r="AO235" s="500">
        <f>Table2[[#This Row],[Quotas]]-Table2[[#This Row],[Graduates]]-Table2[[#This Row],[Fail]]</f>
        <v>980</v>
      </c>
    </row>
    <row r="236" spans="2:41" s="202" customFormat="1" ht="15" customHeight="1" x14ac:dyDescent="0.25">
      <c r="B236" s="530"/>
      <c r="C236" s="530" t="s">
        <v>414</v>
      </c>
      <c r="D236" s="200" t="str">
        <f>VLOOKUP(Table2[[#This Row],[Course Title]],'TSD-Data'!$A$1:$E$83,2,FALSE)</f>
        <v>A-4J-0019</v>
      </c>
      <c r="E236" s="200" t="str">
        <f>VLOOKUP(Table2[[#This Row],[Course Title]],'TSD-Data'!$A$1:$E$83,3,FALSE)</f>
        <v>28SL/285M</v>
      </c>
      <c r="F236" s="530" t="s">
        <v>443</v>
      </c>
      <c r="G236" s="531">
        <v>46076</v>
      </c>
      <c r="H236" s="531">
        <v>46080</v>
      </c>
      <c r="I236" s="531" t="s">
        <v>42</v>
      </c>
      <c r="J236" s="532">
        <v>0.3125</v>
      </c>
      <c r="K236" s="532"/>
      <c r="L236" s="531"/>
      <c r="M236" s="531"/>
      <c r="N236" s="531"/>
      <c r="O236" s="531"/>
      <c r="P236" s="531"/>
      <c r="Q236" s="535" t="s">
        <v>444</v>
      </c>
      <c r="R236" s="535" t="s">
        <v>445</v>
      </c>
      <c r="S236" s="535"/>
      <c r="T236" s="200">
        <f>VLOOKUP(Table2[[#This Row],[Course Title]],'TSD-Data'!$A$1:$E$83,4,FALSE)</f>
        <v>20</v>
      </c>
      <c r="U236" s="200">
        <f>VLOOKUP(Table2[[#This Row],[Course Title]],'TSD-Data'!$A$1:$F$83,6,FALSE)</f>
        <v>40</v>
      </c>
      <c r="V236" s="201">
        <f>VLOOKUP(Table2[[#This Row],[Course Title]],'TSD-Data'!$A$1:$F$83,5,FALSE)</f>
        <v>5</v>
      </c>
      <c r="W236" s="201">
        <v>148</v>
      </c>
      <c r="X236" s="200">
        <f>Table2[[#This Row],[Quotas]]-Table2[[#This Row],[Open Quotas]]</f>
        <v>20</v>
      </c>
      <c r="Y236" s="200">
        <v>0</v>
      </c>
      <c r="Z236" s="201">
        <v>19</v>
      </c>
      <c r="AA236" s="201">
        <v>0</v>
      </c>
      <c r="AB236" s="200">
        <v>2</v>
      </c>
      <c r="AC236" s="200">
        <v>2</v>
      </c>
      <c r="AD236" s="200">
        <v>0</v>
      </c>
      <c r="AE236" s="200" t="s">
        <v>431</v>
      </c>
      <c r="AF236" s="495">
        <f ca="1">Table2[[#This Row],[End Date]]+2-TODAY()</f>
        <v>-162</v>
      </c>
      <c r="AG236" s="496">
        <f>IF(ISBLANK(Table2[[#This Row],[Roster Received by]]),1,0)</f>
        <v>0</v>
      </c>
      <c r="AH236" s="496">
        <f ca="1">IF(Table2[[#This Row],[Start Date]]&gt;TODAY(),1,)</f>
        <v>0</v>
      </c>
      <c r="AI236" s="496">
        <f>IF(ISBLANK(Table2[[#This Row],[Primary Instructor]]),0,1)</f>
        <v>1</v>
      </c>
      <c r="AJ236" s="496">
        <f>IF(ISBLANK(Table2[[#This Row],[Instructor 2]]),0,1)</f>
        <v>1</v>
      </c>
      <c r="AK236" s="496">
        <f>Table2[[#This Row],[Course Length (Hours)]]/(Table2[[#This Row],[1 Instructor]]+Table2[[#This Row],[2 Instructors]])</f>
        <v>20</v>
      </c>
      <c r="AL236" s="318">
        <v>0</v>
      </c>
      <c r="AM236" s="497">
        <v>2</v>
      </c>
      <c r="AN236" s="496" t="str">
        <f>VLOOKUP(Table2[[#This Row],[Course Title]],'TSD-Data'!$A$1:$G$83,7,FALSE)</f>
        <v>N8</v>
      </c>
      <c r="AO236" s="500">
        <f>Table2[[#This Row],[Quotas]]-Table2[[#This Row],[Graduates]]-Table2[[#This Row],[Fail]]</f>
        <v>1</v>
      </c>
    </row>
    <row r="237" spans="2:41" s="202" customFormat="1" ht="15" customHeight="1" x14ac:dyDescent="0.25">
      <c r="B237" s="530"/>
      <c r="C237" s="530" t="s">
        <v>56</v>
      </c>
      <c r="D237" s="200" t="str">
        <f>VLOOKUP(Table2[[#This Row],[Course Title]],'TSD-Data'!$A$1:$E$83,2,FALSE)</f>
        <v>A-493-0550</v>
      </c>
      <c r="E237" s="200" t="str">
        <f>VLOOKUP(Table2[[#This Row],[Course Title]],'TSD-Data'!$A$1:$E$83,3,FALSE)</f>
        <v>09K5</v>
      </c>
      <c r="F237" s="530" t="s">
        <v>54</v>
      </c>
      <c r="G237" s="531">
        <v>46077</v>
      </c>
      <c r="H237" s="531">
        <v>46080</v>
      </c>
      <c r="I237" s="531" t="s">
        <v>42</v>
      </c>
      <c r="J237" s="532"/>
      <c r="K237" s="532">
        <v>0.33333333333333331</v>
      </c>
      <c r="L237" s="532">
        <v>0.20833333333333334</v>
      </c>
      <c r="M237" s="541">
        <v>1600</v>
      </c>
      <c r="N237" s="541">
        <v>1400</v>
      </c>
      <c r="O237" s="532">
        <v>0.125</v>
      </c>
      <c r="P237" s="541">
        <v>2200</v>
      </c>
      <c r="Q237" s="535" t="s">
        <v>427</v>
      </c>
      <c r="R237" s="535"/>
      <c r="S237" s="535"/>
      <c r="T237" s="200">
        <f>VLOOKUP(Table2[[#This Row],[Course Title]],'TSD-Data'!$A$1:$E$83,4,FALSE)</f>
        <v>45</v>
      </c>
      <c r="U237" s="200">
        <f>VLOOKUP(Table2[[#This Row],[Course Title]],'TSD-Data'!$A$1:$F$83,6,FALSE)</f>
        <v>32</v>
      </c>
      <c r="V237" s="201">
        <f>VLOOKUP(Table2[[#This Row],[Course Title]],'TSD-Data'!$A$1:$F$83,5,FALSE)</f>
        <v>4</v>
      </c>
      <c r="W237" s="201">
        <v>455</v>
      </c>
      <c r="X237" s="200">
        <f>Table2[[#This Row],[Quotas]]-Table2[[#This Row],[Open Quotas]]</f>
        <v>44</v>
      </c>
      <c r="Y237" s="200">
        <v>0</v>
      </c>
      <c r="Z237" s="201">
        <v>36</v>
      </c>
      <c r="AA237" s="201">
        <v>0</v>
      </c>
      <c r="AB237" s="200">
        <v>7</v>
      </c>
      <c r="AC237" s="200">
        <v>1</v>
      </c>
      <c r="AD237" s="200">
        <v>0</v>
      </c>
      <c r="AE237" s="200" t="s">
        <v>431</v>
      </c>
      <c r="AF237" s="495">
        <f ca="1">Table2[[#This Row],[End Date]]+2-TODAY()</f>
        <v>-162</v>
      </c>
      <c r="AG237" s="496">
        <f>IF(ISBLANK(Table2[[#This Row],[Roster Received by]]),1,0)</f>
        <v>0</v>
      </c>
      <c r="AH237" s="496">
        <f ca="1">IF(Table2[[#This Row],[Start Date]]&gt;TODAY(),1,)</f>
        <v>0</v>
      </c>
      <c r="AI237" s="496">
        <f>IF(ISBLANK(Table2[[#This Row],[Primary Instructor]]),0,1)</f>
        <v>1</v>
      </c>
      <c r="AJ237" s="496">
        <f>IF(ISBLANK(Table2[[#This Row],[Instructor 2]]),0,1)</f>
        <v>0</v>
      </c>
      <c r="AK237" s="496">
        <f>Table2[[#This Row],[Course Length (Hours)]]/(Table2[[#This Row],[1 Instructor]]+Table2[[#This Row],[2 Instructors]])</f>
        <v>32</v>
      </c>
      <c r="AL237" s="318">
        <v>1</v>
      </c>
      <c r="AM237" s="497">
        <v>2</v>
      </c>
      <c r="AN237" s="496" t="str">
        <f>VLOOKUP(Table2[[#This Row],[Course Title]],'TSD-Data'!$A$1:$G$83,7,FALSE)</f>
        <v>N5</v>
      </c>
      <c r="AO237" s="500">
        <f>Table2[[#This Row],[Quotas]]-Table2[[#This Row],[Graduates]]-Table2[[#This Row],[Fail]]</f>
        <v>9</v>
      </c>
    </row>
    <row r="238" spans="2:41" s="202" customFormat="1" ht="15" customHeight="1" x14ac:dyDescent="0.25">
      <c r="B238" s="530"/>
      <c r="C238" s="530" t="s">
        <v>399</v>
      </c>
      <c r="D238" s="200" t="str">
        <f>VLOOKUP(Table2[[#This Row],[Course Title]],'TSD-Data'!$A$1:$E$83,2,FALSE)</f>
        <v>A-493-3011</v>
      </c>
      <c r="E238" s="200" t="str">
        <f>VLOOKUP(Table2[[#This Row],[Course Title]],'TSD-Data'!$A$1:$E$83,3,FALSE)</f>
        <v>31VD</v>
      </c>
      <c r="F238" s="530" t="s">
        <v>54</v>
      </c>
      <c r="G238" s="531">
        <v>46077</v>
      </c>
      <c r="H238" s="531">
        <v>46077</v>
      </c>
      <c r="I238" s="531" t="s">
        <v>42</v>
      </c>
      <c r="J238" s="532"/>
      <c r="K238" s="532">
        <v>0.75</v>
      </c>
      <c r="L238" s="532">
        <v>0.625</v>
      </c>
      <c r="M238" s="532">
        <v>8.3333333333333329E-2</v>
      </c>
      <c r="N238" s="532">
        <v>6.9444444444444447E-4</v>
      </c>
      <c r="O238" s="532">
        <v>0.54166666666666663</v>
      </c>
      <c r="P238" s="532">
        <v>0.33333333333333331</v>
      </c>
      <c r="Q238" s="535" t="s">
        <v>441</v>
      </c>
      <c r="R238" s="535"/>
      <c r="S238" s="535"/>
      <c r="T238" s="200">
        <f>VLOOKUP(Table2[[#This Row],[Course Title]],'TSD-Data'!$A$1:$E$83,4,FALSE)</f>
        <v>1000</v>
      </c>
      <c r="U238" s="200">
        <f>VLOOKUP(Table2[[#This Row],[Course Title]],'TSD-Data'!$A$1:$F$83,6,FALSE)</f>
        <v>2.5</v>
      </c>
      <c r="V238" s="201">
        <f>VLOOKUP(Table2[[#This Row],[Course Title]],'TSD-Data'!$A$1:$F$83,5,FALSE)</f>
        <v>0.3</v>
      </c>
      <c r="W238" s="201"/>
      <c r="X238" s="200">
        <f>Table2[[#This Row],[Quotas]]-Table2[[#This Row],[Open Quotas]]</f>
        <v>135</v>
      </c>
      <c r="Y238" s="200">
        <v>0</v>
      </c>
      <c r="Z238" s="201">
        <v>22</v>
      </c>
      <c r="AA238" s="201">
        <v>0</v>
      </c>
      <c r="AB238" s="200">
        <v>0</v>
      </c>
      <c r="AC238" s="200">
        <v>0</v>
      </c>
      <c r="AD238" s="200">
        <v>0</v>
      </c>
      <c r="AE238" s="200" t="s">
        <v>442</v>
      </c>
      <c r="AF238" s="495">
        <f ca="1">Table2[[#This Row],[End Date]]+2-TODAY()</f>
        <v>-165</v>
      </c>
      <c r="AG238" s="496">
        <f>IF(ISBLANK(Table2[[#This Row],[Roster Received by]]),1,0)</f>
        <v>0</v>
      </c>
      <c r="AH238" s="496">
        <f ca="1">IF(Table2[[#This Row],[Start Date]]&gt;TODAY(),1,)</f>
        <v>0</v>
      </c>
      <c r="AI238" s="496">
        <f>IF(ISBLANK(Table2[[#This Row],[Primary Instructor]]),0,1)</f>
        <v>1</v>
      </c>
      <c r="AJ238" s="496">
        <f>IF(ISBLANK(Table2[[#This Row],[Instructor 2]]),0,1)</f>
        <v>0</v>
      </c>
      <c r="AK238" s="496" t="e">
        <f>#REF!</f>
        <v>#REF!</v>
      </c>
      <c r="AL238" s="318">
        <v>865</v>
      </c>
      <c r="AM238" s="496">
        <v>2</v>
      </c>
      <c r="AN238" s="496" t="str">
        <f>VLOOKUP(Table2[[#This Row],[Course Title]],'TSD-Data'!$A$1:$G$83,7,FALSE)</f>
        <v>N8-RMI</v>
      </c>
      <c r="AO238" s="500">
        <f>Table2[[#This Row],[Quotas]]-Table2[[#This Row],[Graduates]]-Table2[[#This Row],[Fail]]</f>
        <v>978</v>
      </c>
    </row>
    <row r="239" spans="2:41" s="202" customFormat="1" ht="15" customHeight="1" x14ac:dyDescent="0.25">
      <c r="B239" s="530"/>
      <c r="C239" s="530" t="s">
        <v>400</v>
      </c>
      <c r="D239" s="200" t="str">
        <f>VLOOKUP(Table2[[#This Row],[Course Title]],'TSD-Data'!$A$1:$E$83,2,FALSE)</f>
        <v>A-493-3010</v>
      </c>
      <c r="E239" s="200" t="str">
        <f>VLOOKUP(Table2[[#This Row],[Course Title]],'TSD-Data'!$A$1:$E$83,3,FALSE)</f>
        <v>31VC</v>
      </c>
      <c r="F239" s="530" t="s">
        <v>54</v>
      </c>
      <c r="G239" s="531">
        <v>46077</v>
      </c>
      <c r="H239" s="531">
        <v>46077</v>
      </c>
      <c r="I239" s="531" t="s">
        <v>42</v>
      </c>
      <c r="J239" s="532"/>
      <c r="K239" s="532">
        <v>0.45833333333333331</v>
      </c>
      <c r="L239" s="532">
        <v>0.33333333333333331</v>
      </c>
      <c r="M239" s="532">
        <v>0.79166666666666663</v>
      </c>
      <c r="N239" s="532">
        <v>0.70833333333333337</v>
      </c>
      <c r="O239" s="532">
        <v>0.25</v>
      </c>
      <c r="P239" s="532">
        <v>4.1666666666666664E-2</v>
      </c>
      <c r="Q239" s="535" t="s">
        <v>441</v>
      </c>
      <c r="R239" s="535"/>
      <c r="S239" s="535"/>
      <c r="T239" s="200">
        <f>VLOOKUP(Table2[[#This Row],[Course Title]],'TSD-Data'!$A$1:$E$83,4,FALSE)</f>
        <v>1000</v>
      </c>
      <c r="U239" s="200">
        <f>VLOOKUP(Table2[[#This Row],[Course Title]],'TSD-Data'!$A$1:$F$83,6,FALSE)</f>
        <v>4</v>
      </c>
      <c r="V239" s="201">
        <f>VLOOKUP(Table2[[#This Row],[Course Title]],'TSD-Data'!$A$1:$F$83,5,FALSE)</f>
        <v>0.5</v>
      </c>
      <c r="W239" s="201"/>
      <c r="X239" s="200">
        <f>Table2[[#This Row],[Quotas]]-Table2[[#This Row],[Open Quotas]]</f>
        <v>135</v>
      </c>
      <c r="Y239" s="200">
        <v>0</v>
      </c>
      <c r="Z239" s="201">
        <v>34</v>
      </c>
      <c r="AA239" s="201">
        <v>0</v>
      </c>
      <c r="AB239" s="200">
        <v>0</v>
      </c>
      <c r="AC239" s="200">
        <v>0</v>
      </c>
      <c r="AD239" s="200">
        <v>0</v>
      </c>
      <c r="AE239" s="200" t="s">
        <v>442</v>
      </c>
      <c r="AF239" s="495">
        <f ca="1">Table2[[#This Row],[End Date]]+2-TODAY()</f>
        <v>-165</v>
      </c>
      <c r="AG239" s="496">
        <f>IF(ISBLANK(Table2[[#This Row],[Roster Received by]]),1,0)</f>
        <v>0</v>
      </c>
      <c r="AH239" s="496">
        <f ca="1">IF(Table2[[#This Row],[Start Date]]&gt;TODAY(),1,)</f>
        <v>0</v>
      </c>
      <c r="AI239" s="496">
        <f>IF(ISBLANK(Table2[[#This Row],[Primary Instructor]]),0,1)</f>
        <v>1</v>
      </c>
      <c r="AJ239" s="496">
        <f>IF(ISBLANK(Table2[[#This Row],[Instructor 2]]),0,1)</f>
        <v>0</v>
      </c>
      <c r="AK239" s="496" t="e">
        <f>#REF!</f>
        <v>#REF!</v>
      </c>
      <c r="AL239" s="318">
        <v>865</v>
      </c>
      <c r="AM239" s="496">
        <v>2</v>
      </c>
      <c r="AN239" s="496" t="str">
        <f>VLOOKUP(Table2[[#This Row],[Course Title]],'TSD-Data'!$A$1:$G$83,7,FALSE)</f>
        <v>N8-RMI</v>
      </c>
      <c r="AO239" s="500">
        <f>Table2[[#This Row],[Quotas]]-Table2[[#This Row],[Graduates]]-Table2[[#This Row],[Fail]]</f>
        <v>966</v>
      </c>
    </row>
    <row r="240" spans="2:41" s="202" customFormat="1" ht="15" customHeight="1" x14ac:dyDescent="0.25">
      <c r="B240" s="530"/>
      <c r="C240" s="530" t="s">
        <v>396</v>
      </c>
      <c r="D240" s="200" t="str">
        <f>VLOOKUP(Table2[[#This Row],[Course Title]],'TSD-Data'!$A$1:$E$83,2,FALSE)</f>
        <v>A-493-3018</v>
      </c>
      <c r="E240" s="200" t="str">
        <f>VLOOKUP(Table2[[#This Row],[Course Title]],'TSD-Data'!$A$1:$E$83,3,FALSE)</f>
        <v>31YM</v>
      </c>
      <c r="F240" s="530" t="s">
        <v>54</v>
      </c>
      <c r="G240" s="531">
        <v>46078</v>
      </c>
      <c r="H240" s="531">
        <v>46078</v>
      </c>
      <c r="I240" s="531" t="s">
        <v>42</v>
      </c>
      <c r="J240" s="532"/>
      <c r="K240" s="532">
        <v>0.72916666666666663</v>
      </c>
      <c r="L240" s="532">
        <v>0.60416666666666663</v>
      </c>
      <c r="M240" s="532">
        <v>6.25E-2</v>
      </c>
      <c r="N240" s="532">
        <v>0.97916666666666663</v>
      </c>
      <c r="O240" s="532">
        <v>0.52083333333333337</v>
      </c>
      <c r="P240" s="532">
        <v>0.3125</v>
      </c>
      <c r="Q240" s="535" t="s">
        <v>441</v>
      </c>
      <c r="R240" s="535"/>
      <c r="S240" s="535"/>
      <c r="T240" s="200">
        <f>VLOOKUP(Table2[[#This Row],[Course Title]],'TSD-Data'!$A$1:$E$83,4,FALSE)</f>
        <v>1000</v>
      </c>
      <c r="U240" s="200">
        <f>VLOOKUP(Table2[[#This Row],[Course Title]],'TSD-Data'!$A$1:$F$83,6,FALSE)</f>
        <v>2</v>
      </c>
      <c r="V240" s="201">
        <f>VLOOKUP(Table2[[#This Row],[Course Title]],'TSD-Data'!$A$1:$F$83,5,FALSE)</f>
        <v>0.25</v>
      </c>
      <c r="W240" s="201"/>
      <c r="X240" s="200">
        <f>Table2[[#This Row],[Quotas]]-Table2[[#This Row],[Open Quotas]]</f>
        <v>135</v>
      </c>
      <c r="Y240" s="200">
        <v>0</v>
      </c>
      <c r="Z240" s="201">
        <v>15</v>
      </c>
      <c r="AA240" s="201">
        <v>0</v>
      </c>
      <c r="AB240" s="200">
        <v>0</v>
      </c>
      <c r="AC240" s="200">
        <v>0</v>
      </c>
      <c r="AD240" s="200">
        <v>0</v>
      </c>
      <c r="AE240" s="200" t="s">
        <v>442</v>
      </c>
      <c r="AF240" s="495">
        <f ca="1">Table2[[#This Row],[End Date]]+2-TODAY()</f>
        <v>-164</v>
      </c>
      <c r="AG240" s="496">
        <f>IF(ISBLANK(Table2[[#This Row],[Roster Received by]]),1,0)</f>
        <v>0</v>
      </c>
      <c r="AH240" s="496">
        <f ca="1">IF(Table2[[#This Row],[Start Date]]&gt;TODAY(),1,)</f>
        <v>0</v>
      </c>
      <c r="AI240" s="496">
        <f>IF(ISBLANK(Table2[[#This Row],[Primary Instructor]]),0,1)</f>
        <v>1</v>
      </c>
      <c r="AJ240" s="496">
        <f>IF(ISBLANK(Table2[[#This Row],[Instructor 2]]),0,1)</f>
        <v>0</v>
      </c>
      <c r="AK240" s="496">
        <f>AJ479</f>
        <v>0</v>
      </c>
      <c r="AL240" s="318">
        <v>865</v>
      </c>
      <c r="AM240" s="496">
        <v>2</v>
      </c>
      <c r="AN240" s="496" t="str">
        <f>VLOOKUP(Table2[[#This Row],[Course Title]],'TSD-Data'!$A$1:$G$83,7,FALSE)</f>
        <v>N8-RMI</v>
      </c>
      <c r="AO240" s="500">
        <f>Table2[[#This Row],[Quotas]]-Table2[[#This Row],[Graduates]]-Table2[[#This Row],[Fail]]</f>
        <v>985</v>
      </c>
    </row>
    <row r="241" spans="2:41" s="202" customFormat="1" ht="15" customHeight="1" x14ac:dyDescent="0.25">
      <c r="B241" s="530"/>
      <c r="C241" s="530" t="s">
        <v>398</v>
      </c>
      <c r="D241" s="200" t="str">
        <f>VLOOKUP(Table2[[#This Row],[Course Title]],'TSD-Data'!$A$1:$E$83,2,FALSE)</f>
        <v>A-493-3004</v>
      </c>
      <c r="E241" s="200" t="str">
        <f>VLOOKUP(Table2[[#This Row],[Course Title]],'TSD-Data'!$A$1:$E$83,3,FALSE)</f>
        <v>31V6</v>
      </c>
      <c r="F241" s="530" t="s">
        <v>54</v>
      </c>
      <c r="G241" s="531">
        <v>46078</v>
      </c>
      <c r="H241" s="531">
        <v>46078</v>
      </c>
      <c r="I241" s="531" t="s">
        <v>42</v>
      </c>
      <c r="J241" s="532"/>
      <c r="K241" s="532">
        <v>0.64583333333333337</v>
      </c>
      <c r="L241" s="532">
        <v>0.52083333333333337</v>
      </c>
      <c r="M241" s="532">
        <v>0.97916666666666663</v>
      </c>
      <c r="N241" s="532">
        <v>0.89583333333333337</v>
      </c>
      <c r="O241" s="532">
        <v>0.4375</v>
      </c>
      <c r="P241" s="532">
        <v>0.22916666666666666</v>
      </c>
      <c r="Q241" s="535" t="s">
        <v>441</v>
      </c>
      <c r="R241" s="535"/>
      <c r="S241" s="535"/>
      <c r="T241" s="200">
        <f>VLOOKUP(Table2[[#This Row],[Course Title]],'TSD-Data'!$A$1:$E$83,4,FALSE)</f>
        <v>1000</v>
      </c>
      <c r="U241" s="200">
        <f>VLOOKUP(Table2[[#This Row],[Course Title]],'TSD-Data'!$A$1:$F$83,6,FALSE)</f>
        <v>2</v>
      </c>
      <c r="V241" s="201">
        <f>VLOOKUP(Table2[[#This Row],[Course Title]],'TSD-Data'!$A$1:$F$83,5,FALSE)</f>
        <v>0.25</v>
      </c>
      <c r="W241" s="201"/>
      <c r="X241" s="200">
        <f>Table2[[#This Row],[Quotas]]-Table2[[#This Row],[Open Quotas]]</f>
        <v>135</v>
      </c>
      <c r="Y241" s="200">
        <v>0</v>
      </c>
      <c r="Z241" s="201">
        <v>22</v>
      </c>
      <c r="AA241" s="201">
        <v>0</v>
      </c>
      <c r="AB241" s="200">
        <v>0</v>
      </c>
      <c r="AC241" s="200">
        <v>0</v>
      </c>
      <c r="AD241" s="200">
        <v>0</v>
      </c>
      <c r="AE241" s="200" t="s">
        <v>442</v>
      </c>
      <c r="AF241" s="495">
        <f ca="1">Table2[[#This Row],[End Date]]+2-TODAY()</f>
        <v>-164</v>
      </c>
      <c r="AG241" s="496">
        <f>IF(ISBLANK(Table2[[#This Row],[Roster Received by]]),1,0)</f>
        <v>0</v>
      </c>
      <c r="AH241" s="496">
        <f ca="1">IF(Table2[[#This Row],[Start Date]]&gt;TODAY(),1,)</f>
        <v>0</v>
      </c>
      <c r="AI241" s="496">
        <f>IF(ISBLANK(Table2[[#This Row],[Primary Instructor]]),0,1)</f>
        <v>1</v>
      </c>
      <c r="AJ241" s="496">
        <f>IF(ISBLANK(Table2[[#This Row],[Instructor 2]]),0,1)</f>
        <v>0</v>
      </c>
      <c r="AK241" s="496">
        <f>AJ480</f>
        <v>0</v>
      </c>
      <c r="AL241" s="318">
        <v>865</v>
      </c>
      <c r="AM241" s="496">
        <v>2</v>
      </c>
      <c r="AN241" s="496" t="str">
        <f>VLOOKUP(Table2[[#This Row],[Course Title]],'TSD-Data'!$A$1:$G$83,7,FALSE)</f>
        <v>N8-RMI</v>
      </c>
      <c r="AO241" s="500">
        <f>Table2[[#This Row],[Quotas]]-Table2[[#This Row],[Graduates]]-Table2[[#This Row],[Fail]]</f>
        <v>978</v>
      </c>
    </row>
    <row r="242" spans="2:41" s="202" customFormat="1" ht="15" customHeight="1" x14ac:dyDescent="0.25">
      <c r="B242" s="530"/>
      <c r="C242" s="530" t="s">
        <v>409</v>
      </c>
      <c r="D242" s="200" t="str">
        <f>VLOOKUP(Table2[[#This Row],[Course Title]],'TSD-Data'!$A$1:$E$83,2,FALSE)</f>
        <v>A-493-3001</v>
      </c>
      <c r="E242" s="200" t="str">
        <f>VLOOKUP(Table2[[#This Row],[Course Title]],'TSD-Data'!$A$1:$E$83,3,FALSE)</f>
        <v>31V3</v>
      </c>
      <c r="F242" s="530" t="s">
        <v>54</v>
      </c>
      <c r="G242" s="531">
        <v>46078</v>
      </c>
      <c r="H242" s="531">
        <v>46078</v>
      </c>
      <c r="I242" s="531" t="s">
        <v>42</v>
      </c>
      <c r="J242" s="532"/>
      <c r="K242" s="532">
        <v>0.45833333333333331</v>
      </c>
      <c r="L242" s="532">
        <v>0.33333333333333331</v>
      </c>
      <c r="M242" s="532">
        <v>0.79166666666666663</v>
      </c>
      <c r="N242" s="532">
        <v>0.70833333333333337</v>
      </c>
      <c r="O242" s="532">
        <v>0.25</v>
      </c>
      <c r="P242" s="532">
        <v>4.1666666666666664E-2</v>
      </c>
      <c r="Q242" s="535" t="s">
        <v>441</v>
      </c>
      <c r="R242" s="535"/>
      <c r="S242" s="535"/>
      <c r="T242" s="200">
        <f>VLOOKUP(Table2[[#This Row],[Course Title]],'TSD-Data'!$A$1:$E$83,4,FALSE)</f>
        <v>1000</v>
      </c>
      <c r="U242" s="200">
        <f>VLOOKUP(Table2[[#This Row],[Course Title]],'TSD-Data'!$A$1:$F$83,6,FALSE)</f>
        <v>2</v>
      </c>
      <c r="V242" s="201">
        <f>VLOOKUP(Table2[[#This Row],[Course Title]],'TSD-Data'!$A$1:$F$83,5,FALSE)</f>
        <v>0.25</v>
      </c>
      <c r="W242" s="201"/>
      <c r="X242" s="200">
        <f>Table2[[#This Row],[Quotas]]-Table2[[#This Row],[Open Quotas]]</f>
        <v>135</v>
      </c>
      <c r="Y242" s="200">
        <v>0</v>
      </c>
      <c r="Z242" s="201">
        <v>22</v>
      </c>
      <c r="AA242" s="201">
        <v>0</v>
      </c>
      <c r="AB242" s="200">
        <v>0</v>
      </c>
      <c r="AC242" s="200">
        <v>0</v>
      </c>
      <c r="AD242" s="200">
        <v>0</v>
      </c>
      <c r="AE242" s="200" t="s">
        <v>442</v>
      </c>
      <c r="AF242" s="495">
        <f ca="1">Table2[[#This Row],[End Date]]+2-TODAY()</f>
        <v>-164</v>
      </c>
      <c r="AG242" s="496">
        <f>IF(ISBLANK(Table2[[#This Row],[Roster Received by]]),1,0)</f>
        <v>0</v>
      </c>
      <c r="AH242" s="496">
        <f ca="1">IF(Table2[[#This Row],[Start Date]]&gt;TODAY(),1,)</f>
        <v>0</v>
      </c>
      <c r="AI242" s="496">
        <f>IF(ISBLANK(Table2[[#This Row],[Primary Instructor]]),0,1)</f>
        <v>1</v>
      </c>
      <c r="AJ242" s="496">
        <f>IF(ISBLANK(Table2[[#This Row],[Instructor 2]]),0,1)</f>
        <v>0</v>
      </c>
      <c r="AK242" s="496">
        <f>AJ481</f>
        <v>1</v>
      </c>
      <c r="AL242" s="318">
        <v>865</v>
      </c>
      <c r="AM242" s="496">
        <v>2</v>
      </c>
      <c r="AN242" s="496" t="str">
        <f>VLOOKUP(Table2[[#This Row],[Course Title]],'TSD-Data'!$A$1:$G$83,7,FALSE)</f>
        <v>N8-RMI</v>
      </c>
      <c r="AO242" s="500">
        <f>Table2[[#This Row],[Quotas]]-Table2[[#This Row],[Graduates]]-Table2[[#This Row],[Fail]]</f>
        <v>978</v>
      </c>
    </row>
    <row r="243" spans="2:41" s="202" customFormat="1" ht="15" customHeight="1" x14ac:dyDescent="0.25">
      <c r="B243" s="530"/>
      <c r="C243" s="530" t="s">
        <v>84</v>
      </c>
      <c r="D243" s="200" t="str">
        <f>VLOOKUP(Table2[[#This Row],[Course Title]],'TSD-Data'!$A$1:$E$83,2,FALSE)</f>
        <v>A-493-0083</v>
      </c>
      <c r="E243" s="200" t="str">
        <f>VLOOKUP(Table2[[#This Row],[Course Title]],'TSD-Data'!$A$1:$E$83,3,FALSE)</f>
        <v>339E</v>
      </c>
      <c r="F243" s="530" t="s">
        <v>112</v>
      </c>
      <c r="G243" s="531">
        <v>46079</v>
      </c>
      <c r="H243" s="531">
        <v>46079</v>
      </c>
      <c r="I243" s="531" t="s">
        <v>42</v>
      </c>
      <c r="J243" s="532">
        <v>0.33333333333333331</v>
      </c>
      <c r="K243" s="532"/>
      <c r="L243" s="531"/>
      <c r="M243" s="531"/>
      <c r="N243" s="531"/>
      <c r="O243" s="531"/>
      <c r="P243" s="531"/>
      <c r="Q243" s="535" t="s">
        <v>48</v>
      </c>
      <c r="R243" s="535"/>
      <c r="S243" s="535"/>
      <c r="T243" s="200">
        <f>VLOOKUP(Table2[[#This Row],[Course Title]],'TSD-Data'!$A$1:$E$83,4,FALSE)</f>
        <v>30</v>
      </c>
      <c r="U243" s="200">
        <f>VLOOKUP(Table2[[#This Row],[Course Title]],'TSD-Data'!$A$1:$F$83,6,FALSE)</f>
        <v>8</v>
      </c>
      <c r="V243" s="201">
        <f>VLOOKUP(Table2[[#This Row],[Course Title]],'TSD-Data'!$A$1:$F$83,5,FALSE)</f>
        <v>1</v>
      </c>
      <c r="W243" s="201">
        <v>54</v>
      </c>
      <c r="X243" s="200">
        <f>Table2[[#This Row],[Quotas]]-Table2[[#This Row],[Open Quotas]]</f>
        <v>30</v>
      </c>
      <c r="Y243" s="200">
        <v>0</v>
      </c>
      <c r="Z243" s="201">
        <v>26</v>
      </c>
      <c r="AA243" s="201">
        <v>0</v>
      </c>
      <c r="AB243" s="200">
        <v>8</v>
      </c>
      <c r="AC243" s="200">
        <v>5</v>
      </c>
      <c r="AD243" s="200">
        <v>0</v>
      </c>
      <c r="AE243" s="200" t="s">
        <v>428</v>
      </c>
      <c r="AF243" s="495">
        <f ca="1">Table2[[#This Row],[End Date]]+2-TODAY()</f>
        <v>-163</v>
      </c>
      <c r="AG243" s="496">
        <f>IF(ISBLANK(Table2[[#This Row],[Roster Received by]]),1,0)</f>
        <v>0</v>
      </c>
      <c r="AH243" s="496">
        <f ca="1">IF(Table2[[#This Row],[Start Date]]&gt;TODAY(),1,)</f>
        <v>0</v>
      </c>
      <c r="AI243" s="496">
        <f>IF(ISBLANK(Table2[[#This Row],[Primary Instructor]]),0,1)</f>
        <v>1</v>
      </c>
      <c r="AJ243" s="496">
        <f>IF(ISBLANK(Table2[[#This Row],[Instructor 2]]),0,1)</f>
        <v>0</v>
      </c>
      <c r="AK243" s="496">
        <f>Table2[[#This Row],[Course Length (Hours)]]/(Table2[[#This Row],[1 Instructor]]+Table2[[#This Row],[2 Instructors]])</f>
        <v>8</v>
      </c>
      <c r="AL243" s="318">
        <v>0</v>
      </c>
      <c r="AM243" s="497">
        <v>2</v>
      </c>
      <c r="AN243" s="496" t="str">
        <f>VLOOKUP(Table2[[#This Row],[Course Title]],'TSD-Data'!$A$1:$G$83,7,FALSE)</f>
        <v>N4</v>
      </c>
      <c r="AO243" s="500">
        <f>Table2[[#This Row],[Quotas]]-Table2[[#This Row],[Graduates]]-Table2[[#This Row],[Fail]]</f>
        <v>4</v>
      </c>
    </row>
    <row r="244" spans="2:41" s="202" customFormat="1" ht="15" customHeight="1" x14ac:dyDescent="0.25">
      <c r="B244" s="530"/>
      <c r="C244" s="530" t="s">
        <v>403</v>
      </c>
      <c r="D244" s="200" t="str">
        <f>VLOOKUP(Table2[[#This Row],[Course Title]],'TSD-Data'!$A$1:$E$83,2,FALSE)</f>
        <v>A-493-3013</v>
      </c>
      <c r="E244" s="200" t="str">
        <f>VLOOKUP(Table2[[#This Row],[Course Title]],'TSD-Data'!$A$1:$E$83,3,FALSE)</f>
        <v>31YG</v>
      </c>
      <c r="F244" s="530" t="s">
        <v>54</v>
      </c>
      <c r="G244" s="531">
        <v>46079</v>
      </c>
      <c r="H244" s="531">
        <v>46079</v>
      </c>
      <c r="I244" s="531" t="s">
        <v>42</v>
      </c>
      <c r="J244" s="532"/>
      <c r="K244" s="532">
        <v>0.5625</v>
      </c>
      <c r="L244" s="532">
        <v>0.4375</v>
      </c>
      <c r="M244" s="532">
        <v>0.89583333333333337</v>
      </c>
      <c r="N244" s="532">
        <v>0.8125</v>
      </c>
      <c r="O244" s="532">
        <v>0.35416666666666669</v>
      </c>
      <c r="P244" s="532">
        <v>0.14583333333333334</v>
      </c>
      <c r="Q244" s="535" t="s">
        <v>441</v>
      </c>
      <c r="R244" s="535"/>
      <c r="S244" s="535"/>
      <c r="T244" s="200">
        <f>VLOOKUP(Table2[[#This Row],[Course Title]],'TSD-Data'!$A$1:$E$83,4,FALSE)</f>
        <v>1000</v>
      </c>
      <c r="U244" s="200">
        <f>VLOOKUP(Table2[[#This Row],[Course Title]],'TSD-Data'!$A$1:$F$83,6,FALSE)</f>
        <v>2</v>
      </c>
      <c r="V244" s="201">
        <f>VLOOKUP(Table2[[#This Row],[Course Title]],'TSD-Data'!$A$1:$F$83,5,FALSE)</f>
        <v>0.25</v>
      </c>
      <c r="W244" s="201"/>
      <c r="X244" s="200">
        <f>Table2[[#This Row],[Quotas]]-Table2[[#This Row],[Open Quotas]]</f>
        <v>135</v>
      </c>
      <c r="Y244" s="200">
        <v>0</v>
      </c>
      <c r="Z244" s="201">
        <v>23</v>
      </c>
      <c r="AA244" s="201">
        <v>0</v>
      </c>
      <c r="AB244" s="200">
        <v>0</v>
      </c>
      <c r="AC244" s="200">
        <v>0</v>
      </c>
      <c r="AD244" s="200">
        <v>0</v>
      </c>
      <c r="AE244" s="200" t="s">
        <v>442</v>
      </c>
      <c r="AF244" s="495">
        <f ca="1">Table2[[#This Row],[End Date]]+2-TODAY()</f>
        <v>-163</v>
      </c>
      <c r="AG244" s="496">
        <f>IF(ISBLANK(Table2[[#This Row],[Roster Received by]]),1,0)</f>
        <v>0</v>
      </c>
      <c r="AH244" s="496">
        <f ca="1">IF(Table2[[#This Row],[Start Date]]&gt;TODAY(),1,)</f>
        <v>0</v>
      </c>
      <c r="AI244" s="496">
        <f>IF(ISBLANK(Table2[[#This Row],[Primary Instructor]]),0,1)</f>
        <v>1</v>
      </c>
      <c r="AJ244" s="496">
        <f>IF(ISBLANK(Table2[[#This Row],[Instructor 2]]),0,1)</f>
        <v>0</v>
      </c>
      <c r="AK244" s="496">
        <f>AJ485</f>
        <v>1</v>
      </c>
      <c r="AL244" s="318">
        <v>865</v>
      </c>
      <c r="AM244" s="496">
        <v>2</v>
      </c>
      <c r="AN244" s="496" t="str">
        <f>VLOOKUP(Table2[[#This Row],[Course Title]],'TSD-Data'!$A$1:$G$83,7,FALSE)</f>
        <v>N8-RMI</v>
      </c>
      <c r="AO244" s="500">
        <f>Table2[[#This Row],[Quotas]]-Table2[[#This Row],[Graduates]]-Table2[[#This Row],[Fail]]</f>
        <v>977</v>
      </c>
    </row>
    <row r="245" spans="2:41" s="202" customFormat="1" ht="15" customHeight="1" x14ac:dyDescent="0.25">
      <c r="B245" s="530"/>
      <c r="C245" s="530" t="s">
        <v>404</v>
      </c>
      <c r="D245" s="200" t="str">
        <f>VLOOKUP(Table2[[#This Row],[Course Title]],'TSD-Data'!$A$1:$E$83,2,FALSE)</f>
        <v>A-493-3014</v>
      </c>
      <c r="E245" s="200" t="str">
        <f>VLOOKUP(Table2[[#This Row],[Course Title]],'TSD-Data'!$A$1:$E$83,3,FALSE)</f>
        <v>31Yh</v>
      </c>
      <c r="F245" s="530" t="s">
        <v>54</v>
      </c>
      <c r="G245" s="531">
        <v>46079</v>
      </c>
      <c r="H245" s="531">
        <v>46079</v>
      </c>
      <c r="I245" s="531" t="s">
        <v>42</v>
      </c>
      <c r="J245" s="532"/>
      <c r="K245" s="532">
        <v>0.72916666666666663</v>
      </c>
      <c r="L245" s="532">
        <v>0.60416666666666663</v>
      </c>
      <c r="M245" s="532">
        <v>6.25E-2</v>
      </c>
      <c r="N245" s="532">
        <v>0.97916666666666663</v>
      </c>
      <c r="O245" s="532">
        <v>0.52083333333333337</v>
      </c>
      <c r="P245" s="532">
        <v>0.3125</v>
      </c>
      <c r="Q245" s="535" t="s">
        <v>441</v>
      </c>
      <c r="R245" s="535"/>
      <c r="S245" s="535"/>
      <c r="T245" s="200">
        <f>VLOOKUP(Table2[[#This Row],[Course Title]],'TSD-Data'!$A$1:$E$83,4,FALSE)</f>
        <v>1000</v>
      </c>
      <c r="U245" s="200">
        <f>VLOOKUP(Table2[[#This Row],[Course Title]],'TSD-Data'!$A$1:$F$83,6,FALSE)</f>
        <v>1.5</v>
      </c>
      <c r="V245" s="201">
        <f>VLOOKUP(Table2[[#This Row],[Course Title]],'TSD-Data'!$A$1:$F$83,5,FALSE)</f>
        <v>0.1</v>
      </c>
      <c r="W245" s="201"/>
      <c r="X245" s="200">
        <f>Table2[[#This Row],[Quotas]]-Table2[[#This Row],[Open Quotas]]</f>
        <v>135</v>
      </c>
      <c r="Y245" s="200">
        <v>0</v>
      </c>
      <c r="Z245" s="201">
        <v>19</v>
      </c>
      <c r="AA245" s="201">
        <v>0</v>
      </c>
      <c r="AB245" s="200">
        <v>0</v>
      </c>
      <c r="AC245" s="200">
        <v>0</v>
      </c>
      <c r="AD245" s="200">
        <v>0</v>
      </c>
      <c r="AE245" s="200" t="s">
        <v>442</v>
      </c>
      <c r="AF245" s="495">
        <f ca="1">Table2[[#This Row],[End Date]]+2-TODAY()</f>
        <v>-163</v>
      </c>
      <c r="AG245" s="496">
        <f>IF(ISBLANK(Table2[[#This Row],[Roster Received by]]),1,0)</f>
        <v>0</v>
      </c>
      <c r="AH245" s="496">
        <f ca="1">IF(Table2[[#This Row],[Start Date]]&gt;TODAY(),1,)</f>
        <v>0</v>
      </c>
      <c r="AI245" s="496">
        <f>IF(ISBLANK(Table2[[#This Row],[Primary Instructor]]),0,1)</f>
        <v>1</v>
      </c>
      <c r="AJ245" s="496">
        <f>IF(ISBLANK(Table2[[#This Row],[Instructor 2]]),0,1)</f>
        <v>0</v>
      </c>
      <c r="AK245" s="496" t="e">
        <f>#REF!</f>
        <v>#REF!</v>
      </c>
      <c r="AL245" s="318">
        <v>865</v>
      </c>
      <c r="AM245" s="496">
        <v>2</v>
      </c>
      <c r="AN245" s="496" t="str">
        <f>VLOOKUP(Table2[[#This Row],[Course Title]],'TSD-Data'!$A$1:$G$83,7,FALSE)</f>
        <v>N8-RMI</v>
      </c>
      <c r="AO245" s="500">
        <f>Table2[[#This Row],[Quotas]]-Table2[[#This Row],[Graduates]]-Table2[[#This Row],[Fail]]</f>
        <v>981</v>
      </c>
    </row>
    <row r="246" spans="2:41" s="202" customFormat="1" ht="15" customHeight="1" x14ac:dyDescent="0.25">
      <c r="B246" s="530"/>
      <c r="C246" s="530" t="s">
        <v>405</v>
      </c>
      <c r="D246" s="200" t="str">
        <f>VLOOKUP(Table2[[#This Row],[Course Title]],'TSD-Data'!$A$1:$E$83,2,FALSE)</f>
        <v>A-493-3015</v>
      </c>
      <c r="E246" s="200" t="str">
        <f>VLOOKUP(Table2[[#This Row],[Course Title]],'TSD-Data'!$A$1:$E$83,3,FALSE)</f>
        <v>31YJ</v>
      </c>
      <c r="F246" s="530" t="s">
        <v>54</v>
      </c>
      <c r="G246" s="531">
        <v>46079</v>
      </c>
      <c r="H246" s="531">
        <v>46079</v>
      </c>
      <c r="I246" s="531" t="s">
        <v>42</v>
      </c>
      <c r="J246" s="532"/>
      <c r="K246" s="532">
        <v>0.45833333333333331</v>
      </c>
      <c r="L246" s="532">
        <v>0.33333333333333331</v>
      </c>
      <c r="M246" s="532">
        <v>0.79166666666666663</v>
      </c>
      <c r="N246" s="532">
        <v>0.70833333333333337</v>
      </c>
      <c r="O246" s="532">
        <v>0.25</v>
      </c>
      <c r="P246" s="532">
        <v>4.1666666666666664E-2</v>
      </c>
      <c r="Q246" s="535" t="s">
        <v>441</v>
      </c>
      <c r="R246" s="535"/>
      <c r="S246" s="535"/>
      <c r="T246" s="200">
        <f>VLOOKUP(Table2[[#This Row],[Course Title]],'TSD-Data'!$A$1:$E$83,4,FALSE)</f>
        <v>1000</v>
      </c>
      <c r="U246" s="200">
        <f>VLOOKUP(Table2[[#This Row],[Course Title]],'TSD-Data'!$A$1:$F$83,6,FALSE)</f>
        <v>1.5</v>
      </c>
      <c r="V246" s="201">
        <f>VLOOKUP(Table2[[#This Row],[Course Title]],'TSD-Data'!$A$1:$F$83,5,FALSE)</f>
        <v>0.1</v>
      </c>
      <c r="W246" s="201"/>
      <c r="X246" s="200">
        <f>Table2[[#This Row],[Quotas]]-Table2[[#This Row],[Open Quotas]]</f>
        <v>135</v>
      </c>
      <c r="Y246" s="200">
        <v>0</v>
      </c>
      <c r="Z246" s="201">
        <v>30</v>
      </c>
      <c r="AA246" s="201">
        <v>0</v>
      </c>
      <c r="AB246" s="200">
        <v>0</v>
      </c>
      <c r="AC246" s="200">
        <v>0</v>
      </c>
      <c r="AD246" s="200">
        <v>0</v>
      </c>
      <c r="AE246" s="200" t="s">
        <v>442</v>
      </c>
      <c r="AF246" s="495">
        <f ca="1">Table2[[#This Row],[End Date]]+2-TODAY()</f>
        <v>-163</v>
      </c>
      <c r="AG246" s="496">
        <f>IF(ISBLANK(Table2[[#This Row],[Roster Received by]]),1,0)</f>
        <v>0</v>
      </c>
      <c r="AH246" s="496">
        <f ca="1">IF(Table2[[#This Row],[Start Date]]&gt;TODAY(),1,)</f>
        <v>0</v>
      </c>
      <c r="AI246" s="496">
        <f>IF(ISBLANK(Table2[[#This Row],[Primary Instructor]]),0,1)</f>
        <v>1</v>
      </c>
      <c r="AJ246" s="496">
        <f>IF(ISBLANK(Table2[[#This Row],[Instructor 2]]),0,1)</f>
        <v>0</v>
      </c>
      <c r="AK246" s="496">
        <f>AJ487</f>
        <v>1</v>
      </c>
      <c r="AL246" s="318">
        <v>865</v>
      </c>
      <c r="AM246" s="496">
        <v>2</v>
      </c>
      <c r="AN246" s="496" t="str">
        <f>VLOOKUP(Table2[[#This Row],[Course Title]],'TSD-Data'!$A$1:$G$83,7,FALSE)</f>
        <v>N8-RMI</v>
      </c>
      <c r="AO246" s="500">
        <f>Table2[[#This Row],[Quotas]]-Table2[[#This Row],[Graduates]]-Table2[[#This Row],[Fail]]</f>
        <v>970</v>
      </c>
    </row>
    <row r="247" spans="2:41" s="202" customFormat="1" ht="13.9" customHeight="1" x14ac:dyDescent="0.25">
      <c r="B247" s="530"/>
      <c r="C247" s="530" t="s">
        <v>406</v>
      </c>
      <c r="D247" s="200" t="str">
        <f>VLOOKUP(Table2[[#This Row],[Course Title]],'TSD-Data'!$A$1:$E$83,2,FALSE)</f>
        <v>A-493-3016</v>
      </c>
      <c r="E247" s="200" t="str">
        <f>VLOOKUP(Table2[[#This Row],[Course Title]],'TSD-Data'!$A$1:$E$83,3,FALSE)</f>
        <v>31Yk</v>
      </c>
      <c r="F247" s="530" t="s">
        <v>54</v>
      </c>
      <c r="G247" s="531">
        <v>46079</v>
      </c>
      <c r="H247" s="531">
        <v>46079</v>
      </c>
      <c r="I247" s="531" t="s">
        <v>42</v>
      </c>
      <c r="J247" s="532"/>
      <c r="K247" s="532">
        <v>0.64583333333333337</v>
      </c>
      <c r="L247" s="532">
        <v>0.52083333333333337</v>
      </c>
      <c r="M247" s="532">
        <v>0.97916666666666663</v>
      </c>
      <c r="N247" s="532">
        <v>0.89583333333333337</v>
      </c>
      <c r="O247" s="532">
        <v>0.4375</v>
      </c>
      <c r="P247" s="532">
        <v>0.22916666666666666</v>
      </c>
      <c r="Q247" s="535" t="s">
        <v>441</v>
      </c>
      <c r="R247" s="535"/>
      <c r="S247" s="535"/>
      <c r="T247" s="200">
        <f>VLOOKUP(Table2[[#This Row],[Course Title]],'TSD-Data'!$A$1:$E$83,4,FALSE)</f>
        <v>1000</v>
      </c>
      <c r="U247" s="200">
        <f>VLOOKUP(Table2[[#This Row],[Course Title]],'TSD-Data'!$A$1:$F$83,6,FALSE)</f>
        <v>1.5</v>
      </c>
      <c r="V247" s="201">
        <f>VLOOKUP(Table2[[#This Row],[Course Title]],'TSD-Data'!$A$1:$F$83,5,FALSE)</f>
        <v>0.1</v>
      </c>
      <c r="W247" s="201"/>
      <c r="X247" s="200">
        <f>Table2[[#This Row],[Quotas]]-Table2[[#This Row],[Open Quotas]]</f>
        <v>135</v>
      </c>
      <c r="Y247" s="200">
        <v>0</v>
      </c>
      <c r="Z247" s="201">
        <v>18</v>
      </c>
      <c r="AA247" s="201">
        <v>0</v>
      </c>
      <c r="AB247" s="200">
        <v>0</v>
      </c>
      <c r="AC247" s="200">
        <v>0</v>
      </c>
      <c r="AD247" s="200">
        <v>0</v>
      </c>
      <c r="AE247" s="200" t="s">
        <v>442</v>
      </c>
      <c r="AF247" s="495">
        <f ca="1">Table2[[#This Row],[End Date]]+2-TODAY()</f>
        <v>-163</v>
      </c>
      <c r="AG247" s="496">
        <f>IF(ISBLANK(Table2[[#This Row],[Roster Received by]]),1,0)</f>
        <v>0</v>
      </c>
      <c r="AH247" s="496">
        <f ca="1">IF(Table2[[#This Row],[Start Date]]&gt;TODAY(),1,)</f>
        <v>0</v>
      </c>
      <c r="AI247" s="496">
        <f>IF(ISBLANK(Table2[[#This Row],[Primary Instructor]]),0,1)</f>
        <v>1</v>
      </c>
      <c r="AJ247" s="496">
        <f>IF(ISBLANK(Table2[[#This Row],[Instructor 2]]),0,1)</f>
        <v>0</v>
      </c>
      <c r="AK247" s="496">
        <f>AJ488</f>
        <v>1</v>
      </c>
      <c r="AL247" s="318">
        <v>865</v>
      </c>
      <c r="AM247" s="496">
        <v>2</v>
      </c>
      <c r="AN247" s="496" t="str">
        <f>VLOOKUP(Table2[[#This Row],[Course Title]],'TSD-Data'!$A$1:$G$83,7,FALSE)</f>
        <v>N8-RMI</v>
      </c>
      <c r="AO247" s="500">
        <f>Table2[[#This Row],[Quotas]]-Table2[[#This Row],[Graduates]]-Table2[[#This Row],[Fail]]</f>
        <v>982</v>
      </c>
    </row>
    <row r="248" spans="2:41" s="202" customFormat="1" ht="16.899999999999999" customHeight="1" x14ac:dyDescent="0.25">
      <c r="B248" s="530"/>
      <c r="C248" s="530" t="s">
        <v>84</v>
      </c>
      <c r="D248" s="200" t="str">
        <f>VLOOKUP(Table2[[#This Row],[Course Title]],'TSD-Data'!$A$1:$E$83,2,FALSE)</f>
        <v>A-493-0083</v>
      </c>
      <c r="E248" s="200" t="str">
        <f>VLOOKUP(Table2[[#This Row],[Course Title]],'TSD-Data'!$A$1:$E$83,3,FALSE)</f>
        <v>339E</v>
      </c>
      <c r="F248" s="530" t="s">
        <v>131</v>
      </c>
      <c r="G248" s="531">
        <v>46080</v>
      </c>
      <c r="H248" s="531">
        <v>46080</v>
      </c>
      <c r="I248" s="531" t="s">
        <v>42</v>
      </c>
      <c r="J248" s="532">
        <v>0.33333333333333331</v>
      </c>
      <c r="K248" s="532"/>
      <c r="L248" s="531"/>
      <c r="M248" s="531"/>
      <c r="N248" s="531"/>
      <c r="O248" s="531"/>
      <c r="P248" s="531"/>
      <c r="Q248" s="535" t="s">
        <v>48</v>
      </c>
      <c r="R248" s="535"/>
      <c r="S248" s="535"/>
      <c r="T248" s="200">
        <f>VLOOKUP(Table2[[#This Row],[Course Title]],'TSD-Data'!$A$1:$E$83,4,FALSE)</f>
        <v>30</v>
      </c>
      <c r="U248" s="200">
        <f>VLOOKUP(Table2[[#This Row],[Course Title]],'TSD-Data'!$A$1:$F$83,6,FALSE)</f>
        <v>8</v>
      </c>
      <c r="V248" s="201">
        <f>VLOOKUP(Table2[[#This Row],[Course Title]],'TSD-Data'!$A$1:$F$83,5,FALSE)</f>
        <v>1</v>
      </c>
      <c r="W248" s="201">
        <v>35</v>
      </c>
      <c r="X248" s="200">
        <f>Table2[[#This Row],[Quotas]]-Table2[[#This Row],[Open Quotas]]</f>
        <v>30</v>
      </c>
      <c r="Y248" s="200">
        <v>0</v>
      </c>
      <c r="Z248" s="201">
        <v>28</v>
      </c>
      <c r="AA248" s="201">
        <v>0</v>
      </c>
      <c r="AB248" s="200">
        <v>4</v>
      </c>
      <c r="AC248" s="200">
        <v>2</v>
      </c>
      <c r="AD248" s="200">
        <v>0</v>
      </c>
      <c r="AE248" s="200" t="s">
        <v>428</v>
      </c>
      <c r="AF248" s="495">
        <f ca="1">Table2[[#This Row],[End Date]]+2-TODAY()</f>
        <v>-162</v>
      </c>
      <c r="AG248" s="496">
        <f>IF(ISBLANK(Table2[[#This Row],[Roster Received by]]),1,0)</f>
        <v>0</v>
      </c>
      <c r="AH248" s="496">
        <f ca="1">IF(Table2[[#This Row],[Start Date]]&gt;TODAY(),1,)</f>
        <v>0</v>
      </c>
      <c r="AI248" s="496">
        <f>IF(ISBLANK(Table2[[#This Row],[Primary Instructor]]),0,1)</f>
        <v>1</v>
      </c>
      <c r="AJ248" s="496">
        <f>IF(ISBLANK(Table2[[#This Row],[Instructor 2]]),0,1)</f>
        <v>0</v>
      </c>
      <c r="AK248" s="496">
        <f>Table2[[#This Row],[Course Length (Hours)]]/(Table2[[#This Row],[1 Instructor]]+Table2[[#This Row],[2 Instructors]])</f>
        <v>8</v>
      </c>
      <c r="AL248" s="318">
        <v>0</v>
      </c>
      <c r="AM248" s="497">
        <v>2</v>
      </c>
      <c r="AN248" s="496" t="str">
        <f>VLOOKUP(Table2[[#This Row],[Course Title]],'TSD-Data'!$A$1:$G$83,7,FALSE)</f>
        <v>N4</v>
      </c>
      <c r="AO248" s="500">
        <f>Table2[[#This Row],[Quotas]]-Table2[[#This Row],[Graduates]]-Table2[[#This Row],[Fail]]</f>
        <v>2</v>
      </c>
    </row>
    <row r="249" spans="2:41" s="202" customFormat="1" ht="15" customHeight="1" x14ac:dyDescent="0.25">
      <c r="B249" s="530"/>
      <c r="C249" s="530" t="s">
        <v>397</v>
      </c>
      <c r="D249" s="200" t="str">
        <f>VLOOKUP(Table2[[#This Row],[Course Title]],'TSD-Data'!$A$1:$E$83,2,FALSE)</f>
        <v>A-493-3005</v>
      </c>
      <c r="E249" s="200" t="str">
        <f>VLOOKUP(Table2[[#This Row],[Course Title]],'TSD-Data'!$A$1:$E$83,3,FALSE)</f>
        <v>31V7</v>
      </c>
      <c r="F249" s="530" t="s">
        <v>54</v>
      </c>
      <c r="G249" s="531">
        <v>46080</v>
      </c>
      <c r="H249" s="531">
        <v>46080</v>
      </c>
      <c r="I249" s="531" t="s">
        <v>42</v>
      </c>
      <c r="J249" s="532"/>
      <c r="K249" s="532">
        <v>0.61458333333333337</v>
      </c>
      <c r="L249" s="532">
        <v>0.48958333333333331</v>
      </c>
      <c r="M249" s="532">
        <v>0.94791666666666663</v>
      </c>
      <c r="N249" s="532">
        <v>0.86458333333333337</v>
      </c>
      <c r="O249" s="532">
        <v>0.40625</v>
      </c>
      <c r="P249" s="532">
        <v>0.19791666666666666</v>
      </c>
      <c r="Q249" s="535" t="s">
        <v>441</v>
      </c>
      <c r="R249" s="535"/>
      <c r="S249" s="535"/>
      <c r="T249" s="200">
        <f>VLOOKUP(Table2[[#This Row],[Course Title]],'TSD-Data'!$A$1:$E$83,4,FALSE)</f>
        <v>1000</v>
      </c>
      <c r="U249" s="200">
        <f>VLOOKUP(Table2[[#This Row],[Course Title]],'TSD-Data'!$A$1:$F$83,6,FALSE)</f>
        <v>2</v>
      </c>
      <c r="V249" s="201">
        <f>VLOOKUP(Table2[[#This Row],[Course Title]],'TSD-Data'!$A$1:$F$83,5,FALSE)</f>
        <v>0.25</v>
      </c>
      <c r="W249" s="201"/>
      <c r="X249" s="200">
        <f>Table2[[#This Row],[Quotas]]-Table2[[#This Row],[Open Quotas]]</f>
        <v>135</v>
      </c>
      <c r="Y249" s="200">
        <v>0</v>
      </c>
      <c r="Z249" s="201">
        <v>22</v>
      </c>
      <c r="AA249" s="201">
        <v>0</v>
      </c>
      <c r="AB249" s="200">
        <v>0</v>
      </c>
      <c r="AC249" s="200">
        <v>0</v>
      </c>
      <c r="AD249" s="200">
        <v>0</v>
      </c>
      <c r="AE249" s="200" t="s">
        <v>442</v>
      </c>
      <c r="AF249" s="495">
        <f ca="1">Table2[[#This Row],[End Date]]+2-TODAY()</f>
        <v>-162</v>
      </c>
      <c r="AG249" s="496">
        <f>IF(ISBLANK(Table2[[#This Row],[Roster Received by]]),1,0)</f>
        <v>0</v>
      </c>
      <c r="AH249" s="496">
        <f ca="1">IF(Table2[[#This Row],[Start Date]]&gt;TODAY(),1,)</f>
        <v>0</v>
      </c>
      <c r="AI249" s="496">
        <f>IF(ISBLANK(Table2[[#This Row],[Primary Instructor]]),0,1)</f>
        <v>1</v>
      </c>
      <c r="AJ249" s="496">
        <f>IF(ISBLANK(Table2[[#This Row],[Instructor 2]]),0,1)</f>
        <v>0</v>
      </c>
      <c r="AK249" s="496">
        <f>AJ490</f>
        <v>1</v>
      </c>
      <c r="AL249" s="318">
        <v>865</v>
      </c>
      <c r="AM249" s="496">
        <v>2</v>
      </c>
      <c r="AN249" s="496" t="str">
        <f>VLOOKUP(Table2[[#This Row],[Course Title]],'TSD-Data'!$A$1:$G$83,7,FALSE)</f>
        <v>N8-RMI</v>
      </c>
      <c r="AO249" s="500">
        <f>Table2[[#This Row],[Quotas]]-Table2[[#This Row],[Graduates]]-Table2[[#This Row],[Fail]]</f>
        <v>978</v>
      </c>
    </row>
    <row r="250" spans="2:41" s="202" customFormat="1" ht="15" customHeight="1" x14ac:dyDescent="0.25">
      <c r="B250" s="530"/>
      <c r="C250" s="530" t="s">
        <v>402</v>
      </c>
      <c r="D250" s="200" t="str">
        <f>VLOOKUP(Table2[[#This Row],[Course Title]],'TSD-Data'!$A$1:$E$83,2,FALSE)</f>
        <v>A-493-3017</v>
      </c>
      <c r="E250" s="200" t="str">
        <f>VLOOKUP(Table2[[#This Row],[Course Title]],'TSD-Data'!$A$1:$E$83,3,FALSE)</f>
        <v>31YL</v>
      </c>
      <c r="F250" s="530" t="s">
        <v>54</v>
      </c>
      <c r="G250" s="531">
        <v>46080</v>
      </c>
      <c r="H250" s="531">
        <v>46080</v>
      </c>
      <c r="I250" s="531" t="s">
        <v>42</v>
      </c>
      <c r="J250" s="532"/>
      <c r="K250" s="532">
        <v>0.69791666666666663</v>
      </c>
      <c r="L250" s="532">
        <v>0.57291666666666663</v>
      </c>
      <c r="M250" s="532">
        <v>3.125E-2</v>
      </c>
      <c r="N250" s="532">
        <v>0.94791666666666663</v>
      </c>
      <c r="O250" s="532">
        <v>0.48958333333333331</v>
      </c>
      <c r="P250" s="532">
        <v>0.28125</v>
      </c>
      <c r="Q250" s="535" t="s">
        <v>441</v>
      </c>
      <c r="R250" s="535"/>
      <c r="S250" s="535"/>
      <c r="T250" s="200">
        <f>VLOOKUP(Table2[[#This Row],[Course Title]],'TSD-Data'!$A$1:$E$83,4,FALSE)</f>
        <v>1000</v>
      </c>
      <c r="U250" s="200">
        <f>VLOOKUP(Table2[[#This Row],[Course Title]],'TSD-Data'!$A$1:$F$83,6,FALSE)</f>
        <v>1.5</v>
      </c>
      <c r="V250" s="201">
        <f>VLOOKUP(Table2[[#This Row],[Course Title]],'TSD-Data'!$A$1:$F$83,5,FALSE)</f>
        <v>0.1</v>
      </c>
      <c r="W250" s="201"/>
      <c r="X250" s="200">
        <f>Table2[[#This Row],[Quotas]]-Table2[[#This Row],[Open Quotas]]</f>
        <v>135</v>
      </c>
      <c r="Y250" s="200">
        <v>0</v>
      </c>
      <c r="Z250" s="201">
        <v>15</v>
      </c>
      <c r="AA250" s="201">
        <v>0</v>
      </c>
      <c r="AB250" s="200">
        <v>0</v>
      </c>
      <c r="AC250" s="200">
        <v>0</v>
      </c>
      <c r="AD250" s="200">
        <v>0</v>
      </c>
      <c r="AE250" s="200" t="s">
        <v>442</v>
      </c>
      <c r="AF250" s="495">
        <f ca="1">Table2[[#This Row],[End Date]]+2-TODAY()</f>
        <v>-162</v>
      </c>
      <c r="AG250" s="496">
        <f>IF(ISBLANK(Table2[[#This Row],[Roster Received by]]),1,0)</f>
        <v>0</v>
      </c>
      <c r="AH250" s="496">
        <f ca="1">IF(Table2[[#This Row],[Start Date]]&gt;TODAY(),1,)</f>
        <v>0</v>
      </c>
      <c r="AI250" s="496">
        <f>IF(ISBLANK(Table2[[#This Row],[Primary Instructor]]),0,1)</f>
        <v>1</v>
      </c>
      <c r="AJ250" s="496">
        <f>IF(ISBLANK(Table2[[#This Row],[Instructor 2]]),0,1)</f>
        <v>0</v>
      </c>
      <c r="AK250" s="496">
        <f>AJ491</f>
        <v>1</v>
      </c>
      <c r="AL250" s="318">
        <v>865</v>
      </c>
      <c r="AM250" s="496">
        <v>2</v>
      </c>
      <c r="AN250" s="496" t="str">
        <f>VLOOKUP(Table2[[#This Row],[Course Title]],'TSD-Data'!$A$1:$G$83,7,FALSE)</f>
        <v>N8-RMI</v>
      </c>
      <c r="AO250" s="500">
        <f>Table2[[#This Row],[Quotas]]-Table2[[#This Row],[Graduates]]-Table2[[#This Row],[Fail]]</f>
        <v>985</v>
      </c>
    </row>
    <row r="251" spans="2:41" s="202" customFormat="1" ht="15" customHeight="1" x14ac:dyDescent="0.25">
      <c r="B251" s="530"/>
      <c r="C251" s="530" t="s">
        <v>408</v>
      </c>
      <c r="D251" s="200" t="str">
        <f>VLOOKUP(Table2[[#This Row],[Course Title]],'TSD-Data'!$A$1:$E$83,2,FALSE)</f>
        <v>A-493-3008</v>
      </c>
      <c r="E251" s="200" t="str">
        <f>VLOOKUP(Table2[[#This Row],[Course Title]],'TSD-Data'!$A$1:$E$83,3,FALSE)</f>
        <v>31VA</v>
      </c>
      <c r="F251" s="530" t="s">
        <v>54</v>
      </c>
      <c r="G251" s="531">
        <v>46080</v>
      </c>
      <c r="H251" s="531">
        <v>46080</v>
      </c>
      <c r="I251" s="531" t="s">
        <v>42</v>
      </c>
      <c r="J251" s="532"/>
      <c r="K251" s="532">
        <v>0.52083333333333337</v>
      </c>
      <c r="L251" s="532">
        <v>0.39583333333333331</v>
      </c>
      <c r="M251" s="532">
        <v>0.85416666666666663</v>
      </c>
      <c r="N251" s="532">
        <v>0.77083333333333337</v>
      </c>
      <c r="O251" s="532">
        <v>0.3125</v>
      </c>
      <c r="P251" s="532">
        <v>0.10416666666666667</v>
      </c>
      <c r="Q251" s="535" t="s">
        <v>441</v>
      </c>
      <c r="R251" s="535"/>
      <c r="S251" s="535"/>
      <c r="T251" s="200">
        <f>VLOOKUP(Table2[[#This Row],[Course Title]],'TSD-Data'!$A$1:$E$83,4,FALSE)</f>
        <v>1000</v>
      </c>
      <c r="U251" s="200">
        <f>VLOOKUP(Table2[[#This Row],[Course Title]],'TSD-Data'!$A$1:$F$83,6,FALSE)</f>
        <v>1.5</v>
      </c>
      <c r="V251" s="201">
        <f>VLOOKUP(Table2[[#This Row],[Course Title]],'TSD-Data'!$A$1:$F$83,5,FALSE)</f>
        <v>0.1</v>
      </c>
      <c r="W251" s="201"/>
      <c r="X251" s="200">
        <f>Table2[[#This Row],[Quotas]]-Table2[[#This Row],[Open Quotas]]</f>
        <v>135</v>
      </c>
      <c r="Y251" s="200">
        <v>0</v>
      </c>
      <c r="Z251" s="201">
        <v>29</v>
      </c>
      <c r="AA251" s="201">
        <v>0</v>
      </c>
      <c r="AB251" s="200">
        <v>0</v>
      </c>
      <c r="AC251" s="200">
        <v>0</v>
      </c>
      <c r="AD251" s="200">
        <v>0</v>
      </c>
      <c r="AE251" s="200" t="s">
        <v>442</v>
      </c>
      <c r="AF251" s="495">
        <f ca="1">Table2[[#This Row],[End Date]]+2-TODAY()</f>
        <v>-162</v>
      </c>
      <c r="AG251" s="496">
        <f>IF(ISBLANK(Table2[[#This Row],[Roster Received by]]),1,0)</f>
        <v>0</v>
      </c>
      <c r="AH251" s="496">
        <f ca="1">IF(Table2[[#This Row],[Start Date]]&gt;TODAY(),1,)</f>
        <v>0</v>
      </c>
      <c r="AI251" s="496">
        <f>IF(ISBLANK(Table2[[#This Row],[Primary Instructor]]),0,1)</f>
        <v>1</v>
      </c>
      <c r="AJ251" s="496">
        <f>IF(ISBLANK(Table2[[#This Row],[Instructor 2]]),0,1)</f>
        <v>0</v>
      </c>
      <c r="AK251" s="496" t="e">
        <f>#REF!</f>
        <v>#REF!</v>
      </c>
      <c r="AL251" s="318">
        <v>865</v>
      </c>
      <c r="AM251" s="496">
        <v>2</v>
      </c>
      <c r="AN251" s="496" t="str">
        <f>VLOOKUP(Table2[[#This Row],[Course Title]],'TSD-Data'!$A$1:$G$83,7,FALSE)</f>
        <v>N8-RMI</v>
      </c>
      <c r="AO251" s="500">
        <f>Table2[[#This Row],[Quotas]]-Table2[[#This Row],[Graduates]]-Table2[[#This Row],[Fail]]</f>
        <v>971</v>
      </c>
    </row>
    <row r="252" spans="2:41" s="202" customFormat="1" ht="15" customHeight="1" x14ac:dyDescent="0.25">
      <c r="B252" s="530"/>
      <c r="C252" s="530" t="s">
        <v>411</v>
      </c>
      <c r="D252" s="200" t="str">
        <f>VLOOKUP(Table2[[#This Row],[Course Title]],'TSD-Data'!$A$1:$E$83,2,FALSE)</f>
        <v>A-493-3012</v>
      </c>
      <c r="E252" s="200" t="str">
        <f>VLOOKUP(Table2[[#This Row],[Course Title]],'TSD-Data'!$A$1:$E$83,3,FALSE)</f>
        <v>31YF</v>
      </c>
      <c r="F252" s="530" t="s">
        <v>54</v>
      </c>
      <c r="G252" s="531">
        <v>46080</v>
      </c>
      <c r="H252" s="531">
        <v>46080</v>
      </c>
      <c r="I252" s="531" t="s">
        <v>42</v>
      </c>
      <c r="J252" s="532"/>
      <c r="K252" s="532">
        <v>0.45833333333333331</v>
      </c>
      <c r="L252" s="532">
        <v>0.33333333333333331</v>
      </c>
      <c r="M252" s="532">
        <v>0.79166666666666663</v>
      </c>
      <c r="N252" s="532">
        <v>0.70833333333333337</v>
      </c>
      <c r="O252" s="532">
        <v>0.25</v>
      </c>
      <c r="P252" s="532">
        <v>4.1666666666666664E-2</v>
      </c>
      <c r="Q252" s="535" t="s">
        <v>441</v>
      </c>
      <c r="R252" s="535"/>
      <c r="S252" s="535"/>
      <c r="T252" s="200">
        <f>VLOOKUP(Table2[[#This Row],[Course Title]],'TSD-Data'!$A$1:$E$83,4,FALSE)</f>
        <v>1000</v>
      </c>
      <c r="U252" s="200">
        <f>VLOOKUP(Table2[[#This Row],[Course Title]],'TSD-Data'!$A$1:$F$83,6,FALSE)</f>
        <v>1</v>
      </c>
      <c r="V252" s="201">
        <f>VLOOKUP(Table2[[#This Row],[Course Title]],'TSD-Data'!$A$1:$F$83,5,FALSE)</f>
        <v>0.1</v>
      </c>
      <c r="W252" s="201"/>
      <c r="X252" s="200">
        <f>Table2[[#This Row],[Quotas]]-Table2[[#This Row],[Open Quotas]]</f>
        <v>135</v>
      </c>
      <c r="Y252" s="200">
        <v>0</v>
      </c>
      <c r="Z252" s="201">
        <v>22</v>
      </c>
      <c r="AA252" s="201">
        <v>0</v>
      </c>
      <c r="AB252" s="200">
        <v>0</v>
      </c>
      <c r="AC252" s="200">
        <v>0</v>
      </c>
      <c r="AD252" s="200">
        <v>0</v>
      </c>
      <c r="AE252" s="200" t="s">
        <v>442</v>
      </c>
      <c r="AF252" s="495">
        <f ca="1">Table2[[#This Row],[End Date]]+2-TODAY()</f>
        <v>-162</v>
      </c>
      <c r="AG252" s="496">
        <f>IF(ISBLANK(Table2[[#This Row],[Roster Received by]]),1,0)</f>
        <v>0</v>
      </c>
      <c r="AH252" s="496">
        <f ca="1">IF(Table2[[#This Row],[Start Date]]&gt;TODAY(),1,)</f>
        <v>0</v>
      </c>
      <c r="AI252" s="496">
        <f>IF(ISBLANK(Table2[[#This Row],[Primary Instructor]]),0,1)</f>
        <v>1</v>
      </c>
      <c r="AJ252" s="496">
        <f>IF(ISBLANK(Table2[[#This Row],[Instructor 2]]),0,1)</f>
        <v>0</v>
      </c>
      <c r="AK252" s="496" t="e">
        <f>#REF!</f>
        <v>#REF!</v>
      </c>
      <c r="AL252" s="318">
        <v>865</v>
      </c>
      <c r="AM252" s="496">
        <v>2</v>
      </c>
      <c r="AN252" s="496" t="str">
        <f>VLOOKUP(Table2[[#This Row],[Course Title]],'TSD-Data'!$A$1:$G$83,7,FALSE)</f>
        <v>N8-RMI</v>
      </c>
      <c r="AO252" s="500">
        <f>Table2[[#This Row],[Quotas]]-Table2[[#This Row],[Graduates]]-Table2[[#This Row],[Fail]]</f>
        <v>978</v>
      </c>
    </row>
    <row r="253" spans="2:41" ht="15" customHeight="1" x14ac:dyDescent="0.25">
      <c r="B253" s="530"/>
      <c r="C253" s="530" t="s">
        <v>412</v>
      </c>
      <c r="D253" s="200" t="str">
        <f>VLOOKUP(Table2[[#This Row],[Course Title]],'TSD-Data'!$A$1:$E$83,2,FALSE)</f>
        <v>A-493-3009</v>
      </c>
      <c r="E253" s="200" t="str">
        <f>VLOOKUP(Table2[[#This Row],[Course Title]],'TSD-Data'!$A$1:$E$83,3,FALSE)</f>
        <v>31VB</v>
      </c>
      <c r="F253" s="530" t="s">
        <v>54</v>
      </c>
      <c r="G253" s="531">
        <v>46080</v>
      </c>
      <c r="H253" s="531">
        <v>46080</v>
      </c>
      <c r="I253" s="531" t="s">
        <v>42</v>
      </c>
      <c r="J253" s="532"/>
      <c r="K253" s="532">
        <v>0.57291666666666663</v>
      </c>
      <c r="L253" s="532">
        <v>0.44791666666666669</v>
      </c>
      <c r="M253" s="532">
        <v>0.90625</v>
      </c>
      <c r="N253" s="532">
        <v>0.82291666666666663</v>
      </c>
      <c r="O253" s="532">
        <v>0.36458333333333331</v>
      </c>
      <c r="P253" s="532">
        <v>0.15625</v>
      </c>
      <c r="Q253" s="535" t="s">
        <v>441</v>
      </c>
      <c r="R253" s="535"/>
      <c r="S253" s="535"/>
      <c r="T253" s="200">
        <f>VLOOKUP(Table2[[#This Row],[Course Title]],'TSD-Data'!$A$1:$E$83,4,FALSE)</f>
        <v>1000</v>
      </c>
      <c r="U253" s="200">
        <f>VLOOKUP(Table2[[#This Row],[Course Title]],'TSD-Data'!$A$1:$F$83,6,FALSE)</f>
        <v>1.5</v>
      </c>
      <c r="V253" s="201">
        <f>VLOOKUP(Table2[[#This Row],[Course Title]],'TSD-Data'!$A$1:$F$83,5,FALSE)</f>
        <v>0.1</v>
      </c>
      <c r="W253" s="201"/>
      <c r="X253" s="200">
        <f>Table2[[#This Row],[Quotas]]-Table2[[#This Row],[Open Quotas]]</f>
        <v>135</v>
      </c>
      <c r="Y253" s="200">
        <v>0</v>
      </c>
      <c r="Z253" s="201">
        <v>22</v>
      </c>
      <c r="AA253" s="201">
        <v>0</v>
      </c>
      <c r="AB253" s="200">
        <v>0</v>
      </c>
      <c r="AC253" s="200">
        <v>0</v>
      </c>
      <c r="AD253" s="200">
        <v>0</v>
      </c>
      <c r="AE253" s="200" t="s">
        <v>442</v>
      </c>
      <c r="AF253" s="495">
        <f ca="1">Table2[[#This Row],[End Date]]+2-TODAY()</f>
        <v>-162</v>
      </c>
      <c r="AG253" s="496">
        <f>IF(ISBLANK(Table2[[#This Row],[Roster Received by]]),1,0)</f>
        <v>0</v>
      </c>
      <c r="AH253" s="496">
        <f ca="1">IF(Table2[[#This Row],[Start Date]]&gt;TODAY(),1,)</f>
        <v>0</v>
      </c>
      <c r="AI253" s="496">
        <f>IF(ISBLANK(Table2[[#This Row],[Primary Instructor]]),0,1)</f>
        <v>1</v>
      </c>
      <c r="AJ253" s="496">
        <f>IF(ISBLANK(Table2[[#This Row],[Instructor 2]]),0,1)</f>
        <v>0</v>
      </c>
      <c r="AK253" s="496">
        <f>AJ492</f>
        <v>0</v>
      </c>
      <c r="AL253" s="318">
        <v>865</v>
      </c>
      <c r="AM253" s="496">
        <v>2</v>
      </c>
      <c r="AN253" s="496" t="str">
        <f>VLOOKUP(Table2[[#This Row],[Course Title]],'TSD-Data'!$A$1:$G$83,7,FALSE)</f>
        <v>N8-RMI</v>
      </c>
      <c r="AO253" s="500">
        <f>Table2[[#This Row],[Quotas]]-Table2[[#This Row],[Graduates]]-Table2[[#This Row],[Fail]]</f>
        <v>978</v>
      </c>
    </row>
    <row r="254" spans="2:41" ht="15" customHeight="1" x14ac:dyDescent="0.25">
      <c r="B254" s="530"/>
      <c r="C254" s="542" t="s">
        <v>154</v>
      </c>
      <c r="D254" s="200" t="str">
        <f>VLOOKUP(Table2[[#This Row],[Course Title]],'TSD-Data'!$A$1:$E$83,2,FALSE)</f>
        <v>A-493-0069</v>
      </c>
      <c r="E254" s="200" t="str">
        <f>VLOOKUP(Table2[[#This Row],[Course Title]],'TSD-Data'!$A$1:$E$83,3,FALSE)</f>
        <v>450U</v>
      </c>
      <c r="F254" s="530" t="s">
        <v>81</v>
      </c>
      <c r="G254" s="531">
        <v>46083</v>
      </c>
      <c r="H254" s="531">
        <v>46087</v>
      </c>
      <c r="I254" s="531" t="s">
        <v>42</v>
      </c>
      <c r="J254" s="532">
        <v>0.33333333333333331</v>
      </c>
      <c r="K254" s="532"/>
      <c r="L254" s="531"/>
      <c r="M254" s="531"/>
      <c r="N254" s="531"/>
      <c r="O254" s="531"/>
      <c r="P254" s="531"/>
      <c r="Q254" s="535" t="s">
        <v>67</v>
      </c>
      <c r="R254" s="535" t="s">
        <v>82</v>
      </c>
      <c r="S254" s="535"/>
      <c r="T254" s="200">
        <f>VLOOKUP(Table2[[#This Row],[Course Title]],'TSD-Data'!$A$1:$E$83,4,FALSE)</f>
        <v>25</v>
      </c>
      <c r="U254" s="200">
        <f>VLOOKUP(Table2[[#This Row],[Course Title]],'TSD-Data'!$A$1:$F$83,6,FALSE)</f>
        <v>40</v>
      </c>
      <c r="V254" s="201">
        <f>VLOOKUP(Table2[[#This Row],[Course Title]],'TSD-Data'!$A$1:$F$83,5,FALSE)</f>
        <v>5</v>
      </c>
      <c r="W254" s="201">
        <v>27</v>
      </c>
      <c r="X254" s="200">
        <f>Table2[[#This Row],[Quotas]]-Table2[[#This Row],[Open Quotas]]</f>
        <v>4</v>
      </c>
      <c r="Y254" s="200">
        <v>0</v>
      </c>
      <c r="Z254" s="201">
        <v>4</v>
      </c>
      <c r="AA254" s="201">
        <v>0</v>
      </c>
      <c r="AB254" s="200">
        <v>1</v>
      </c>
      <c r="AC254" s="200">
        <v>0</v>
      </c>
      <c r="AD254" s="200">
        <v>0</v>
      </c>
      <c r="AE254" s="200" t="s">
        <v>429</v>
      </c>
      <c r="AF254" s="495">
        <f ca="1">Table2[[#This Row],[End Date]]+2-TODAY()</f>
        <v>-155</v>
      </c>
      <c r="AG254" s="496">
        <f>IF(ISBLANK(Table2[[#This Row],[Roster Received by]]),1,0)</f>
        <v>0</v>
      </c>
      <c r="AH254" s="496">
        <f ca="1">IF(Table2[[#This Row],[Start Date]]&gt;TODAY(),1,)</f>
        <v>0</v>
      </c>
      <c r="AI254" s="496">
        <f>IF(ISBLANK(Table2[[#This Row],[Primary Instructor]]),0,1)</f>
        <v>1</v>
      </c>
      <c r="AJ254" s="496">
        <f>IF(ISBLANK(Table2[[#This Row],[Instructor 2]]),0,1)</f>
        <v>1</v>
      </c>
      <c r="AK254" s="496">
        <f>Table2[[#This Row],[Course Length (Hours)]]/(Table2[[#This Row],[1 Instructor]]+Table2[[#This Row],[2 Instructors]])</f>
        <v>20</v>
      </c>
      <c r="AL254" s="318">
        <v>21</v>
      </c>
      <c r="AM254" s="497">
        <v>2</v>
      </c>
      <c r="AN254" s="496" t="str">
        <f>VLOOKUP(Table2[[#This Row],[Course Title]],'TSD-Data'!$A$1:$G$83,7,FALSE)</f>
        <v>N3</v>
      </c>
      <c r="AO254" s="500">
        <f>Table2[[#This Row],[Quotas]]-Table2[[#This Row],[Graduates]]-Table2[[#This Row],[Fail]]</f>
        <v>21</v>
      </c>
    </row>
    <row r="255" spans="2:41" s="202" customFormat="1" ht="15" customHeight="1" x14ac:dyDescent="0.25">
      <c r="B255" s="530"/>
      <c r="C255" s="530" t="s">
        <v>213</v>
      </c>
      <c r="D255" s="200" t="str">
        <f>VLOOKUP(Table2[[#This Row],[Course Title]],'TSD-Data'!$A$1:$E$83,2,FALSE)</f>
        <v>A-322-2604</v>
      </c>
      <c r="E255" s="200" t="str">
        <f>VLOOKUP(Table2[[#This Row],[Course Title]],'TSD-Data'!$A$1:$E$83,3,FALSE)</f>
        <v>10ZZ</v>
      </c>
      <c r="F255" s="530" t="s">
        <v>54</v>
      </c>
      <c r="G255" s="531">
        <v>46083</v>
      </c>
      <c r="H255" s="531">
        <v>46085</v>
      </c>
      <c r="I255" s="531" t="s">
        <v>42</v>
      </c>
      <c r="J255" s="532"/>
      <c r="K255" s="558">
        <v>0.5</v>
      </c>
      <c r="L255" s="536">
        <v>0.375</v>
      </c>
      <c r="M255" s="536">
        <v>0.79166666666666663</v>
      </c>
      <c r="N255" s="536">
        <v>0.75</v>
      </c>
      <c r="O255" s="536">
        <v>0.25</v>
      </c>
      <c r="P255" s="536">
        <v>4.1666666666666664E-2</v>
      </c>
      <c r="Q255" s="535" t="s">
        <v>79</v>
      </c>
      <c r="R255" s="535"/>
      <c r="S255" s="535"/>
      <c r="T255" s="200">
        <f>VLOOKUP(Table2[[#This Row],[Course Title]],'TSD-Data'!$A$1:$E$83,4,FALSE)</f>
        <v>45</v>
      </c>
      <c r="U255" s="200">
        <f>VLOOKUP(Table2[[#This Row],[Course Title]],'TSD-Data'!$A$1:$F$83,6,FALSE)</f>
        <v>24</v>
      </c>
      <c r="V255" s="201">
        <f>VLOOKUP(Table2[[#This Row],[Course Title]],'TSD-Data'!$A$1:$F$83,5,FALSE)</f>
        <v>3</v>
      </c>
      <c r="W255" s="201">
        <v>663</v>
      </c>
      <c r="X255" s="200">
        <f>Table2[[#This Row],[Quotas]]-Table2[[#This Row],[Open Quotas]]</f>
        <v>45</v>
      </c>
      <c r="Y255" s="200">
        <v>5</v>
      </c>
      <c r="Z255" s="201">
        <v>42</v>
      </c>
      <c r="AA255" s="201">
        <v>1</v>
      </c>
      <c r="AB255" s="200">
        <v>5</v>
      </c>
      <c r="AC255" s="200">
        <v>0</v>
      </c>
      <c r="AD255" s="200">
        <v>0</v>
      </c>
      <c r="AE255" s="200" t="s">
        <v>431</v>
      </c>
      <c r="AF255" s="495">
        <f ca="1">Table2[[#This Row],[End Date]]+2-TODAY()</f>
        <v>-157</v>
      </c>
      <c r="AG255" s="496">
        <f>IF(ISBLANK(Table2[[#This Row],[Roster Received by]]),1,0)</f>
        <v>0</v>
      </c>
      <c r="AH255" s="496">
        <f ca="1">IF(Table2[[#This Row],[Start Date]]&gt;TODAY(),1,)</f>
        <v>0</v>
      </c>
      <c r="AI255" s="496">
        <f>IF(ISBLANK(Table2[[#This Row],[Primary Instructor]]),0,1)</f>
        <v>1</v>
      </c>
      <c r="AJ255" s="496">
        <f>IF(ISBLANK(Table2[[#This Row],[Instructor 2]]),0,1)</f>
        <v>0</v>
      </c>
      <c r="AK255" s="496">
        <f>Table2[[#This Row],[Course Length (Hours)]]/(Table2[[#This Row],[1 Instructor]]+Table2[[#This Row],[2 Instructors]])</f>
        <v>24</v>
      </c>
      <c r="AL255" s="318">
        <v>0</v>
      </c>
      <c r="AM255" s="497">
        <v>2</v>
      </c>
      <c r="AN255" s="496" t="str">
        <f>VLOOKUP(Table2[[#This Row],[Course Title]],'TSD-Data'!$A$1:$G$83,7,FALSE)</f>
        <v>N8</v>
      </c>
      <c r="AO255" s="500">
        <f>Table2[[#This Row],[Quotas]]-Table2[[#This Row],[Graduates]]-Table2[[#This Row],[Fail]]</f>
        <v>2</v>
      </c>
    </row>
    <row r="256" spans="2:41" ht="15" customHeight="1" x14ac:dyDescent="0.25">
      <c r="B256" s="530"/>
      <c r="C256" s="530" t="s">
        <v>70</v>
      </c>
      <c r="D256" s="200" t="str">
        <f>VLOOKUP(Table2[[#This Row],[Course Title]],'TSD-Data'!$A$1:$E$83,2,FALSE)</f>
        <v>A-493-0077</v>
      </c>
      <c r="E256" s="200" t="str">
        <f>VLOOKUP(Table2[[#This Row],[Course Title]],'TSD-Data'!$A$1:$E$83,3,FALSE)</f>
        <v>0381</v>
      </c>
      <c r="F256" s="530" t="s">
        <v>127</v>
      </c>
      <c r="G256" s="531">
        <v>46083</v>
      </c>
      <c r="H256" s="531">
        <v>46085</v>
      </c>
      <c r="I256" s="531" t="s">
        <v>42</v>
      </c>
      <c r="J256" s="532">
        <v>0.33333333333333331</v>
      </c>
      <c r="K256" s="532"/>
      <c r="L256" s="531"/>
      <c r="M256" s="531"/>
      <c r="N256" s="531"/>
      <c r="O256" s="531"/>
      <c r="P256" s="531"/>
      <c r="Q256" s="535" t="s">
        <v>48</v>
      </c>
      <c r="R256" s="535"/>
      <c r="S256" s="535"/>
      <c r="T256" s="200">
        <f>VLOOKUP(Table2[[#This Row],[Course Title]],'TSD-Data'!$A$1:$E$83,4,FALSE)</f>
        <v>25</v>
      </c>
      <c r="U256" s="200">
        <f>VLOOKUP(Table2[[#This Row],[Course Title]],'TSD-Data'!$A$1:$F$83,6,FALSE)</f>
        <v>24</v>
      </c>
      <c r="V256" s="201">
        <f>VLOOKUP(Table2[[#This Row],[Course Title]],'TSD-Data'!$A$1:$F$83,5,FALSE)</f>
        <v>3</v>
      </c>
      <c r="W256" s="201">
        <v>35</v>
      </c>
      <c r="X256" s="200">
        <f>Table2[[#This Row],[Quotas]]-Table2[[#This Row],[Open Quotas]]</f>
        <v>14</v>
      </c>
      <c r="Y256" s="200">
        <v>0</v>
      </c>
      <c r="Z256" s="201">
        <v>12</v>
      </c>
      <c r="AA256" s="201">
        <v>0</v>
      </c>
      <c r="AB256" s="200">
        <v>2</v>
      </c>
      <c r="AC256" s="200">
        <v>0</v>
      </c>
      <c r="AD256" s="200">
        <v>0</v>
      </c>
      <c r="AE256" s="200" t="s">
        <v>428</v>
      </c>
      <c r="AF256" s="495">
        <f ca="1">Table2[[#This Row],[End Date]]+2-TODAY()</f>
        <v>-157</v>
      </c>
      <c r="AG256" s="496">
        <f>IF(ISBLANK(Table2[[#This Row],[Roster Received by]]),1,0)</f>
        <v>0</v>
      </c>
      <c r="AH256" s="496">
        <f ca="1">IF(Table2[[#This Row],[Start Date]]&gt;TODAY(),1,)</f>
        <v>0</v>
      </c>
      <c r="AI256" s="496">
        <f>IF(ISBLANK(Table2[[#This Row],[Primary Instructor]]),0,1)</f>
        <v>1</v>
      </c>
      <c r="AJ256" s="496">
        <f>IF(ISBLANK(Table2[[#This Row],[Instructor 2]]),0,1)</f>
        <v>0</v>
      </c>
      <c r="AK256" s="496">
        <f>Table2[[#This Row],[Course Length (Hours)]]/(Table2[[#This Row],[1 Instructor]]+Table2[[#This Row],[2 Instructors]])</f>
        <v>24</v>
      </c>
      <c r="AL256" s="318">
        <v>11</v>
      </c>
      <c r="AM256" s="497">
        <v>2</v>
      </c>
      <c r="AN256" s="496" t="str">
        <f>VLOOKUP(Table2[[#This Row],[Course Title]],'TSD-Data'!$A$1:$G$83,7,FALSE)</f>
        <v>N4</v>
      </c>
      <c r="AO256" s="500">
        <f>Table2[[#This Row],[Quotas]]-Table2[[#This Row],[Graduates]]-Table2[[#This Row],[Fail]]</f>
        <v>13</v>
      </c>
    </row>
    <row r="257" spans="2:41" s="202" customFormat="1" ht="15" customHeight="1" x14ac:dyDescent="0.25">
      <c r="B257" s="530"/>
      <c r="C257" s="530" t="s">
        <v>77</v>
      </c>
      <c r="D257" s="200" t="str">
        <f>VLOOKUP(Table2[[#This Row],[Course Title]],'TSD-Data'!$A$1:$E$83,2,FALSE)</f>
        <v>A-493-0072</v>
      </c>
      <c r="E257" s="200" t="str">
        <f>VLOOKUP(Table2[[#This Row],[Course Title]],'TSD-Data'!$A$1:$E$83,3,FALSE)</f>
        <v>713U</v>
      </c>
      <c r="F257" s="530" t="s">
        <v>52</v>
      </c>
      <c r="G257" s="531">
        <v>46083</v>
      </c>
      <c r="H257" s="531">
        <v>46087</v>
      </c>
      <c r="I257" s="531" t="s">
        <v>42</v>
      </c>
      <c r="J257" s="532">
        <v>0.33333333333333331</v>
      </c>
      <c r="K257" s="532"/>
      <c r="L257" s="531"/>
      <c r="M257" s="531"/>
      <c r="N257" s="531"/>
      <c r="O257" s="531"/>
      <c r="P257" s="531"/>
      <c r="Q257" s="535" t="s">
        <v>62</v>
      </c>
      <c r="R257" s="535"/>
      <c r="S257" s="535" t="s">
        <v>43</v>
      </c>
      <c r="T257" s="200">
        <f>VLOOKUP(Table2[[#This Row],[Course Title]],'TSD-Data'!$A$1:$E$83,4,FALSE)</f>
        <v>30</v>
      </c>
      <c r="U257" s="200">
        <f>VLOOKUP(Table2[[#This Row],[Course Title]],'TSD-Data'!$A$1:$F$83,6,FALSE)</f>
        <v>40</v>
      </c>
      <c r="V257" s="201">
        <f>VLOOKUP(Table2[[#This Row],[Course Title]],'TSD-Data'!$A$1:$F$83,5,FALSE)</f>
        <v>5</v>
      </c>
      <c r="W257" s="201">
        <v>36</v>
      </c>
      <c r="X257" s="200">
        <f>Table2[[#This Row],[Quotas]]-Table2[[#This Row],[Open Quotas]]</f>
        <v>20</v>
      </c>
      <c r="Y257" s="200">
        <v>0</v>
      </c>
      <c r="Z257" s="201">
        <v>14</v>
      </c>
      <c r="AA257" s="201">
        <v>0</v>
      </c>
      <c r="AB257" s="200">
        <v>6</v>
      </c>
      <c r="AC257" s="200">
        <v>1</v>
      </c>
      <c r="AD257" s="200">
        <v>0</v>
      </c>
      <c r="AE257" s="200" t="s">
        <v>429</v>
      </c>
      <c r="AF257" s="495">
        <f ca="1">Table2[[#This Row],[End Date]]+2-TODAY()</f>
        <v>-155</v>
      </c>
      <c r="AG257" s="496">
        <f>IF(ISBLANK(Table2[[#This Row],[Roster Received by]]),1,0)</f>
        <v>0</v>
      </c>
      <c r="AH257" s="496">
        <f ca="1">IF(Table2[[#This Row],[Start Date]]&gt;TODAY(),1,)</f>
        <v>0</v>
      </c>
      <c r="AI257" s="496">
        <f>IF(ISBLANK(Table2[[#This Row],[Primary Instructor]]),0,1)</f>
        <v>1</v>
      </c>
      <c r="AJ257" s="496">
        <f>IF(ISBLANK(Table2[[#This Row],[Instructor 2]]),0,1)</f>
        <v>0</v>
      </c>
      <c r="AK257" s="496">
        <f>Table2[[#This Row],[Course Length (Hours)]]/(Table2[[#This Row],[1 Instructor]]+Table2[[#This Row],[2 Instructors]])</f>
        <v>40</v>
      </c>
      <c r="AL257" s="318">
        <v>10</v>
      </c>
      <c r="AM257" s="497">
        <v>2</v>
      </c>
      <c r="AN257" s="496" t="str">
        <f>VLOOKUP(Table2[[#This Row],[Course Title]],'TSD-Data'!$A$1:$G$83,7,FALSE)</f>
        <v>N3</v>
      </c>
      <c r="AO257" s="500">
        <f>Table2[[#This Row],[Quotas]]-Table2[[#This Row],[Graduates]]-Table2[[#This Row],[Fail]]</f>
        <v>16</v>
      </c>
    </row>
    <row r="258" spans="2:41" s="202" customFormat="1" ht="15" customHeight="1" x14ac:dyDescent="0.25">
      <c r="B258" s="530"/>
      <c r="C258" s="530" t="s">
        <v>275</v>
      </c>
      <c r="D258" s="200" t="str">
        <f>VLOOKUP(Table2[[#This Row],[Course Title]],'TSD-Data'!$A$1:$E$83,2,FALSE)</f>
        <v>A-493-0099</v>
      </c>
      <c r="E258" s="200" t="str">
        <f>VLOOKUP(Table2[[#This Row],[Course Title]],'TSD-Data'!$A$1:$E$83,3,FALSE)</f>
        <v>12JW</v>
      </c>
      <c r="F258" s="530" t="s">
        <v>54</v>
      </c>
      <c r="G258" s="531">
        <v>46084</v>
      </c>
      <c r="H258" s="531">
        <v>46086</v>
      </c>
      <c r="I258" s="531" t="s">
        <v>42</v>
      </c>
      <c r="J258" s="532"/>
      <c r="K258" s="536">
        <v>0.5</v>
      </c>
      <c r="L258" s="536">
        <v>0.375</v>
      </c>
      <c r="M258" s="536">
        <v>0.83333333333333337</v>
      </c>
      <c r="N258" s="536">
        <v>0.75</v>
      </c>
      <c r="O258" s="536">
        <v>0.29166666666666669</v>
      </c>
      <c r="P258" s="536">
        <v>8.3333333333333329E-2</v>
      </c>
      <c r="Q258" s="535" t="s">
        <v>274</v>
      </c>
      <c r="R258" s="535"/>
      <c r="S258" s="535"/>
      <c r="T258" s="200">
        <f>VLOOKUP(Table2[[#This Row],[Course Title]],'TSD-Data'!$A$1:$E$83,4,FALSE)</f>
        <v>45</v>
      </c>
      <c r="U258" s="200">
        <f>VLOOKUP(Table2[[#This Row],[Course Title]],'TSD-Data'!$A$1:$F$83,6,FALSE)</f>
        <v>24</v>
      </c>
      <c r="V258" s="201">
        <f>VLOOKUP(Table2[[#This Row],[Course Title]],'TSD-Data'!$A$1:$F$83,5,FALSE)</f>
        <v>3</v>
      </c>
      <c r="W258" s="201">
        <v>934</v>
      </c>
      <c r="X258" s="200">
        <f>Table2[[#This Row],[Quotas]]-Table2[[#This Row],[Open Quotas]]</f>
        <v>40</v>
      </c>
      <c r="Y258" s="200">
        <v>0</v>
      </c>
      <c r="Z258" s="201">
        <v>34</v>
      </c>
      <c r="AA258" s="201">
        <v>0</v>
      </c>
      <c r="AB258" s="200">
        <v>7</v>
      </c>
      <c r="AC258" s="200">
        <v>0</v>
      </c>
      <c r="AD258" s="200">
        <v>0</v>
      </c>
      <c r="AE258" s="200" t="s">
        <v>431</v>
      </c>
      <c r="AF258" s="495">
        <f ca="1">Table2[[#This Row],[End Date]]+2-TODAY()</f>
        <v>-156</v>
      </c>
      <c r="AG258" s="496">
        <f>IF(ISBLANK(Table2[[#This Row],[Roster Received by]]),1,0)</f>
        <v>0</v>
      </c>
      <c r="AH258" s="496">
        <f ca="1">IF(Table2[[#This Row],[Start Date]]&gt;TODAY(),1,)</f>
        <v>0</v>
      </c>
      <c r="AI258" s="496">
        <f>IF(ISBLANK(Table2[[#This Row],[Primary Instructor]]),0,1)</f>
        <v>1</v>
      </c>
      <c r="AJ258" s="496">
        <f>IF(ISBLANK(Table2[[#This Row],[Instructor 2]]),0,1)</f>
        <v>0</v>
      </c>
      <c r="AK258" s="496">
        <f>Table2[[#This Row],[Course Length (Hours)]]/(Table2[[#This Row],[1 Instructor]]+Table2[[#This Row],[2 Instructors]])</f>
        <v>24</v>
      </c>
      <c r="AL258" s="318">
        <v>5</v>
      </c>
      <c r="AM258" s="497">
        <v>2</v>
      </c>
      <c r="AN258" s="496" t="str">
        <f>VLOOKUP(Table2[[#This Row],[Course Title]],'TSD-Data'!$A$1:$G$83,7,FALSE)</f>
        <v>N5</v>
      </c>
      <c r="AO258" s="500">
        <f>Table2[[#This Row],[Quotas]]-Table2[[#This Row],[Graduates]]-Table2[[#This Row],[Fail]]</f>
        <v>11</v>
      </c>
    </row>
    <row r="259" spans="2:41" ht="15" customHeight="1" x14ac:dyDescent="0.25">
      <c r="B259" s="530"/>
      <c r="C259" s="530" t="s">
        <v>84</v>
      </c>
      <c r="D259" s="200" t="str">
        <f>VLOOKUP(Table2[[#This Row],[Course Title]],'TSD-Data'!$A$1:$E$83,2,FALSE)</f>
        <v>A-493-0083</v>
      </c>
      <c r="E259" s="200" t="str">
        <f>VLOOKUP(Table2[[#This Row],[Course Title]],'TSD-Data'!$A$1:$E$83,3,FALSE)</f>
        <v>339E</v>
      </c>
      <c r="F259" s="530" t="s">
        <v>127</v>
      </c>
      <c r="G259" s="531">
        <v>46086</v>
      </c>
      <c r="H259" s="531">
        <v>46086</v>
      </c>
      <c r="I259" s="531" t="s">
        <v>42</v>
      </c>
      <c r="J259" s="532">
        <v>0.33333333333333331</v>
      </c>
      <c r="K259" s="532"/>
      <c r="L259" s="531"/>
      <c r="M259" s="531"/>
      <c r="N259" s="531"/>
      <c r="O259" s="531"/>
      <c r="P259" s="531"/>
      <c r="Q259" s="535" t="s">
        <v>48</v>
      </c>
      <c r="R259" s="535"/>
      <c r="S259" s="535"/>
      <c r="T259" s="200">
        <f>VLOOKUP(Table2[[#This Row],[Course Title]],'TSD-Data'!$A$1:$E$83,4,FALSE)</f>
        <v>30</v>
      </c>
      <c r="U259" s="200">
        <f>VLOOKUP(Table2[[#This Row],[Course Title]],'TSD-Data'!$A$1:$F$83,6,FALSE)</f>
        <v>8</v>
      </c>
      <c r="V259" s="201">
        <f>VLOOKUP(Table2[[#This Row],[Course Title]],'TSD-Data'!$A$1:$F$83,5,FALSE)</f>
        <v>1</v>
      </c>
      <c r="W259" s="201">
        <v>60</v>
      </c>
      <c r="X259" s="200">
        <f>Table2[[#This Row],[Quotas]]-Table2[[#This Row],[Open Quotas]]</f>
        <v>20</v>
      </c>
      <c r="Y259" s="200">
        <v>0</v>
      </c>
      <c r="Z259" s="201">
        <v>15</v>
      </c>
      <c r="AA259" s="201">
        <v>0</v>
      </c>
      <c r="AB259" s="200">
        <v>6</v>
      </c>
      <c r="AC259" s="200">
        <v>1</v>
      </c>
      <c r="AD259" s="200">
        <v>0</v>
      </c>
      <c r="AE259" s="200" t="s">
        <v>428</v>
      </c>
      <c r="AF259" s="495">
        <f ca="1">Table2[[#This Row],[End Date]]+2-TODAY()</f>
        <v>-156</v>
      </c>
      <c r="AG259" s="496">
        <f>IF(ISBLANK(Table2[[#This Row],[Roster Received by]]),1,0)</f>
        <v>0</v>
      </c>
      <c r="AH259" s="496">
        <f ca="1">IF(Table2[[#This Row],[Start Date]]&gt;TODAY(),1,)</f>
        <v>0</v>
      </c>
      <c r="AI259" s="496">
        <f>IF(ISBLANK(Table2[[#This Row],[Primary Instructor]]),0,1)</f>
        <v>1</v>
      </c>
      <c r="AJ259" s="496">
        <f>IF(ISBLANK(Table2[[#This Row],[Instructor 2]]),0,1)</f>
        <v>0</v>
      </c>
      <c r="AK259" s="496">
        <f>Table2[[#This Row],[Course Length (Hours)]]/(Table2[[#This Row],[1 Instructor]]+Table2[[#This Row],[2 Instructors]])</f>
        <v>8</v>
      </c>
      <c r="AL259" s="318">
        <v>10</v>
      </c>
      <c r="AM259" s="497">
        <v>2</v>
      </c>
      <c r="AN259" s="496" t="str">
        <f>VLOOKUP(Table2[[#This Row],[Course Title]],'TSD-Data'!$A$1:$G$83,7,FALSE)</f>
        <v>N4</v>
      </c>
      <c r="AO259" s="500">
        <f>Table2[[#This Row],[Quotas]]-Table2[[#This Row],[Graduates]]-Table2[[#This Row],[Fail]]</f>
        <v>15</v>
      </c>
    </row>
    <row r="260" spans="2:41" s="202" customFormat="1" ht="15" customHeight="1" x14ac:dyDescent="0.25">
      <c r="B260" s="530"/>
      <c r="C260" s="542" t="s">
        <v>389</v>
      </c>
      <c r="D260" s="200" t="str">
        <f>VLOOKUP(Table2[[#This Row],[Course Title]],'TSD-Data'!$A$1:$E$83,2,FALSE)</f>
        <v>A-493-0014</v>
      </c>
      <c r="E260" s="200">
        <f>VLOOKUP(Table2[[#This Row],[Course Title]],'TSD-Data'!$A$1:$E$83,3,FALSE)</f>
        <v>3878</v>
      </c>
      <c r="F260" s="530" t="s">
        <v>81</v>
      </c>
      <c r="G260" s="531">
        <v>46090</v>
      </c>
      <c r="H260" s="531">
        <v>46092</v>
      </c>
      <c r="I260" s="531" t="s">
        <v>42</v>
      </c>
      <c r="J260" s="532">
        <v>0.33333333333333331</v>
      </c>
      <c r="K260" s="545"/>
      <c r="L260" s="531"/>
      <c r="M260" s="531"/>
      <c r="N260" s="531"/>
      <c r="O260" s="531"/>
      <c r="P260" s="531"/>
      <c r="Q260" s="535" t="s">
        <v>67</v>
      </c>
      <c r="R260" s="535" t="s">
        <v>82</v>
      </c>
      <c r="S260" s="535"/>
      <c r="T260" s="200">
        <f>VLOOKUP(Table2[[#This Row],[Course Title]],'TSD-Data'!$A$1:$E$83,4,FALSE)</f>
        <v>25</v>
      </c>
      <c r="U260" s="200">
        <f>VLOOKUP(Table2[[#This Row],[Course Title]],'TSD-Data'!$A$1:$F$83,6,FALSE)</f>
        <v>24</v>
      </c>
      <c r="V260" s="201">
        <f>VLOOKUP(Table2[[#This Row],[Course Title]],'TSD-Data'!$A$1:$F$83,5,FALSE)</f>
        <v>3</v>
      </c>
      <c r="W260" s="201">
        <v>35</v>
      </c>
      <c r="X260" s="200">
        <v>5</v>
      </c>
      <c r="Y260" s="200">
        <v>0</v>
      </c>
      <c r="Z260" s="201">
        <v>3</v>
      </c>
      <c r="AA260" s="201">
        <v>0</v>
      </c>
      <c r="AB260" s="200">
        <v>1</v>
      </c>
      <c r="AC260" s="200">
        <v>0</v>
      </c>
      <c r="AD260" s="200">
        <v>0</v>
      </c>
      <c r="AE260" s="200" t="s">
        <v>429</v>
      </c>
      <c r="AF260" s="495">
        <f ca="1">Table2[[#This Row],[End Date]]+2-TODAY()</f>
        <v>-150</v>
      </c>
      <c r="AG260" s="496">
        <f>IF(ISBLANK(Table2[[#This Row],[Roster Received by]]),1,0)</f>
        <v>0</v>
      </c>
      <c r="AH260" s="496">
        <f ca="1">IF(Table2[[#This Row],[Start Date]]&gt;TODAY(),1,)</f>
        <v>0</v>
      </c>
      <c r="AI260" s="496">
        <f>IF(ISBLANK(Table2[[#This Row],[Primary Instructor]]),0,1)</f>
        <v>1</v>
      </c>
      <c r="AJ260" s="496">
        <f>IF(ISBLANK(Table2[[#This Row],[Instructor 2]]),0,1)</f>
        <v>1</v>
      </c>
      <c r="AK260" s="496">
        <f>Table2[[#This Row],[Course Length (Hours)]]/(Table2[[#This Row],[1 Instructor]]+Table2[[#This Row],[2 Instructors]])</f>
        <v>12</v>
      </c>
      <c r="AL260" s="318">
        <v>20</v>
      </c>
      <c r="AM260" s="497">
        <v>2</v>
      </c>
      <c r="AN260" s="496" t="str">
        <f>VLOOKUP(Table2[[#This Row],[Course Title]],'TSD-Data'!$A$1:$G$83,7,FALSE)</f>
        <v>N3</v>
      </c>
      <c r="AO260" s="500">
        <f>Table2[[#This Row],[Quotas]]-Table2[[#This Row],[Graduates]]-Table2[[#This Row],[Fail]]</f>
        <v>22</v>
      </c>
    </row>
    <row r="261" spans="2:41" s="202" customFormat="1" ht="15" customHeight="1" x14ac:dyDescent="0.25">
      <c r="B261" s="530"/>
      <c r="C261" s="530" t="s">
        <v>276</v>
      </c>
      <c r="D261" s="200" t="str">
        <f>VLOOKUP(Table2[[#This Row],[Course Title]],'TSD-Data'!$A$1:$E$83,2,FALSE)</f>
        <v>A-493-0103</v>
      </c>
      <c r="E261" s="200" t="str">
        <f>VLOOKUP(Table2[[#This Row],[Course Title]],'TSD-Data'!$A$1:$E$83,3,FALSE)</f>
        <v>12JY</v>
      </c>
      <c r="F261" s="530" t="s">
        <v>118</v>
      </c>
      <c r="G261" s="531">
        <v>46090</v>
      </c>
      <c r="H261" s="531">
        <v>46094</v>
      </c>
      <c r="I261" s="531" t="s">
        <v>42</v>
      </c>
      <c r="J261" s="532">
        <v>0.33333333333333331</v>
      </c>
      <c r="K261" s="532"/>
      <c r="L261" s="531"/>
      <c r="M261" s="531"/>
      <c r="N261" s="531"/>
      <c r="O261" s="531"/>
      <c r="P261" s="531"/>
      <c r="Q261" s="535" t="s">
        <v>280</v>
      </c>
      <c r="R261" s="535"/>
      <c r="S261" s="535"/>
      <c r="T261" s="200">
        <f>VLOOKUP(Table2[[#This Row],[Course Title]],'TSD-Data'!$A$1:$E$83,4,FALSE)</f>
        <v>25</v>
      </c>
      <c r="U261" s="200">
        <f>VLOOKUP(Table2[[#This Row],[Course Title]],'TSD-Data'!$A$1:$F$83,6,FALSE)</f>
        <v>40</v>
      </c>
      <c r="V261" s="201">
        <f>VLOOKUP(Table2[[#This Row],[Course Title]],'TSD-Data'!$A$1:$F$83,5,FALSE)</f>
        <v>5</v>
      </c>
      <c r="W261" s="201">
        <v>52</v>
      </c>
      <c r="X261" s="200">
        <f>Table2[[#This Row],[Quotas]]-Table2[[#This Row],[Open Quotas]]</f>
        <v>10</v>
      </c>
      <c r="Y261" s="200">
        <v>0</v>
      </c>
      <c r="Z261" s="201">
        <v>10</v>
      </c>
      <c r="AA261" s="201">
        <v>0</v>
      </c>
      <c r="AB261" s="200">
        <v>3</v>
      </c>
      <c r="AC261" s="200">
        <v>2</v>
      </c>
      <c r="AD261" s="200">
        <v>0</v>
      </c>
      <c r="AE261" s="200" t="s">
        <v>431</v>
      </c>
      <c r="AF261" s="495">
        <f ca="1">Table2[[#This Row],[End Date]]+2-TODAY()</f>
        <v>-148</v>
      </c>
      <c r="AG261" s="496">
        <f>IF(ISBLANK(Table2[[#This Row],[Roster Received by]]),1,0)</f>
        <v>0</v>
      </c>
      <c r="AH261" s="496">
        <f ca="1">IF(Table2[[#This Row],[Start Date]]&gt;TODAY(),1,)</f>
        <v>0</v>
      </c>
      <c r="AI261" s="496">
        <f>IF(ISBLANK(Table2[[#This Row],[Primary Instructor]]),0,1)</f>
        <v>1</v>
      </c>
      <c r="AJ261" s="496">
        <f>IF(ISBLANK(Table2[[#This Row],[Instructor 2]]),0,1)</f>
        <v>0</v>
      </c>
      <c r="AK261" s="496">
        <f>Table2[[#This Row],[Course Length (Hours)]]/(Table2[[#This Row],[1 Instructor]]+Table2[[#This Row],[2 Instructors]])</f>
        <v>40</v>
      </c>
      <c r="AL261" s="318">
        <v>15</v>
      </c>
      <c r="AM261" s="497">
        <v>2</v>
      </c>
      <c r="AN261" s="496" t="str">
        <f>VLOOKUP(Table2[[#This Row],[Course Title]],'TSD-Data'!$A$1:$G$83,7,FALSE)</f>
        <v>N5</v>
      </c>
      <c r="AO261" s="500">
        <f>Table2[[#This Row],[Quotas]]-Table2[[#This Row],[Graduates]]-Table2[[#This Row],[Fail]]</f>
        <v>15</v>
      </c>
    </row>
    <row r="262" spans="2:41" s="202" customFormat="1" ht="15" customHeight="1" x14ac:dyDescent="0.25">
      <c r="B262" s="530"/>
      <c r="C262" s="530" t="s">
        <v>65</v>
      </c>
      <c r="D262" s="200" t="str">
        <f>VLOOKUP(Table2[[#This Row],[Course Title]],'TSD-Data'!$A$1:$E$83,2,FALSE)</f>
        <v>A-760-2166</v>
      </c>
      <c r="E262" s="200" t="str">
        <f>VLOOKUP(Table2[[#This Row],[Course Title]],'TSD-Data'!$A$1:$E$83,3,FALSE)</f>
        <v>438J</v>
      </c>
      <c r="F262" s="530" t="s">
        <v>52</v>
      </c>
      <c r="G262" s="531">
        <v>46090</v>
      </c>
      <c r="H262" s="531">
        <v>46091</v>
      </c>
      <c r="I262" s="531" t="s">
        <v>42</v>
      </c>
      <c r="J262" s="532">
        <v>0.33333333333333331</v>
      </c>
      <c r="K262" s="532"/>
      <c r="L262" s="531"/>
      <c r="M262" s="531"/>
      <c r="N262" s="531"/>
      <c r="O262" s="531"/>
      <c r="P262" s="531"/>
      <c r="Q262" s="535" t="s">
        <v>62</v>
      </c>
      <c r="R262" s="535"/>
      <c r="S262" s="535" t="s">
        <v>43</v>
      </c>
      <c r="T262" s="200">
        <f>VLOOKUP(Table2[[#This Row],[Course Title]],'TSD-Data'!$A$1:$E$83,4,FALSE)</f>
        <v>25</v>
      </c>
      <c r="U262" s="200">
        <f>VLOOKUP(Table2[[#This Row],[Course Title]],'TSD-Data'!$A$1:$F$83,6,FALSE)</f>
        <v>16</v>
      </c>
      <c r="V262" s="201">
        <f>VLOOKUP(Table2[[#This Row],[Course Title]],'TSD-Data'!$A$1:$F$83,5,FALSE)</f>
        <v>2</v>
      </c>
      <c r="W262" s="201"/>
      <c r="X262" s="200">
        <f>Table2[[#This Row],[Quotas]]-Table2[[#This Row],[Open Quotas]]</f>
        <v>11</v>
      </c>
      <c r="Y262" s="200">
        <v>0</v>
      </c>
      <c r="Z262" s="201">
        <v>9</v>
      </c>
      <c r="AA262" s="201">
        <v>0</v>
      </c>
      <c r="AB262" s="200">
        <v>2</v>
      </c>
      <c r="AC262" s="200">
        <v>0</v>
      </c>
      <c r="AD262" s="200">
        <v>0</v>
      </c>
      <c r="AE262" s="200" t="s">
        <v>429</v>
      </c>
      <c r="AF262" s="495">
        <f ca="1">Table2[[#This Row],[End Date]]+2-TODAY()</f>
        <v>-151</v>
      </c>
      <c r="AG262" s="496">
        <f>IF(ISBLANK(Table2[[#This Row],[Roster Received by]]),1,0)</f>
        <v>0</v>
      </c>
      <c r="AH262" s="496">
        <f ca="1">IF(Table2[[#This Row],[Start Date]]&gt;TODAY(),1,)</f>
        <v>0</v>
      </c>
      <c r="AI262" s="496">
        <f>IF(ISBLANK(Table2[[#This Row],[Primary Instructor]]),0,1)</f>
        <v>1</v>
      </c>
      <c r="AJ262" s="496">
        <f>IF(ISBLANK(Table2[[#This Row],[Instructor 2]]),0,1)</f>
        <v>0</v>
      </c>
      <c r="AK262" s="496">
        <f>Table2[[#This Row],[Course Length (Hours)]]/(Table2[[#This Row],[1 Instructor]]+Table2[[#This Row],[2 Instructors]])</f>
        <v>16</v>
      </c>
      <c r="AL262" s="318">
        <v>14</v>
      </c>
      <c r="AM262" s="497">
        <v>2</v>
      </c>
      <c r="AN262" s="496" t="str">
        <f>VLOOKUP(Table2[[#This Row],[Course Title]],'TSD-Data'!$A$1:$G$83,7,FALSE)</f>
        <v>N3</v>
      </c>
      <c r="AO262" s="500">
        <f>Table2[[#This Row],[Quotas]]-Table2[[#This Row],[Graduates]]-Table2[[#This Row],[Fail]]</f>
        <v>16</v>
      </c>
    </row>
    <row r="263" spans="2:41" ht="15" customHeight="1" x14ac:dyDescent="0.25">
      <c r="B263" s="530"/>
      <c r="C263" s="530" t="s">
        <v>271</v>
      </c>
      <c r="D263" s="200" t="str">
        <f>VLOOKUP(Table2[[#This Row],[Course Title]],'TSD-Data'!$A$1:$E$83,2,FALSE)</f>
        <v>A-493-0061</v>
      </c>
      <c r="E263" s="200" t="str">
        <f>VLOOKUP(Table2[[#This Row],[Course Title]],'TSD-Data'!$A$1:$E$83,3,FALSE)</f>
        <v>288E</v>
      </c>
      <c r="F263" s="530" t="s">
        <v>54</v>
      </c>
      <c r="G263" s="531">
        <v>46090</v>
      </c>
      <c r="H263" s="531">
        <v>46093</v>
      </c>
      <c r="I263" s="531" t="s">
        <v>42</v>
      </c>
      <c r="J263" s="532"/>
      <c r="K263" s="532">
        <v>0.79166666666666663</v>
      </c>
      <c r="L263" s="536">
        <v>0.66666666666666663</v>
      </c>
      <c r="M263" s="536">
        <v>8.3333333333333329E-2</v>
      </c>
      <c r="N263" s="536">
        <v>0</v>
      </c>
      <c r="O263" s="536">
        <v>0.54166666666666663</v>
      </c>
      <c r="P263" s="536">
        <v>0.33333333333333331</v>
      </c>
      <c r="Q263" s="535" t="s">
        <v>148</v>
      </c>
      <c r="R263" s="535"/>
      <c r="S263" s="535"/>
      <c r="T263" s="200">
        <f>VLOOKUP(Table2[[#This Row],[Course Title]],'TSD-Data'!$A$1:$E$83,4,FALSE)</f>
        <v>45</v>
      </c>
      <c r="U263" s="200">
        <f>VLOOKUP(Table2[[#This Row],[Course Title]],'TSD-Data'!$A$1:$F$83,6,FALSE)</f>
        <v>30</v>
      </c>
      <c r="V263" s="201">
        <f>VLOOKUP(Table2[[#This Row],[Course Title]],'TSD-Data'!$A$1:$F$83,5,FALSE)</f>
        <v>4</v>
      </c>
      <c r="W263" s="201">
        <v>187</v>
      </c>
      <c r="X263" s="200">
        <f>Table2[[#This Row],[Quotas]]-Table2[[#This Row],[Open Quotas]]</f>
        <v>27</v>
      </c>
      <c r="Y263" s="200">
        <v>0</v>
      </c>
      <c r="Z263" s="201">
        <v>20</v>
      </c>
      <c r="AA263" s="201">
        <v>0</v>
      </c>
      <c r="AB263" s="200">
        <v>9</v>
      </c>
      <c r="AC263" s="200">
        <v>0</v>
      </c>
      <c r="AD263" s="200">
        <v>0</v>
      </c>
      <c r="AE263" s="200" t="s">
        <v>431</v>
      </c>
      <c r="AF263" s="495">
        <f ca="1">Table2[[#This Row],[End Date]]+2-TODAY()</f>
        <v>-149</v>
      </c>
      <c r="AG263" s="496">
        <f>IF(ISBLANK(Table2[[#This Row],[Roster Received by]]),1,0)</f>
        <v>0</v>
      </c>
      <c r="AH263" s="496">
        <f ca="1">IF(Table2[[#This Row],[Start Date]]&gt;TODAY(),1,)</f>
        <v>0</v>
      </c>
      <c r="AI263" s="496">
        <f>IF(ISBLANK(Table2[[#This Row],[Primary Instructor]]),0,1)</f>
        <v>1</v>
      </c>
      <c r="AJ263" s="496">
        <f>IF(ISBLANK(Table2[[#This Row],[Instructor 2]]),0,1)</f>
        <v>0</v>
      </c>
      <c r="AK263" s="496">
        <f>Table2[[#This Row],[Course Length (Hours)]]/(Table2[[#This Row],[1 Instructor]]+Table2[[#This Row],[2 Instructors]])</f>
        <v>30</v>
      </c>
      <c r="AL263" s="318">
        <v>18</v>
      </c>
      <c r="AM263" s="497">
        <v>2</v>
      </c>
      <c r="AN263" s="496" t="str">
        <f>VLOOKUP(Table2[[#This Row],[Course Title]],'TSD-Data'!$A$1:$G$83,7,FALSE)</f>
        <v>N5</v>
      </c>
      <c r="AO263" s="500">
        <f>Table2[[#This Row],[Quotas]]-Table2[[#This Row],[Graduates]]-Table2[[#This Row],[Fail]]</f>
        <v>25</v>
      </c>
    </row>
    <row r="264" spans="2:41" s="202" customFormat="1" ht="15" customHeight="1" x14ac:dyDescent="0.25">
      <c r="B264" s="155" t="s">
        <v>458</v>
      </c>
      <c r="C264" s="321" t="s">
        <v>49</v>
      </c>
      <c r="D264" s="200" t="str">
        <f>VLOOKUP(Table2[[#This Row],[Course Title]],'TSD-Data'!$A$1:$E$83,2,FALSE)</f>
        <v>A-493-0012</v>
      </c>
      <c r="E264" s="200">
        <f>VLOOKUP(Table2[[#This Row],[Course Title]],'TSD-Data'!$A$1:$E$83,3,FALSE)</f>
        <v>3682</v>
      </c>
      <c r="F264" s="321" t="s">
        <v>41</v>
      </c>
      <c r="G264" s="531">
        <v>46090</v>
      </c>
      <c r="H264" s="531">
        <v>46094</v>
      </c>
      <c r="I264" s="129" t="s">
        <v>42</v>
      </c>
      <c r="J264" s="532">
        <v>0.33333333333333331</v>
      </c>
      <c r="K264" s="532"/>
      <c r="L264" s="531"/>
      <c r="M264" s="531"/>
      <c r="N264" s="532"/>
      <c r="O264" s="531"/>
      <c r="P264" s="531"/>
      <c r="Q264" s="535" t="s">
        <v>104</v>
      </c>
      <c r="R264" s="535"/>
      <c r="S264" s="535"/>
      <c r="T264" s="200">
        <f>VLOOKUP(Table2[[#This Row],[Course Title]],'TSD-Data'!$A$1:$E$83,4,FALSE)</f>
        <v>40</v>
      </c>
      <c r="U264" s="200">
        <f>VLOOKUP(Table2[[#This Row],[Course Title]],'TSD-Data'!$A$1:$F$83,6,FALSE)</f>
        <v>40</v>
      </c>
      <c r="V264" s="201">
        <f>VLOOKUP(Table2[[#This Row],[Course Title]],'TSD-Data'!$A$1:$F$83,5,FALSE)</f>
        <v>5</v>
      </c>
      <c r="W264" s="200">
        <v>30</v>
      </c>
      <c r="X264" s="200">
        <f>Table2[[#This Row],[Quotas]]-Table2[[#This Row],[Open Quotas]]</f>
        <v>6</v>
      </c>
      <c r="Y264" s="200">
        <v>0</v>
      </c>
      <c r="Z264" s="201">
        <v>18</v>
      </c>
      <c r="AA264" s="201">
        <v>0</v>
      </c>
      <c r="AB264" s="200">
        <v>4</v>
      </c>
      <c r="AC264" s="200">
        <v>17</v>
      </c>
      <c r="AD264" s="200">
        <v>0</v>
      </c>
      <c r="AE264" s="200" t="s">
        <v>442</v>
      </c>
      <c r="AF264" s="495">
        <f ca="1">Table2[[#This Row],[End Date]]+2-TODAY()</f>
        <v>-148</v>
      </c>
      <c r="AG264" s="496">
        <f>IF(ISBLANK(Table2[[#This Row],[Roster Received by]]),1,0)</f>
        <v>0</v>
      </c>
      <c r="AH264" s="496">
        <f ca="1">IF(Table2[[#This Row],[Start Date]]&gt;TODAY(),1,)</f>
        <v>0</v>
      </c>
      <c r="AI264" s="496">
        <f>IF(ISBLANK(Table2[[#This Row],[Primary Instructor]]),0,1)</f>
        <v>1</v>
      </c>
      <c r="AJ264" s="496">
        <f>IF(ISBLANK(Table2[[#This Row],[Instructor 2]]),0,1)</f>
        <v>0</v>
      </c>
      <c r="AK264" s="496">
        <f>Table2[[#This Row],[Course Length (Hours)]]/(Table2[[#This Row],[1 Instructor]]+Table2[[#This Row],[2 Instructors]])</f>
        <v>40</v>
      </c>
      <c r="AL264" s="318">
        <v>34</v>
      </c>
      <c r="AM264" s="497">
        <v>2</v>
      </c>
      <c r="AN264" s="496" t="str">
        <f>VLOOKUP(Table2[[#This Row],[Course Title]],'TSD-Data'!$A$1:$G$83,7,FALSE)</f>
        <v>N4</v>
      </c>
      <c r="AO264" s="500">
        <f>Table2[[#This Row],[Quotas]]-Table2[[#This Row],[Graduates]]-Table2[[#This Row],[Fail]]</f>
        <v>22</v>
      </c>
    </row>
    <row r="265" spans="2:41" s="202" customFormat="1" ht="15" customHeight="1" x14ac:dyDescent="0.25">
      <c r="B265" s="155" t="s">
        <v>459</v>
      </c>
      <c r="C265" s="321" t="s">
        <v>49</v>
      </c>
      <c r="D265" s="200" t="str">
        <f>VLOOKUP(Table2[[#This Row],[Course Title]],'TSD-Data'!$A$1:$E$83,2,FALSE)</f>
        <v>A-493-0012</v>
      </c>
      <c r="E265" s="200">
        <f>VLOOKUP(Table2[[#This Row],[Course Title]],'TSD-Data'!$A$1:$E$83,3,FALSE)</f>
        <v>3682</v>
      </c>
      <c r="F265" s="321" t="s">
        <v>300</v>
      </c>
      <c r="G265" s="531">
        <v>46090</v>
      </c>
      <c r="H265" s="531">
        <v>46094</v>
      </c>
      <c r="I265" s="129" t="s">
        <v>42</v>
      </c>
      <c r="J265" s="532">
        <v>0.33333333333333331</v>
      </c>
      <c r="K265" s="532"/>
      <c r="L265" s="531"/>
      <c r="M265" s="531"/>
      <c r="N265" s="531"/>
      <c r="O265" s="531"/>
      <c r="P265" s="531"/>
      <c r="Q265" s="535" t="s">
        <v>439</v>
      </c>
      <c r="R265" s="535"/>
      <c r="S265" s="535"/>
      <c r="T265" s="200">
        <f>VLOOKUP(Table2[[#This Row],[Course Title]],'TSD-Data'!$A$1:$E$83,4,FALSE)</f>
        <v>40</v>
      </c>
      <c r="U265" s="200">
        <f>VLOOKUP(Table2[[#This Row],[Course Title]],'TSD-Data'!$A$1:$F$83,6,FALSE)</f>
        <v>40</v>
      </c>
      <c r="V265" s="201">
        <f>VLOOKUP(Table2[[#This Row],[Course Title]],'TSD-Data'!$A$1:$F$83,5,FALSE)</f>
        <v>5</v>
      </c>
      <c r="W265" s="200">
        <v>51</v>
      </c>
      <c r="X265" s="200">
        <f>Table2[[#This Row],[Quotas]]-Table2[[#This Row],[Open Quotas]]</f>
        <v>32</v>
      </c>
      <c r="Y265" s="200">
        <v>0</v>
      </c>
      <c r="Z265" s="201">
        <v>10</v>
      </c>
      <c r="AA265" s="201">
        <v>0</v>
      </c>
      <c r="AB265" s="200">
        <v>3</v>
      </c>
      <c r="AC265" s="200">
        <v>2</v>
      </c>
      <c r="AD265" s="200">
        <v>0</v>
      </c>
      <c r="AE265" s="200" t="s">
        <v>431</v>
      </c>
      <c r="AF265" s="495">
        <f ca="1">Table2[[#This Row],[End Date]]+2-TODAY()</f>
        <v>-148</v>
      </c>
      <c r="AG265" s="496">
        <f>IF(ISBLANK(Table2[[#This Row],[Roster Received by]]),1,0)</f>
        <v>0</v>
      </c>
      <c r="AH265" s="496">
        <f ca="1">IF(Table2[[#This Row],[Start Date]]&gt;TODAY(),1,)</f>
        <v>0</v>
      </c>
      <c r="AI265" s="496">
        <f>IF(ISBLANK(Table2[[#This Row],[Primary Instructor]]),0,1)</f>
        <v>1</v>
      </c>
      <c r="AJ265" s="496">
        <f>IF(ISBLANK(Table2[[#This Row],[Instructor 2]]),0,1)</f>
        <v>0</v>
      </c>
      <c r="AK265" s="496">
        <f>Table2[[#This Row],[Course Length (Hours)]]/(Table2[[#This Row],[1 Instructor]]+Table2[[#This Row],[2 Instructors]])</f>
        <v>40</v>
      </c>
      <c r="AL265" s="318">
        <v>8</v>
      </c>
      <c r="AM265" s="497">
        <v>2</v>
      </c>
      <c r="AN265" s="496" t="str">
        <f>VLOOKUP(Table2[[#This Row],[Course Title]],'TSD-Data'!$A$1:$G$83,7,FALSE)</f>
        <v>N4</v>
      </c>
      <c r="AO265" s="500">
        <f>Table2[[#This Row],[Quotas]]-Table2[[#This Row],[Graduates]]-Table2[[#This Row],[Fail]]</f>
        <v>30</v>
      </c>
    </row>
    <row r="266" spans="2:41" s="202" customFormat="1" ht="15" customHeight="1" x14ac:dyDescent="0.25">
      <c r="B266" s="530"/>
      <c r="C266" s="559" t="s">
        <v>56</v>
      </c>
      <c r="D266" s="560" t="str">
        <f>VLOOKUP(Table2[[#This Row],[Course Title]],'TSD-Data'!$A$1:$E$83,2,FALSE)</f>
        <v>A-493-0550</v>
      </c>
      <c r="E266" s="560" t="str">
        <f>VLOOKUP(Table2[[#This Row],[Course Title]],'TSD-Data'!$A$1:$E$83,3,FALSE)</f>
        <v>09K5</v>
      </c>
      <c r="F266" s="559" t="s">
        <v>54</v>
      </c>
      <c r="G266" s="551">
        <v>46090</v>
      </c>
      <c r="H266" s="551">
        <v>46093</v>
      </c>
      <c r="I266" s="531" t="s">
        <v>42</v>
      </c>
      <c r="J266" s="532"/>
      <c r="K266" s="532">
        <v>0.5</v>
      </c>
      <c r="L266" s="536">
        <v>0.375</v>
      </c>
      <c r="M266" s="536">
        <v>0.79166666666666663</v>
      </c>
      <c r="N266" s="536">
        <v>0.75</v>
      </c>
      <c r="O266" s="536">
        <v>0.25</v>
      </c>
      <c r="P266" s="536">
        <v>4.1666666666666664E-2</v>
      </c>
      <c r="Q266" s="535" t="s">
        <v>427</v>
      </c>
      <c r="R266" s="535"/>
      <c r="S266" s="535"/>
      <c r="T266" s="200">
        <f>VLOOKUP(Table2[[#This Row],[Course Title]],'TSD-Data'!$A$1:$E$83,4,FALSE)</f>
        <v>45</v>
      </c>
      <c r="U266" s="200">
        <f>VLOOKUP(Table2[[#This Row],[Course Title]],'TSD-Data'!$A$1:$F$83,6,FALSE)</f>
        <v>32</v>
      </c>
      <c r="V266" s="201">
        <f>VLOOKUP(Table2[[#This Row],[Course Title]],'TSD-Data'!$A$1:$F$83,5,FALSE)</f>
        <v>4</v>
      </c>
      <c r="W266" s="201">
        <v>864</v>
      </c>
      <c r="X266" s="200">
        <f>Table2[[#This Row],[Quotas]]-Table2[[#This Row],[Open Quotas]]</f>
        <v>44</v>
      </c>
      <c r="Y266" s="200">
        <v>0</v>
      </c>
      <c r="Z266" s="201">
        <v>33</v>
      </c>
      <c r="AA266" s="201">
        <v>2</v>
      </c>
      <c r="AB266" s="200">
        <v>9</v>
      </c>
      <c r="AC266" s="200">
        <v>1</v>
      </c>
      <c r="AD266" s="200">
        <v>0</v>
      </c>
      <c r="AE266" s="200" t="s">
        <v>431</v>
      </c>
      <c r="AF266" s="495">
        <f ca="1">Table2[[#This Row],[End Date]]+2-TODAY()</f>
        <v>-149</v>
      </c>
      <c r="AG266" s="496">
        <f>IF(ISBLANK(Table2[[#This Row],[Roster Received by]]),1,0)</f>
        <v>0</v>
      </c>
      <c r="AH266" s="496">
        <f ca="1">IF(Table2[[#This Row],[Start Date]]&gt;TODAY(),1,)</f>
        <v>0</v>
      </c>
      <c r="AI266" s="496">
        <f>IF(ISBLANK(Table2[[#This Row],[Primary Instructor]]),0,1)</f>
        <v>1</v>
      </c>
      <c r="AJ266" s="496">
        <f>IF(ISBLANK(Table2[[#This Row],[Instructor 2]]),0,1)</f>
        <v>0</v>
      </c>
      <c r="AK266" s="496">
        <f>Table2[[#This Row],[Course Length (Hours)]]/(Table2[[#This Row],[1 Instructor]]+Table2[[#This Row],[2 Instructors]])</f>
        <v>32</v>
      </c>
      <c r="AL266" s="318">
        <v>1</v>
      </c>
      <c r="AM266" s="497">
        <v>2</v>
      </c>
      <c r="AN266" s="496" t="str">
        <f>VLOOKUP(Table2[[#This Row],[Course Title]],'TSD-Data'!$A$1:$G$83,7,FALSE)</f>
        <v>N5</v>
      </c>
      <c r="AO266" s="500">
        <f>Table2[[#This Row],[Quotas]]-Table2[[#This Row],[Graduates]]-Table2[[#This Row],[Fail]]</f>
        <v>10</v>
      </c>
    </row>
    <row r="267" spans="2:41" s="202" customFormat="1" ht="15" customHeight="1" x14ac:dyDescent="0.25">
      <c r="B267" s="530"/>
      <c r="C267" s="530" t="s">
        <v>53</v>
      </c>
      <c r="D267" s="200" t="str">
        <f>VLOOKUP(Table2[[#This Row],[Course Title]],'TSD-Data'!$A$1:$E$83,2,FALSE)</f>
        <v>A-493-0078</v>
      </c>
      <c r="E267" s="200">
        <f>VLOOKUP(Table2[[#This Row],[Course Title]],'TSD-Data'!$A$1:$E$83,3,FALSE)</f>
        <v>1228</v>
      </c>
      <c r="F267" s="530" t="s">
        <v>54</v>
      </c>
      <c r="G267" s="531">
        <v>46090</v>
      </c>
      <c r="H267" s="531">
        <v>46093</v>
      </c>
      <c r="I267" s="531" t="s">
        <v>42</v>
      </c>
      <c r="J267" s="532"/>
      <c r="K267" s="532">
        <v>0.79166666666666663</v>
      </c>
      <c r="L267" s="536">
        <v>0.66666666666666663</v>
      </c>
      <c r="M267" s="536">
        <v>8.3333333333333329E-2</v>
      </c>
      <c r="N267" s="536">
        <v>0</v>
      </c>
      <c r="O267" s="536">
        <v>0.54166666666666663</v>
      </c>
      <c r="P267" s="536">
        <v>0.33333333333333331</v>
      </c>
      <c r="Q267" s="535" t="s">
        <v>55</v>
      </c>
      <c r="R267" s="535"/>
      <c r="S267" s="535"/>
      <c r="T267" s="200">
        <f>VLOOKUP(Table2[[#This Row],[Course Title]],'TSD-Data'!$A$1:$E$83,4,FALSE)</f>
        <v>45</v>
      </c>
      <c r="U267" s="200">
        <f>VLOOKUP(Table2[[#This Row],[Course Title]],'TSD-Data'!$A$1:$F$83,6,FALSE)</f>
        <v>32</v>
      </c>
      <c r="V267" s="201">
        <f>VLOOKUP(Table2[[#This Row],[Course Title]],'TSD-Data'!$A$1:$F$83,5,FALSE)</f>
        <v>4</v>
      </c>
      <c r="W267" s="201">
        <v>181</v>
      </c>
      <c r="X267" s="200">
        <f>Table2[[#This Row],[Quotas]]-Table2[[#This Row],[Open Quotas]]</f>
        <v>41</v>
      </c>
      <c r="Y267" s="200">
        <v>0</v>
      </c>
      <c r="Z267" s="201">
        <v>33</v>
      </c>
      <c r="AA267" s="201">
        <v>1</v>
      </c>
      <c r="AB267" s="200">
        <v>10</v>
      </c>
      <c r="AC267" s="200">
        <v>0</v>
      </c>
      <c r="AD267" s="200">
        <v>1</v>
      </c>
      <c r="AE267" s="200" t="s">
        <v>431</v>
      </c>
      <c r="AF267" s="495">
        <f ca="1">Table2[[#This Row],[End Date]]+2-TODAY()</f>
        <v>-149</v>
      </c>
      <c r="AG267" s="496">
        <f>IF(ISBLANK(Table2[[#This Row],[Roster Received by]]),1,0)</f>
        <v>0</v>
      </c>
      <c r="AH267" s="496">
        <f ca="1">IF(Table2[[#This Row],[Start Date]]&gt;TODAY(),1,)</f>
        <v>0</v>
      </c>
      <c r="AI267" s="496">
        <f>IF(ISBLANK(Table2[[#This Row],[Primary Instructor]]),0,1)</f>
        <v>1</v>
      </c>
      <c r="AJ267" s="496">
        <f>IF(ISBLANK(Table2[[#This Row],[Instructor 2]]),0,1)</f>
        <v>0</v>
      </c>
      <c r="AK267" s="496">
        <f>Table2[[#This Row],[Course Length (Hours)]]/(Table2[[#This Row],[1 Instructor]]+Table2[[#This Row],[2 Instructors]])</f>
        <v>32</v>
      </c>
      <c r="AL267" s="318">
        <v>4</v>
      </c>
      <c r="AM267" s="497">
        <v>2</v>
      </c>
      <c r="AN267" s="496" t="str">
        <f>VLOOKUP(Table2[[#This Row],[Course Title]],'TSD-Data'!$A$1:$G$83,7,FALSE)</f>
        <v>N5</v>
      </c>
      <c r="AO267" s="500">
        <f>Table2[[#This Row],[Quotas]]-Table2[[#This Row],[Graduates]]-Table2[[#This Row],[Fail]]</f>
        <v>11</v>
      </c>
    </row>
    <row r="268" spans="2:41" s="202" customFormat="1" ht="15" customHeight="1" x14ac:dyDescent="0.25">
      <c r="B268" s="530"/>
      <c r="C268" s="530" t="s">
        <v>229</v>
      </c>
      <c r="D268" s="200" t="str">
        <f>VLOOKUP(Table2[[#This Row],[Course Title]],'TSD-Data'!$A$1:$E$83,2,FALSE)</f>
        <v>A-570-0100</v>
      </c>
      <c r="E268" s="200" t="str">
        <f>VLOOKUP(Table2[[#This Row],[Course Title]],'TSD-Data'!$A$1:$E$83,3,FALSE)</f>
        <v>18B7</v>
      </c>
      <c r="F268" s="530" t="s">
        <v>54</v>
      </c>
      <c r="G268" s="531">
        <v>46090</v>
      </c>
      <c r="H268" s="531">
        <v>46091</v>
      </c>
      <c r="I268" s="531" t="s">
        <v>42</v>
      </c>
      <c r="J268" s="532"/>
      <c r="K268" s="532">
        <v>0.5</v>
      </c>
      <c r="L268" s="536">
        <v>0.375</v>
      </c>
      <c r="M268" s="536">
        <v>0.79166666666666663</v>
      </c>
      <c r="N268" s="536">
        <v>0.75</v>
      </c>
      <c r="O268" s="536">
        <v>0.25</v>
      </c>
      <c r="P268" s="536">
        <v>4.1666666666666664E-2</v>
      </c>
      <c r="Q268" s="535" t="s">
        <v>432</v>
      </c>
      <c r="R268" s="535"/>
      <c r="S268" s="535"/>
      <c r="T268" s="200">
        <f>VLOOKUP(Table2[[#This Row],[Course Title]],'TSD-Data'!$A$1:$E$83,4,FALSE)</f>
        <v>45</v>
      </c>
      <c r="U268" s="200">
        <f>VLOOKUP(Table2[[#This Row],[Course Title]],'TSD-Data'!$A$1:$F$83,6,FALSE)</f>
        <v>16</v>
      </c>
      <c r="V268" s="201">
        <f>VLOOKUP(Table2[[#This Row],[Course Title]],'TSD-Data'!$A$1:$F$83,5,FALSE)</f>
        <v>2</v>
      </c>
      <c r="W268" s="201">
        <v>621</v>
      </c>
      <c r="X268" s="200">
        <f>Table2[[#This Row],[Quotas]]-Table2[[#This Row],[Open Quotas]]</f>
        <v>19</v>
      </c>
      <c r="Y268" s="200">
        <v>0</v>
      </c>
      <c r="Z268" s="201">
        <v>16</v>
      </c>
      <c r="AA268" s="201">
        <v>1</v>
      </c>
      <c r="AB268" s="200">
        <v>2</v>
      </c>
      <c r="AC268" s="200">
        <v>0</v>
      </c>
      <c r="AD268" s="200">
        <v>0</v>
      </c>
      <c r="AE268" s="200" t="s">
        <v>429</v>
      </c>
      <c r="AF268" s="495">
        <f ca="1">Table2[[#This Row],[End Date]]+2-TODAY()</f>
        <v>-151</v>
      </c>
      <c r="AG268" s="496">
        <f>IF(ISBLANK(Table2[[#This Row],[Roster Received by]]),1,0)</f>
        <v>0</v>
      </c>
      <c r="AH268" s="496">
        <f ca="1">IF(Table2[[#This Row],[Start Date]]&gt;TODAY(),1,)</f>
        <v>0</v>
      </c>
      <c r="AI268" s="496">
        <f>IF(ISBLANK(Table2[[#This Row],[Primary Instructor]]),0,1)</f>
        <v>1</v>
      </c>
      <c r="AJ268" s="496">
        <f>IF(ISBLANK(Table2[[#This Row],[Instructor 2]]),0,1)</f>
        <v>0</v>
      </c>
      <c r="AK268" s="496">
        <f>Table2[[#This Row],[Course Length (Hours)]]/(Table2[[#This Row],[1 Instructor]]+Table2[[#This Row],[2 Instructors]])</f>
        <v>16</v>
      </c>
      <c r="AL268" s="318">
        <v>26</v>
      </c>
      <c r="AM268" s="497">
        <v>2</v>
      </c>
      <c r="AN268" s="496" t="str">
        <f>VLOOKUP(Table2[[#This Row],[Course Title]],'TSD-Data'!$A$1:$G$83,7,FALSE)</f>
        <v>N8</v>
      </c>
      <c r="AO268" s="500">
        <f>Table2[[#This Row],[Quotas]]-Table2[[#This Row],[Graduates]]-Table2[[#This Row],[Fail]]</f>
        <v>28</v>
      </c>
    </row>
    <row r="269" spans="2:41" ht="15" customHeight="1" x14ac:dyDescent="0.25">
      <c r="B269" s="530"/>
      <c r="C269" s="542" t="s">
        <v>249</v>
      </c>
      <c r="D269" s="200" t="str">
        <f>VLOOKUP(Table2[[#This Row],[Course Title]],'TSD-Data'!$A$1:$E$83,2,FALSE)</f>
        <v>A-493-0331</v>
      </c>
      <c r="E269" s="200" t="str">
        <f>VLOOKUP(Table2[[#This Row],[Course Title]],'TSD-Data'!$A$1:$E$83,3,FALSE)</f>
        <v>10UG</v>
      </c>
      <c r="F269" s="530" t="s">
        <v>54</v>
      </c>
      <c r="G269" s="531">
        <v>46091</v>
      </c>
      <c r="H269" s="531">
        <v>46093</v>
      </c>
      <c r="I269" s="531" t="s">
        <v>42</v>
      </c>
      <c r="J269" s="532"/>
      <c r="K269" s="532">
        <v>0.5</v>
      </c>
      <c r="L269" s="536">
        <v>0.375</v>
      </c>
      <c r="M269" s="536">
        <v>0.79166666666666663</v>
      </c>
      <c r="N269" s="536">
        <v>0.75</v>
      </c>
      <c r="O269" s="536">
        <v>0.25</v>
      </c>
      <c r="P269" s="536">
        <v>4.1666666666666664E-2</v>
      </c>
      <c r="Q269" s="535" t="s">
        <v>82</v>
      </c>
      <c r="R269" s="535" t="s">
        <v>111</v>
      </c>
      <c r="S269" s="535"/>
      <c r="T269" s="200">
        <f>VLOOKUP(Table2[[#This Row],[Course Title]],'TSD-Data'!$A$1:$E$83,4,FALSE)</f>
        <v>45</v>
      </c>
      <c r="U269" s="200">
        <f>VLOOKUP(Table2[[#This Row],[Course Title]],'TSD-Data'!$A$1:$F$83,6,FALSE)</f>
        <v>24</v>
      </c>
      <c r="V269" s="201">
        <f>VLOOKUP(Table2[[#This Row],[Course Title]],'TSD-Data'!$A$1:$F$83,5,FALSE)</f>
        <v>3</v>
      </c>
      <c r="W269" s="201">
        <v>844</v>
      </c>
      <c r="X269" s="200">
        <f>Table2[[#This Row],[Quotas]]-Table2[[#This Row],[Open Quotas]]</f>
        <v>43</v>
      </c>
      <c r="Y269" s="200">
        <v>5</v>
      </c>
      <c r="Z269" s="201">
        <v>35</v>
      </c>
      <c r="AA269" s="201">
        <v>1</v>
      </c>
      <c r="AB269" s="200">
        <v>12</v>
      </c>
      <c r="AC269" s="200">
        <v>0</v>
      </c>
      <c r="AD269" s="200">
        <v>0</v>
      </c>
      <c r="AE269" s="200" t="s">
        <v>429</v>
      </c>
      <c r="AF269" s="495">
        <f ca="1">Table2[[#This Row],[End Date]]+2-TODAY()</f>
        <v>-149</v>
      </c>
      <c r="AG269" s="496">
        <f>IF(ISBLANK(Table2[[#This Row],[Roster Received by]]),1,0)</f>
        <v>0</v>
      </c>
      <c r="AH269" s="496">
        <f ca="1">IF(Table2[[#This Row],[Start Date]]&gt;TODAY(),1,)</f>
        <v>0</v>
      </c>
      <c r="AI269" s="496">
        <f>IF(ISBLANK(Table2[[#This Row],[Primary Instructor]]),0,1)</f>
        <v>1</v>
      </c>
      <c r="AJ269" s="496">
        <f>IF(ISBLANK(Table2[[#This Row],[Instructor 2]]),0,1)</f>
        <v>1</v>
      </c>
      <c r="AK269" s="496">
        <f>Table2[[#This Row],[Course Length (Hours)]]/(Table2[[#This Row],[1 Instructor]]+Table2[[#This Row],[2 Instructors]])</f>
        <v>12</v>
      </c>
      <c r="AL269" s="318">
        <v>2</v>
      </c>
      <c r="AM269" s="497">
        <v>2</v>
      </c>
      <c r="AN269" s="496" t="str">
        <f>VLOOKUP(Table2[[#This Row],[Course Title]],'TSD-Data'!$A$1:$G$83,7,FALSE)</f>
        <v>N3</v>
      </c>
      <c r="AO269" s="500">
        <f>Table2[[#This Row],[Quotas]]-Table2[[#This Row],[Graduates]]-Table2[[#This Row],[Fail]]</f>
        <v>9</v>
      </c>
    </row>
    <row r="270" spans="2:41" s="202" customFormat="1" ht="15" customHeight="1" x14ac:dyDescent="0.25">
      <c r="B270" s="530"/>
      <c r="C270" s="530" t="s">
        <v>70</v>
      </c>
      <c r="D270" s="200" t="str">
        <f>VLOOKUP(Table2[[#This Row],[Course Title]],'TSD-Data'!$A$1:$E$83,2,FALSE)</f>
        <v>A-493-0077</v>
      </c>
      <c r="E270" s="200" t="str">
        <f>VLOOKUP(Table2[[#This Row],[Course Title]],'TSD-Data'!$A$1:$E$83,3,FALSE)</f>
        <v>0381</v>
      </c>
      <c r="F270" s="530" t="s">
        <v>128</v>
      </c>
      <c r="G270" s="531">
        <v>46091</v>
      </c>
      <c r="H270" s="531">
        <v>46093</v>
      </c>
      <c r="I270" s="129" t="s">
        <v>42</v>
      </c>
      <c r="J270" s="532">
        <v>0.33333333333333331</v>
      </c>
      <c r="K270" s="532"/>
      <c r="L270" s="531"/>
      <c r="M270" s="531"/>
      <c r="N270" s="531"/>
      <c r="O270" s="531"/>
      <c r="P270" s="531"/>
      <c r="Q270" s="535" t="s">
        <v>48</v>
      </c>
      <c r="R270" s="535"/>
      <c r="S270" s="535"/>
      <c r="T270" s="200">
        <f>VLOOKUP(Table2[[#This Row],[Course Title]],'TSD-Data'!$A$1:$E$83,4,FALSE)</f>
        <v>25</v>
      </c>
      <c r="U270" s="200">
        <f>VLOOKUP(Table2[[#This Row],[Course Title]],'TSD-Data'!$A$1:$F$83,6,FALSE)</f>
        <v>24</v>
      </c>
      <c r="V270" s="201">
        <f>VLOOKUP(Table2[[#This Row],[Course Title]],'TSD-Data'!$A$1:$F$83,5,FALSE)</f>
        <v>3</v>
      </c>
      <c r="W270" s="201">
        <v>28</v>
      </c>
      <c r="X270" s="200">
        <f>Table2[[#This Row],[Quotas]]-Table2[[#This Row],[Open Quotas]]</f>
        <v>0</v>
      </c>
      <c r="Y270" s="200">
        <v>0</v>
      </c>
      <c r="Z270" s="201">
        <v>2</v>
      </c>
      <c r="AA270" s="201">
        <v>0</v>
      </c>
      <c r="AB270" s="200">
        <v>0</v>
      </c>
      <c r="AC270" s="200">
        <v>2</v>
      </c>
      <c r="AD270" s="200">
        <v>0</v>
      </c>
      <c r="AE270" s="200" t="s">
        <v>428</v>
      </c>
      <c r="AF270" s="495">
        <f ca="1">Table2[[#This Row],[End Date]]+2-TODAY()</f>
        <v>-149</v>
      </c>
      <c r="AG270" s="496">
        <f>IF(ISBLANK(Table2[[#This Row],[Roster Received by]]),1,0)</f>
        <v>0</v>
      </c>
      <c r="AH270" s="496">
        <f ca="1">IF(Table2[[#This Row],[Start Date]]&gt;TODAY(),1,)</f>
        <v>0</v>
      </c>
      <c r="AI270" s="496">
        <f>IF(ISBLANK(Table2[[#This Row],[Primary Instructor]]),0,1)</f>
        <v>1</v>
      </c>
      <c r="AJ270" s="496">
        <f>IF(ISBLANK(Table2[[#This Row],[Instructor 2]]),0,1)</f>
        <v>0</v>
      </c>
      <c r="AK270" s="496">
        <f>Table2[[#This Row],[Course Length (Hours)]]/(Table2[[#This Row],[1 Instructor]]+Table2[[#This Row],[2 Instructors]])</f>
        <v>24</v>
      </c>
      <c r="AL270" s="318">
        <v>25</v>
      </c>
      <c r="AM270" s="497">
        <v>2</v>
      </c>
      <c r="AN270" s="496" t="str">
        <f>VLOOKUP(Table2[[#This Row],[Course Title]],'TSD-Data'!$A$1:$G$83,7,FALSE)</f>
        <v>N4</v>
      </c>
      <c r="AO270" s="500">
        <f>Table2[[#This Row],[Quotas]]-Table2[[#This Row],[Graduates]]-Table2[[#This Row],[Fail]]</f>
        <v>23</v>
      </c>
    </row>
    <row r="271" spans="2:41" s="202" customFormat="1" ht="15" customHeight="1" x14ac:dyDescent="0.25">
      <c r="B271" s="530"/>
      <c r="C271" s="542" t="s">
        <v>391</v>
      </c>
      <c r="D271" s="200" t="str">
        <f>VLOOKUP(Table2[[#This Row],[Course Title]],'TSD-Data'!$A$1:$E$83,2,FALSE)</f>
        <v>A-493-0019</v>
      </c>
      <c r="E271" s="200">
        <f>VLOOKUP(Table2[[#This Row],[Course Title]],'TSD-Data'!$A$1:$E$83,3,FALSE)</f>
        <v>3882</v>
      </c>
      <c r="F271" s="530" t="s">
        <v>81</v>
      </c>
      <c r="G271" s="531">
        <v>46093</v>
      </c>
      <c r="H271" s="531">
        <v>46094</v>
      </c>
      <c r="I271" s="531" t="s">
        <v>42</v>
      </c>
      <c r="J271" s="532">
        <v>0.33333333333333331</v>
      </c>
      <c r="K271" s="532"/>
      <c r="L271" s="531"/>
      <c r="M271" s="531"/>
      <c r="N271" s="531"/>
      <c r="O271" s="531"/>
      <c r="P271" s="531"/>
      <c r="Q271" s="535" t="s">
        <v>67</v>
      </c>
      <c r="R271" s="535" t="s">
        <v>82</v>
      </c>
      <c r="S271" s="535"/>
      <c r="T271" s="200">
        <f>VLOOKUP(Table2[[#This Row],[Course Title]],'TSD-Data'!$A$1:$E$83,4,FALSE)</f>
        <v>25</v>
      </c>
      <c r="U271" s="200">
        <f>VLOOKUP(Table2[[#This Row],[Course Title]],'TSD-Data'!$A$1:$F$83,6,FALSE)</f>
        <v>16</v>
      </c>
      <c r="V271" s="201">
        <f>VLOOKUP(Table2[[#This Row],[Course Title]],'TSD-Data'!$A$1:$F$83,5,FALSE)</f>
        <v>2</v>
      </c>
      <c r="W271" s="201">
        <v>9</v>
      </c>
      <c r="X271" s="200">
        <f>Table2[[#This Row],[Quotas]]-Table2[[#This Row],[Open Quotas]]</f>
        <v>6</v>
      </c>
      <c r="Y271" s="200">
        <v>0</v>
      </c>
      <c r="Z271" s="201">
        <v>4</v>
      </c>
      <c r="AA271" s="201">
        <v>0</v>
      </c>
      <c r="AB271" s="200">
        <v>0</v>
      </c>
      <c r="AC271" s="200">
        <v>0</v>
      </c>
      <c r="AD271" s="200">
        <v>0</v>
      </c>
      <c r="AE271" s="200" t="s">
        <v>429</v>
      </c>
      <c r="AF271" s="495">
        <f ca="1">Table2[[#This Row],[End Date]]+2-TODAY()</f>
        <v>-148</v>
      </c>
      <c r="AG271" s="496">
        <f>IF(ISBLANK(Table2[[#This Row],[Roster Received by]]),1,0)</f>
        <v>0</v>
      </c>
      <c r="AH271" s="496">
        <f ca="1">IF(Table2[[#This Row],[Start Date]]&gt;TODAY(),1,)</f>
        <v>0</v>
      </c>
      <c r="AI271" s="496">
        <f>IF(ISBLANK(Table2[[#This Row],[Primary Instructor]]),0,1)</f>
        <v>1</v>
      </c>
      <c r="AJ271" s="496">
        <f>IF(ISBLANK(Table2[[#This Row],[Instructor 2]]),0,1)</f>
        <v>1</v>
      </c>
      <c r="AK271" s="496">
        <f>Table2[[#This Row],[Course Length (Hours)]]/(Table2[[#This Row],[1 Instructor]]+Table2[[#This Row],[2 Instructors]])</f>
        <v>8</v>
      </c>
      <c r="AL271" s="318">
        <v>19</v>
      </c>
      <c r="AM271" s="497">
        <v>2</v>
      </c>
      <c r="AN271" s="496" t="str">
        <f>VLOOKUP(Table2[[#This Row],[Course Title]],'TSD-Data'!$A$1:$G$83,7,FALSE)</f>
        <v>N3</v>
      </c>
      <c r="AO271" s="500">
        <f>Table2[[#This Row],[Quotas]]-Table2[[#This Row],[Graduates]]-Table2[[#This Row],[Fail]]</f>
        <v>21</v>
      </c>
    </row>
    <row r="272" spans="2:41" s="202" customFormat="1" ht="15" customHeight="1" x14ac:dyDescent="0.25">
      <c r="B272" s="530"/>
      <c r="C272" s="530" t="s">
        <v>84</v>
      </c>
      <c r="D272" s="200" t="str">
        <f>VLOOKUP(Table2[[#This Row],[Course Title]],'TSD-Data'!$A$1:$E$83,2,FALSE)</f>
        <v>A-493-0083</v>
      </c>
      <c r="E272" s="200" t="str">
        <f>VLOOKUP(Table2[[#This Row],[Course Title]],'TSD-Data'!$A$1:$E$83,3,FALSE)</f>
        <v>339E</v>
      </c>
      <c r="F272" s="530" t="s">
        <v>128</v>
      </c>
      <c r="G272" s="531">
        <v>46094</v>
      </c>
      <c r="H272" s="531">
        <v>46094</v>
      </c>
      <c r="I272" s="129" t="s">
        <v>42</v>
      </c>
      <c r="J272" s="532">
        <v>0.33333333333333331</v>
      </c>
      <c r="K272" s="532"/>
      <c r="L272" s="531"/>
      <c r="M272" s="531"/>
      <c r="N272" s="531"/>
      <c r="O272" s="531"/>
      <c r="P272" s="531"/>
      <c r="Q272" s="535" t="s">
        <v>48</v>
      </c>
      <c r="R272" s="535"/>
      <c r="S272" s="535"/>
      <c r="T272" s="200">
        <f>VLOOKUP(Table2[[#This Row],[Course Title]],'TSD-Data'!$A$1:$E$83,4,FALSE)</f>
        <v>30</v>
      </c>
      <c r="U272" s="200">
        <f>VLOOKUP(Table2[[#This Row],[Course Title]],'TSD-Data'!$A$1:$F$83,6,FALSE)</f>
        <v>8</v>
      </c>
      <c r="V272" s="201">
        <f>VLOOKUP(Table2[[#This Row],[Course Title]],'TSD-Data'!$A$1:$F$83,5,FALSE)</f>
        <v>1</v>
      </c>
      <c r="W272" s="201">
        <v>30</v>
      </c>
      <c r="X272" s="200">
        <f>Table2[[#This Row],[Quotas]]-Table2[[#This Row],[Open Quotas]]</f>
        <v>10</v>
      </c>
      <c r="Y272" s="200">
        <v>0</v>
      </c>
      <c r="Z272" s="201">
        <v>15</v>
      </c>
      <c r="AA272" s="201">
        <v>0</v>
      </c>
      <c r="AB272" s="200">
        <v>1</v>
      </c>
      <c r="AC272" s="200">
        <v>6</v>
      </c>
      <c r="AD272" s="200">
        <v>0</v>
      </c>
      <c r="AE272" s="200" t="s">
        <v>442</v>
      </c>
      <c r="AF272" s="495">
        <f ca="1">Table2[[#This Row],[End Date]]+2-TODAY()</f>
        <v>-148</v>
      </c>
      <c r="AG272" s="496">
        <f>IF(ISBLANK(Table2[[#This Row],[Roster Received by]]),1,0)</f>
        <v>0</v>
      </c>
      <c r="AH272" s="496">
        <f ca="1">IF(Table2[[#This Row],[Start Date]]&gt;TODAY(),1,)</f>
        <v>0</v>
      </c>
      <c r="AI272" s="496">
        <f>IF(ISBLANK(Table2[[#This Row],[Primary Instructor]]),0,1)</f>
        <v>1</v>
      </c>
      <c r="AJ272" s="496">
        <f>IF(ISBLANK(Table2[[#This Row],[Instructor 2]]),0,1)</f>
        <v>0</v>
      </c>
      <c r="AK272" s="496">
        <f>Table2[[#This Row],[Course Length (Hours)]]/(Table2[[#This Row],[1 Instructor]]+Table2[[#This Row],[2 Instructors]])</f>
        <v>8</v>
      </c>
      <c r="AL272" s="318">
        <v>20</v>
      </c>
      <c r="AM272" s="497">
        <v>2</v>
      </c>
      <c r="AN272" s="496" t="str">
        <f>VLOOKUP(Table2[[#This Row],[Course Title]],'TSD-Data'!$A$1:$G$83,7,FALSE)</f>
        <v>N4</v>
      </c>
      <c r="AO272" s="500">
        <f>Table2[[#This Row],[Quotas]]-Table2[[#This Row],[Graduates]]-Table2[[#This Row],[Fail]]</f>
        <v>15</v>
      </c>
    </row>
    <row r="273" spans="2:41" s="202" customFormat="1" ht="15" customHeight="1" x14ac:dyDescent="0.25">
      <c r="B273" s="530"/>
      <c r="C273" s="530" t="s">
        <v>196</v>
      </c>
      <c r="D273" s="200" t="str">
        <f>VLOOKUP(Table2[[#This Row],[Course Title]],'TSD-Data'!$A$1:$E$83,2,FALSE)</f>
        <v>A-4J-0022</v>
      </c>
      <c r="E273" s="200" t="str">
        <f>VLOOKUP(Table2[[#This Row],[Course Title]],'TSD-Data'!$A$1:$E$83,3,FALSE)</f>
        <v>09ER</v>
      </c>
      <c r="F273" s="530" t="s">
        <v>54</v>
      </c>
      <c r="G273" s="531">
        <v>46096</v>
      </c>
      <c r="H273" s="531">
        <v>46100</v>
      </c>
      <c r="I273" s="531" t="s">
        <v>42</v>
      </c>
      <c r="J273" s="532"/>
      <c r="K273" s="536">
        <v>0.79166666666666663</v>
      </c>
      <c r="L273" s="536">
        <v>0.66666666666666663</v>
      </c>
      <c r="M273" s="536">
        <v>8.3333333333333329E-2</v>
      </c>
      <c r="N273" s="536">
        <v>0</v>
      </c>
      <c r="O273" s="536">
        <v>0.54166666666666663</v>
      </c>
      <c r="P273" s="536">
        <v>0.33333333333333331</v>
      </c>
      <c r="Q273" s="535" t="s">
        <v>295</v>
      </c>
      <c r="R273" s="535"/>
      <c r="S273" s="535"/>
      <c r="T273" s="200">
        <f>VLOOKUP(Table2[[#This Row],[Course Title]],'TSD-Data'!$A$1:$E$83,4,FALSE)</f>
        <v>45</v>
      </c>
      <c r="U273" s="200">
        <f>VLOOKUP(Table2[[#This Row],[Course Title]],'TSD-Data'!$A$1:$F$83,6,FALSE)</f>
        <v>40</v>
      </c>
      <c r="V273" s="201">
        <f>VLOOKUP(Table2[[#This Row],[Course Title]],'TSD-Data'!$A$1:$F$83,5,FALSE)</f>
        <v>2</v>
      </c>
      <c r="W273" s="201">
        <v>63</v>
      </c>
      <c r="X273" s="200">
        <f>Table2[[#This Row],[Quotas]]-Table2[[#This Row],[Open Quotas]]</f>
        <v>15</v>
      </c>
      <c r="Y273" s="200">
        <v>0</v>
      </c>
      <c r="Z273" s="201">
        <v>9</v>
      </c>
      <c r="AA273" s="201">
        <v>1</v>
      </c>
      <c r="AB273" s="200">
        <v>8</v>
      </c>
      <c r="AC273" s="200">
        <v>1</v>
      </c>
      <c r="AD273" s="200">
        <v>0</v>
      </c>
      <c r="AE273" s="200" t="s">
        <v>428</v>
      </c>
      <c r="AF273" s="495">
        <f ca="1">Table2[[#This Row],[End Date]]+2-TODAY()</f>
        <v>-142</v>
      </c>
      <c r="AG273" s="496">
        <f>IF(ISBLANK(Table2[[#This Row],[Roster Received by]]),1,0)</f>
        <v>0</v>
      </c>
      <c r="AH273" s="496">
        <f ca="1">IF(Table2[[#This Row],[Start Date]]&gt;TODAY(),1,)</f>
        <v>0</v>
      </c>
      <c r="AI273" s="496">
        <f>IF(ISBLANK(Table2[[#This Row],[Primary Instructor]]),0,1)</f>
        <v>1</v>
      </c>
      <c r="AJ273" s="496">
        <f>IF(ISBLANK(Table2[[#This Row],[Instructor 2]]),0,1)</f>
        <v>0</v>
      </c>
      <c r="AK273" s="496">
        <f>Table2[[#This Row],[Course Length (Hours)]]/(Table2[[#This Row],[1 Instructor]]+Table2[[#This Row],[2 Instructors]])</f>
        <v>40</v>
      </c>
      <c r="AL273" s="318">
        <v>30</v>
      </c>
      <c r="AM273" s="497">
        <v>2</v>
      </c>
      <c r="AN273" s="496" t="str">
        <f>VLOOKUP(Table2[[#This Row],[Course Title]],'TSD-Data'!$A$1:$G$83,7,FALSE)</f>
        <v>N4</v>
      </c>
      <c r="AO273" s="500">
        <f>Table2[[#This Row],[Quotas]]-Table2[[#This Row],[Graduates]]-Table2[[#This Row],[Fail]]</f>
        <v>35</v>
      </c>
    </row>
    <row r="274" spans="2:41" s="202" customFormat="1" ht="15" customHeight="1" x14ac:dyDescent="0.25">
      <c r="B274" s="530"/>
      <c r="C274" s="557" t="s">
        <v>59</v>
      </c>
      <c r="D274" s="200" t="str">
        <f>VLOOKUP(Table2[[#This Row],[Course Title]],'TSD-Data'!$A$1:$E$83,2,FALSE)</f>
        <v>A-493-0070</v>
      </c>
      <c r="E274" s="200" t="str">
        <f>VLOOKUP(Table2[[#This Row],[Course Title]],'TSD-Data'!$A$1:$E$83,3,FALSE)</f>
        <v>450V</v>
      </c>
      <c r="F274" s="530" t="s">
        <v>81</v>
      </c>
      <c r="G274" s="531">
        <v>46097</v>
      </c>
      <c r="H274" s="531">
        <v>46097</v>
      </c>
      <c r="I274" s="531" t="s">
        <v>42</v>
      </c>
      <c r="J274" s="532">
        <v>0.33333333333333331</v>
      </c>
      <c r="K274" s="532"/>
      <c r="L274" s="531"/>
      <c r="M274" s="531"/>
      <c r="N274" s="531"/>
      <c r="O274" s="531"/>
      <c r="P274" s="531"/>
      <c r="Q274" s="535" t="s">
        <v>67</v>
      </c>
      <c r="R274" s="535" t="s">
        <v>82</v>
      </c>
      <c r="S274" s="535"/>
      <c r="T274" s="200">
        <f>VLOOKUP(Table2[[#This Row],[Course Title]],'TSD-Data'!$A$1:$E$83,4,FALSE)</f>
        <v>30</v>
      </c>
      <c r="U274" s="200">
        <f>VLOOKUP(Table2[[#This Row],[Course Title]],'TSD-Data'!$A$1:$F$83,6,FALSE)</f>
        <v>8</v>
      </c>
      <c r="V274" s="201">
        <f>VLOOKUP(Table2[[#This Row],[Course Title]],'TSD-Data'!$A$1:$F$83,5,FALSE)</f>
        <v>1</v>
      </c>
      <c r="W274" s="201">
        <v>13</v>
      </c>
      <c r="X274" s="200">
        <f>Table2[[#This Row],[Quotas]]-Table2[[#This Row],[Open Quotas]]</f>
        <v>2</v>
      </c>
      <c r="Y274" s="200">
        <v>0</v>
      </c>
      <c r="Z274" s="201">
        <v>4</v>
      </c>
      <c r="AA274" s="201">
        <v>0</v>
      </c>
      <c r="AB274" s="200">
        <v>0</v>
      </c>
      <c r="AC274" s="200">
        <v>2</v>
      </c>
      <c r="AD274" s="200">
        <v>0</v>
      </c>
      <c r="AE274" s="200" t="s">
        <v>429</v>
      </c>
      <c r="AF274" s="495">
        <f ca="1">Table2[[#This Row],[End Date]]+2-TODAY()</f>
        <v>-145</v>
      </c>
      <c r="AG274" s="496">
        <f>IF(ISBLANK(Table2[[#This Row],[Roster Received by]]),1,0)</f>
        <v>0</v>
      </c>
      <c r="AH274" s="496">
        <f ca="1">IF(Table2[[#This Row],[Start Date]]&gt;TODAY(),1,)</f>
        <v>0</v>
      </c>
      <c r="AI274" s="496">
        <f>IF(ISBLANK(Table2[[#This Row],[Primary Instructor]]),0,1)</f>
        <v>1</v>
      </c>
      <c r="AJ274" s="496">
        <f>IF(ISBLANK(Table2[[#This Row],[Instructor 2]]),0,1)</f>
        <v>1</v>
      </c>
      <c r="AK274" s="496">
        <f>Table2[[#This Row],[Course Length (Hours)]]/(Table2[[#This Row],[1 Instructor]]+Table2[[#This Row],[2 Instructors]])</f>
        <v>4</v>
      </c>
      <c r="AL274" s="318">
        <v>28</v>
      </c>
      <c r="AM274" s="497">
        <v>2</v>
      </c>
      <c r="AN274" s="496" t="str">
        <f>VLOOKUP(Table2[[#This Row],[Course Title]],'TSD-Data'!$A$1:$G$83,7,FALSE)</f>
        <v>N3</v>
      </c>
      <c r="AO274" s="500">
        <f>Table2[[#This Row],[Quotas]]-Table2[[#This Row],[Graduates]]-Table2[[#This Row],[Fail]]</f>
        <v>26</v>
      </c>
    </row>
    <row r="275" spans="2:41" s="202" customFormat="1" ht="15" customHeight="1" x14ac:dyDescent="0.25">
      <c r="B275" s="530"/>
      <c r="C275" s="530" t="s">
        <v>276</v>
      </c>
      <c r="D275" s="200" t="str">
        <f>VLOOKUP(Table2[[#This Row],[Course Title]],'TSD-Data'!$A$1:$E$83,2,FALSE)</f>
        <v>A-493-0103</v>
      </c>
      <c r="E275" s="200" t="str">
        <f>VLOOKUP(Table2[[#This Row],[Course Title]],'TSD-Data'!$A$1:$E$83,3,FALSE)</f>
        <v>12JY</v>
      </c>
      <c r="F275" s="530" t="s">
        <v>118</v>
      </c>
      <c r="G275" s="531">
        <v>46097</v>
      </c>
      <c r="H275" s="531">
        <v>46101</v>
      </c>
      <c r="I275" s="531" t="s">
        <v>42</v>
      </c>
      <c r="J275" s="532">
        <v>0.33333333333333331</v>
      </c>
      <c r="K275" s="532"/>
      <c r="L275" s="531"/>
      <c r="M275" s="531"/>
      <c r="N275" s="531"/>
      <c r="O275" s="531"/>
      <c r="P275" s="531"/>
      <c r="Q275" s="535" t="s">
        <v>280</v>
      </c>
      <c r="R275" s="535"/>
      <c r="S275" s="535"/>
      <c r="T275" s="200">
        <f>VLOOKUP(Table2[[#This Row],[Course Title]],'TSD-Data'!$A$1:$E$83,4,FALSE)</f>
        <v>25</v>
      </c>
      <c r="U275" s="200">
        <f>VLOOKUP(Table2[[#This Row],[Course Title]],'TSD-Data'!$A$1:$F$83,6,FALSE)</f>
        <v>40</v>
      </c>
      <c r="V275" s="201">
        <f>VLOOKUP(Table2[[#This Row],[Course Title]],'TSD-Data'!$A$1:$F$83,5,FALSE)</f>
        <v>5</v>
      </c>
      <c r="W275" s="201">
        <v>52</v>
      </c>
      <c r="X275" s="200">
        <f>Table2[[#This Row],[Quotas]]-Table2[[#This Row],[Open Quotas]]</f>
        <v>10</v>
      </c>
      <c r="Y275" s="200">
        <v>0</v>
      </c>
      <c r="Z275" s="201">
        <v>9</v>
      </c>
      <c r="AA275" s="201">
        <v>0</v>
      </c>
      <c r="AB275" s="200">
        <v>1</v>
      </c>
      <c r="AC275" s="200">
        <v>1</v>
      </c>
      <c r="AD275" s="200">
        <v>0</v>
      </c>
      <c r="AE275" s="200" t="s">
        <v>431</v>
      </c>
      <c r="AF275" s="495">
        <f ca="1">Table2[[#This Row],[End Date]]+2-TODAY()</f>
        <v>-141</v>
      </c>
      <c r="AG275" s="496">
        <f>IF(ISBLANK(Table2[[#This Row],[Roster Received by]]),1,0)</f>
        <v>0</v>
      </c>
      <c r="AH275" s="496">
        <f ca="1">IF(Table2[[#This Row],[Start Date]]&gt;TODAY(),1,)</f>
        <v>0</v>
      </c>
      <c r="AI275" s="496">
        <f>IF(ISBLANK(Table2[[#This Row],[Primary Instructor]]),0,1)</f>
        <v>1</v>
      </c>
      <c r="AJ275" s="496">
        <f>IF(ISBLANK(Table2[[#This Row],[Instructor 2]]),0,1)</f>
        <v>0</v>
      </c>
      <c r="AK275" s="496">
        <f>Table2[[#This Row],[Course Length (Hours)]]/(Table2[[#This Row],[1 Instructor]]+Table2[[#This Row],[2 Instructors]])</f>
        <v>40</v>
      </c>
      <c r="AL275" s="318">
        <v>15</v>
      </c>
      <c r="AM275" s="497">
        <v>2</v>
      </c>
      <c r="AN275" s="496" t="str">
        <f>VLOOKUP(Table2[[#This Row],[Course Title]],'TSD-Data'!$A$1:$G$83,7,FALSE)</f>
        <v>N5</v>
      </c>
      <c r="AO275" s="500">
        <f>Table2[[#This Row],[Quotas]]-Table2[[#This Row],[Graduates]]-Table2[[#This Row],[Fail]]</f>
        <v>16</v>
      </c>
    </row>
    <row r="276" spans="2:41" s="202" customFormat="1" ht="15" customHeight="1" x14ac:dyDescent="0.25">
      <c r="B276" s="530"/>
      <c r="C276" s="530" t="s">
        <v>213</v>
      </c>
      <c r="D276" s="200" t="str">
        <f>VLOOKUP(Table2[[#This Row],[Course Title]],'TSD-Data'!$A$1:$E$83,2,FALSE)</f>
        <v>A-322-2604</v>
      </c>
      <c r="E276" s="200" t="str">
        <f>VLOOKUP(Table2[[#This Row],[Course Title]],'TSD-Data'!$A$1:$E$83,3,FALSE)</f>
        <v>10ZZ</v>
      </c>
      <c r="F276" s="530" t="s">
        <v>54</v>
      </c>
      <c r="G276" s="531">
        <v>46097</v>
      </c>
      <c r="H276" s="531">
        <v>46099</v>
      </c>
      <c r="I276" s="531" t="s">
        <v>42</v>
      </c>
      <c r="J276" s="532"/>
      <c r="K276" s="558">
        <v>0.5</v>
      </c>
      <c r="L276" s="536">
        <v>0.375</v>
      </c>
      <c r="M276" s="536">
        <v>0.79166666666666663</v>
      </c>
      <c r="N276" s="536">
        <v>0.75</v>
      </c>
      <c r="O276" s="536">
        <v>0.25</v>
      </c>
      <c r="P276" s="536">
        <v>4.1666666666666664E-2</v>
      </c>
      <c r="Q276" s="535" t="s">
        <v>79</v>
      </c>
      <c r="R276" s="535"/>
      <c r="S276" s="535"/>
      <c r="T276" s="200">
        <f>VLOOKUP(Table2[[#This Row],[Course Title]],'TSD-Data'!$A$1:$E$83,4,FALSE)</f>
        <v>45</v>
      </c>
      <c r="U276" s="200">
        <f>VLOOKUP(Table2[[#This Row],[Course Title]],'TSD-Data'!$A$1:$F$83,6,FALSE)</f>
        <v>24</v>
      </c>
      <c r="V276" s="201">
        <f>VLOOKUP(Table2[[#This Row],[Course Title]],'TSD-Data'!$A$1:$F$83,5,FALSE)</f>
        <v>3</v>
      </c>
      <c r="W276" s="201">
        <v>663</v>
      </c>
      <c r="X276" s="200">
        <f>Table2[[#This Row],[Quotas]]-Table2[[#This Row],[Open Quotas]]</f>
        <v>45</v>
      </c>
      <c r="Y276" s="200">
        <v>5</v>
      </c>
      <c r="Z276" s="201">
        <v>36</v>
      </c>
      <c r="AA276" s="201">
        <v>2</v>
      </c>
      <c r="AB276" s="200">
        <v>9</v>
      </c>
      <c r="AC276" s="200">
        <v>2</v>
      </c>
      <c r="AD276" s="200">
        <v>0</v>
      </c>
      <c r="AE276" s="200" t="s">
        <v>431</v>
      </c>
      <c r="AF276" s="495">
        <f ca="1">Table2[[#This Row],[End Date]]+2-TODAY()</f>
        <v>-143</v>
      </c>
      <c r="AG276" s="496">
        <f>IF(ISBLANK(Table2[[#This Row],[Roster Received by]]),1,0)</f>
        <v>0</v>
      </c>
      <c r="AH276" s="496">
        <f ca="1">IF(Table2[[#This Row],[Start Date]]&gt;TODAY(),1,)</f>
        <v>0</v>
      </c>
      <c r="AI276" s="496">
        <f>IF(ISBLANK(Table2[[#This Row],[Primary Instructor]]),0,1)</f>
        <v>1</v>
      </c>
      <c r="AJ276" s="496">
        <f>IF(ISBLANK(Table2[[#This Row],[Instructor 2]]),0,1)</f>
        <v>0</v>
      </c>
      <c r="AK276" s="496">
        <f>Table2[[#This Row],[Course Length (Hours)]]/(Table2[[#This Row],[1 Instructor]]+Table2[[#This Row],[2 Instructors]])</f>
        <v>24</v>
      </c>
      <c r="AL276" s="318">
        <v>0</v>
      </c>
      <c r="AM276" s="497">
        <v>2</v>
      </c>
      <c r="AN276" s="496" t="str">
        <f>VLOOKUP(Table2[[#This Row],[Course Title]],'TSD-Data'!$A$1:$G$83,7,FALSE)</f>
        <v>N8</v>
      </c>
      <c r="AO276" s="500">
        <f>Table2[[#This Row],[Quotas]]-Table2[[#This Row],[Graduates]]-Table2[[#This Row],[Fail]]</f>
        <v>7</v>
      </c>
    </row>
    <row r="277" spans="2:41" s="202" customFormat="1" ht="15" customHeight="1" x14ac:dyDescent="0.25">
      <c r="B277" s="530" t="s">
        <v>460</v>
      </c>
      <c r="C277" s="530" t="s">
        <v>45</v>
      </c>
      <c r="D277" s="200" t="str">
        <f>VLOOKUP(Table2[[#This Row],[Course Title]],'TSD-Data'!$A$1:$E$83,2,FALSE)</f>
        <v>A-493-0013</v>
      </c>
      <c r="E277" s="200">
        <f>VLOOKUP(Table2[[#This Row],[Course Title]],'TSD-Data'!$A$1:$E$83,3,FALSE)</f>
        <v>3683</v>
      </c>
      <c r="F277" s="530" t="s">
        <v>300</v>
      </c>
      <c r="G277" s="531">
        <v>46097</v>
      </c>
      <c r="H277" s="531">
        <v>46099</v>
      </c>
      <c r="I277" s="129" t="s">
        <v>42</v>
      </c>
      <c r="J277" s="532">
        <v>0.33333333333333331</v>
      </c>
      <c r="K277" s="532"/>
      <c r="L277" s="531"/>
      <c r="M277" s="531"/>
      <c r="N277" s="531"/>
      <c r="O277" s="531"/>
      <c r="P277" s="531"/>
      <c r="Q277" s="535" t="s">
        <v>439</v>
      </c>
      <c r="R277" s="535"/>
      <c r="S277" s="535"/>
      <c r="T277" s="200">
        <f>VLOOKUP(Table2[[#This Row],[Course Title]],'TSD-Data'!$A$1:$E$83,4,FALSE)</f>
        <v>40</v>
      </c>
      <c r="U277" s="200">
        <f>VLOOKUP(Table2[[#This Row],[Course Title]],'TSD-Data'!$A$1:$F$83,6,FALSE)</f>
        <v>24</v>
      </c>
      <c r="V277" s="201">
        <f>VLOOKUP(Table2[[#This Row],[Course Title]],'TSD-Data'!$A$1:$F$83,5,FALSE)</f>
        <v>3</v>
      </c>
      <c r="W277" s="201">
        <v>72</v>
      </c>
      <c r="X277" s="200">
        <f>Table2[[#This Row],[Quotas]]-Table2[[#This Row],[Open Quotas]]</f>
        <v>18</v>
      </c>
      <c r="Y277" s="200">
        <v>0</v>
      </c>
      <c r="Z277" s="201">
        <v>39</v>
      </c>
      <c r="AA277" s="201">
        <v>0</v>
      </c>
      <c r="AB277" s="200">
        <v>3</v>
      </c>
      <c r="AC277" s="200">
        <v>25</v>
      </c>
      <c r="AD277" s="200">
        <v>0</v>
      </c>
      <c r="AE277" s="200" t="s">
        <v>442</v>
      </c>
      <c r="AF277" s="495">
        <f ca="1">Table2[[#This Row],[End Date]]+2-TODAY()</f>
        <v>-143</v>
      </c>
      <c r="AG277" s="496">
        <f>IF(ISBLANK(Table2[[#This Row],[Roster Received by]]),1,0)</f>
        <v>0</v>
      </c>
      <c r="AH277" s="496">
        <f ca="1">IF(Table2[[#This Row],[Start Date]]&gt;TODAY(),1,)</f>
        <v>0</v>
      </c>
      <c r="AI277" s="496">
        <f>IF(ISBLANK(Table2[[#This Row],[Primary Instructor]]),0,1)</f>
        <v>1</v>
      </c>
      <c r="AJ277" s="496">
        <f>IF(ISBLANK(Table2[[#This Row],[Instructor 2]]),0,1)</f>
        <v>0</v>
      </c>
      <c r="AK277" s="496">
        <f>Table2[[#This Row],[Course Length (Hours)]]/(Table2[[#This Row],[1 Instructor]]+Table2[[#This Row],[2 Instructors]])</f>
        <v>24</v>
      </c>
      <c r="AL277" s="318">
        <v>22</v>
      </c>
      <c r="AM277" s="497">
        <v>2</v>
      </c>
      <c r="AN277" s="496" t="str">
        <f>VLOOKUP(Table2[[#This Row],[Course Title]],'TSD-Data'!$A$1:$G$83,7,FALSE)</f>
        <v>N4</v>
      </c>
      <c r="AO277" s="500">
        <f>Table2[[#This Row],[Quotas]]-Table2[[#This Row],[Graduates]]-Table2[[#This Row],[Fail]]</f>
        <v>1</v>
      </c>
    </row>
    <row r="278" spans="2:41" ht="15" customHeight="1" x14ac:dyDescent="0.25">
      <c r="B278" s="530"/>
      <c r="C278" s="530" t="s">
        <v>70</v>
      </c>
      <c r="D278" s="200" t="str">
        <f>VLOOKUP(Table2[[#This Row],[Course Title]],'TSD-Data'!$A$1:$E$83,2,FALSE)</f>
        <v>A-493-0077</v>
      </c>
      <c r="E278" s="200" t="str">
        <f>VLOOKUP(Table2[[#This Row],[Course Title]],'TSD-Data'!$A$1:$E$83,3,FALSE)</f>
        <v>0381</v>
      </c>
      <c r="F278" s="530" t="s">
        <v>129</v>
      </c>
      <c r="G278" s="531">
        <v>46097</v>
      </c>
      <c r="H278" s="531">
        <v>46099</v>
      </c>
      <c r="I278" s="531" t="s">
        <v>42</v>
      </c>
      <c r="J278" s="532">
        <v>0.33333333333333331</v>
      </c>
      <c r="K278" s="532"/>
      <c r="L278" s="531"/>
      <c r="M278" s="531"/>
      <c r="N278" s="531"/>
      <c r="O278" s="531"/>
      <c r="P278" s="531"/>
      <c r="Q278" s="535" t="s">
        <v>48</v>
      </c>
      <c r="R278" s="535"/>
      <c r="S278" s="535"/>
      <c r="T278" s="200">
        <f>VLOOKUP(Table2[[#This Row],[Course Title]],'TSD-Data'!$A$1:$E$83,4,FALSE)</f>
        <v>25</v>
      </c>
      <c r="U278" s="200">
        <f>VLOOKUP(Table2[[#This Row],[Course Title]],'TSD-Data'!$A$1:$F$83,6,FALSE)</f>
        <v>24</v>
      </c>
      <c r="V278" s="201">
        <f>VLOOKUP(Table2[[#This Row],[Course Title]],'TSD-Data'!$A$1:$F$83,5,FALSE)</f>
        <v>3</v>
      </c>
      <c r="W278" s="201">
        <v>28</v>
      </c>
      <c r="X278" s="200">
        <f>Table2[[#This Row],[Quotas]]-Table2[[#This Row],[Open Quotas]]</f>
        <v>2</v>
      </c>
      <c r="Y278" s="200">
        <v>0</v>
      </c>
      <c r="Z278" s="201">
        <v>2</v>
      </c>
      <c r="AA278" s="201">
        <v>0</v>
      </c>
      <c r="AB278" s="200">
        <v>0</v>
      </c>
      <c r="AC278" s="200">
        <v>0</v>
      </c>
      <c r="AD278" s="200">
        <v>0</v>
      </c>
      <c r="AE278" s="200" t="s">
        <v>442</v>
      </c>
      <c r="AF278" s="495">
        <f ca="1">Table2[[#This Row],[End Date]]+2-TODAY()</f>
        <v>-143</v>
      </c>
      <c r="AG278" s="496">
        <f>IF(ISBLANK(Table2[[#This Row],[Roster Received by]]),1,0)</f>
        <v>0</v>
      </c>
      <c r="AH278" s="496">
        <f ca="1">IF(Table2[[#This Row],[Start Date]]&gt;TODAY(),1,)</f>
        <v>0</v>
      </c>
      <c r="AI278" s="496">
        <f>IF(ISBLANK(Table2[[#This Row],[Primary Instructor]]),0,1)</f>
        <v>1</v>
      </c>
      <c r="AJ278" s="496">
        <f>IF(ISBLANK(Table2[[#This Row],[Instructor 2]]),0,1)</f>
        <v>0</v>
      </c>
      <c r="AK278" s="496">
        <f>Table2[[#This Row],[Course Length (Hours)]]/(Table2[[#This Row],[1 Instructor]]+Table2[[#This Row],[2 Instructors]])</f>
        <v>24</v>
      </c>
      <c r="AL278" s="318">
        <v>23</v>
      </c>
      <c r="AM278" s="497">
        <v>2</v>
      </c>
      <c r="AN278" s="496" t="str">
        <f>VLOOKUP(Table2[[#This Row],[Course Title]],'TSD-Data'!$A$1:$G$83,7,FALSE)</f>
        <v>N4</v>
      </c>
      <c r="AO278" s="500">
        <f>Table2[[#This Row],[Quotas]]-Table2[[#This Row],[Graduates]]-Table2[[#This Row],[Fail]]</f>
        <v>23</v>
      </c>
    </row>
    <row r="279" spans="2:41" ht="15" customHeight="1" x14ac:dyDescent="0.25">
      <c r="B279" s="530"/>
      <c r="C279" s="530" t="s">
        <v>85</v>
      </c>
      <c r="D279" s="200" t="str">
        <f>VLOOKUP(Table2[[#This Row],[Course Title]],'TSD-Data'!$A$1:$E$83,2,FALSE)</f>
        <v>A-493-2017</v>
      </c>
      <c r="E279" s="200" t="str">
        <f>VLOOKUP(Table2[[#This Row],[Course Title]],'TSD-Data'!$A$1:$E$83,3,FALSE)</f>
        <v>12x3</v>
      </c>
      <c r="F279" s="530" t="s">
        <v>52</v>
      </c>
      <c r="G279" s="531">
        <v>46097</v>
      </c>
      <c r="H279" s="531">
        <v>46101</v>
      </c>
      <c r="I279" s="531" t="s">
        <v>42</v>
      </c>
      <c r="J279" s="532">
        <v>0.33333333333333331</v>
      </c>
      <c r="K279" s="532"/>
      <c r="L279" s="531"/>
      <c r="M279" s="531"/>
      <c r="N279" s="531"/>
      <c r="O279" s="531"/>
      <c r="P279" s="531"/>
      <c r="Q279" s="535" t="s">
        <v>48</v>
      </c>
      <c r="R279" s="535"/>
      <c r="S279" s="535"/>
      <c r="T279" s="200">
        <f>VLOOKUP(Table2[[#This Row],[Course Title]],'TSD-Data'!$A$1:$E$83,4,FALSE)</f>
        <v>25</v>
      </c>
      <c r="U279" s="200">
        <f>VLOOKUP(Table2[[#This Row],[Course Title]],'TSD-Data'!$A$1:$F$83,6,FALSE)</f>
        <v>40</v>
      </c>
      <c r="V279" s="201">
        <f>VLOOKUP(Table2[[#This Row],[Course Title]],'TSD-Data'!$A$1:$F$83,5,FALSE)</f>
        <v>5</v>
      </c>
      <c r="W279" s="201">
        <v>36</v>
      </c>
      <c r="X279" s="200">
        <f>Table2[[#This Row],[Quotas]]-Table2[[#This Row],[Open Quotas]]</f>
        <v>12</v>
      </c>
      <c r="Y279" s="200">
        <v>0</v>
      </c>
      <c r="Z279" s="201">
        <v>11</v>
      </c>
      <c r="AA279" s="201">
        <v>0</v>
      </c>
      <c r="AB279" s="200">
        <v>3</v>
      </c>
      <c r="AC279" s="200">
        <v>2</v>
      </c>
      <c r="AD279" s="200">
        <v>0</v>
      </c>
      <c r="AE279" s="200" t="s">
        <v>428</v>
      </c>
      <c r="AF279" s="495">
        <f ca="1">Table2[[#This Row],[End Date]]+2-TODAY()</f>
        <v>-141</v>
      </c>
      <c r="AG279" s="496">
        <f>IF(ISBLANK(Table2[[#This Row],[Roster Received by]]),1,0)</f>
        <v>0</v>
      </c>
      <c r="AH279" s="496">
        <f ca="1">IF(Table2[[#This Row],[Start Date]]&gt;TODAY(),1,)</f>
        <v>0</v>
      </c>
      <c r="AI279" s="496">
        <f>IF(ISBLANK(Table2[[#This Row],[Primary Instructor]]),0,1)</f>
        <v>1</v>
      </c>
      <c r="AJ279" s="496">
        <f>IF(ISBLANK(Table2[[#This Row],[Instructor 2]]),0,1)</f>
        <v>0</v>
      </c>
      <c r="AK279" s="496">
        <f>Table2[[#This Row],[Course Length (Hours)]]/(Table2[[#This Row],[1 Instructor]]+Table2[[#This Row],[2 Instructors]])</f>
        <v>40</v>
      </c>
      <c r="AL279" s="318">
        <v>13</v>
      </c>
      <c r="AM279" s="497">
        <v>2</v>
      </c>
      <c r="AN279" s="496" t="str">
        <f>VLOOKUP(Table2[[#This Row],[Course Title]],'TSD-Data'!$A$1:$G$83,7,FALSE)</f>
        <v>N4</v>
      </c>
      <c r="AO279" s="500">
        <f>Table2[[#This Row],[Quotas]]-Table2[[#This Row],[Graduates]]-Table2[[#This Row],[Fail]]</f>
        <v>14</v>
      </c>
    </row>
    <row r="280" spans="2:41" s="202" customFormat="1" ht="15" customHeight="1" x14ac:dyDescent="0.25">
      <c r="B280" s="530"/>
      <c r="C280" s="557" t="s">
        <v>63</v>
      </c>
      <c r="D280" s="200" t="str">
        <f>VLOOKUP(Table2[[#This Row],[Course Title]],'TSD-Data'!$A$1:$E$83,2,FALSE)</f>
        <v>A-493-0015</v>
      </c>
      <c r="E280" s="200">
        <f>VLOOKUP(Table2[[#This Row],[Course Title]],'TSD-Data'!$A$1:$E$83,3,FALSE)</f>
        <v>3879</v>
      </c>
      <c r="F280" s="530" t="s">
        <v>81</v>
      </c>
      <c r="G280" s="531">
        <v>46098</v>
      </c>
      <c r="H280" s="531">
        <v>46098</v>
      </c>
      <c r="I280" s="531" t="s">
        <v>42</v>
      </c>
      <c r="J280" s="532">
        <v>0.33333333333333331</v>
      </c>
      <c r="K280" s="545"/>
      <c r="L280" s="531"/>
      <c r="M280" s="531"/>
      <c r="N280" s="531"/>
      <c r="O280" s="531"/>
      <c r="P280" s="531"/>
      <c r="Q280" s="535" t="s">
        <v>67</v>
      </c>
      <c r="R280" s="535" t="s">
        <v>82</v>
      </c>
      <c r="S280" s="535"/>
      <c r="T280" s="200">
        <f>VLOOKUP(Table2[[#This Row],[Course Title]],'TSD-Data'!$A$1:$E$83,4,FALSE)</f>
        <v>30</v>
      </c>
      <c r="U280" s="200">
        <f>VLOOKUP(Table2[[#This Row],[Course Title]],'TSD-Data'!$A$1:$F$83,6,FALSE)</f>
        <v>4</v>
      </c>
      <c r="V280" s="201">
        <f>VLOOKUP(Table2[[#This Row],[Course Title]],'TSD-Data'!$A$1:$F$83,5,FALSE)</f>
        <v>0.5</v>
      </c>
      <c r="W280" s="201">
        <v>33</v>
      </c>
      <c r="X280" s="200">
        <f>Table2[[#This Row],[Quotas]]-Table2[[#This Row],[Open Quotas]]</f>
        <v>20</v>
      </c>
      <c r="Y280" s="200">
        <v>0</v>
      </c>
      <c r="Z280" s="201">
        <v>13</v>
      </c>
      <c r="AA280" s="201">
        <v>0</v>
      </c>
      <c r="AB280" s="200">
        <v>1</v>
      </c>
      <c r="AC280" s="200">
        <v>2</v>
      </c>
      <c r="AD280" s="200">
        <v>0</v>
      </c>
      <c r="AE280" s="200" t="s">
        <v>429</v>
      </c>
      <c r="AF280" s="495">
        <f ca="1">Table2[[#This Row],[End Date]]+2-TODAY()</f>
        <v>-144</v>
      </c>
      <c r="AG280" s="496">
        <f>IF(ISBLANK(Table2[[#This Row],[Roster Received by]]),1,0)</f>
        <v>0</v>
      </c>
      <c r="AH280" s="496">
        <f ca="1">IF(Table2[[#This Row],[Start Date]]&gt;TODAY(),1,)</f>
        <v>0</v>
      </c>
      <c r="AI280" s="496">
        <f>IF(ISBLANK(Table2[[#This Row],[Primary Instructor]]),0,1)</f>
        <v>1</v>
      </c>
      <c r="AJ280" s="496">
        <f>IF(ISBLANK(Table2[[#This Row],[Instructor 2]]),0,1)</f>
        <v>1</v>
      </c>
      <c r="AK280" s="496">
        <f>Table2[[#This Row],[Course Length (Hours)]]/(Table2[[#This Row],[1 Instructor]]+Table2[[#This Row],[2 Instructors]])</f>
        <v>2</v>
      </c>
      <c r="AL280" s="318">
        <v>10</v>
      </c>
      <c r="AM280" s="497">
        <v>2</v>
      </c>
      <c r="AN280" s="496" t="str">
        <f>VLOOKUP(Table2[[#This Row],[Course Title]],'TSD-Data'!$A$1:$G$83,7,FALSE)</f>
        <v>N3</v>
      </c>
      <c r="AO280" s="500">
        <f>Table2[[#This Row],[Quotas]]-Table2[[#This Row],[Graduates]]-Table2[[#This Row],[Fail]]</f>
        <v>17</v>
      </c>
    </row>
    <row r="281" spans="2:41" s="202" customFormat="1" ht="15" customHeight="1" x14ac:dyDescent="0.25">
      <c r="B281" s="530"/>
      <c r="C281" s="557" t="s">
        <v>64</v>
      </c>
      <c r="D281" s="200" t="str">
        <f>VLOOKUP(Table2[[#This Row],[Course Title]],'TSD-Data'!$A$1:$E$83,2,FALSE)</f>
        <v>A-493-0020</v>
      </c>
      <c r="E281" s="200">
        <f>VLOOKUP(Table2[[#This Row],[Course Title]],'TSD-Data'!$A$1:$E$83,3,FALSE)</f>
        <v>3888</v>
      </c>
      <c r="F281" s="530" t="s">
        <v>81</v>
      </c>
      <c r="G281" s="531">
        <v>46098</v>
      </c>
      <c r="H281" s="531">
        <v>46098</v>
      </c>
      <c r="I281" s="531" t="s">
        <v>42</v>
      </c>
      <c r="J281" s="532">
        <v>1300.5</v>
      </c>
      <c r="K281" s="532"/>
      <c r="L281" s="531"/>
      <c r="M281" s="531"/>
      <c r="N281" s="531"/>
      <c r="O281" s="531"/>
      <c r="P281" s="531"/>
      <c r="Q281" s="535" t="s">
        <v>67</v>
      </c>
      <c r="R281" s="535" t="s">
        <v>82</v>
      </c>
      <c r="S281" s="535"/>
      <c r="T281" s="200">
        <f>VLOOKUP(Table2[[#This Row],[Course Title]],'TSD-Data'!$A$1:$E$83,4,FALSE)</f>
        <v>30</v>
      </c>
      <c r="U281" s="200">
        <f>VLOOKUP(Table2[[#This Row],[Course Title]],'TSD-Data'!$A$1:$F$83,6,FALSE)</f>
        <v>4</v>
      </c>
      <c r="V281" s="201">
        <f>VLOOKUP(Table2[[#This Row],[Course Title]],'TSD-Data'!$A$1:$F$83,5,FALSE)</f>
        <v>0.5</v>
      </c>
      <c r="W281" s="201">
        <v>36</v>
      </c>
      <c r="X281" s="200">
        <f>Table2[[#This Row],[Quotas]]-Table2[[#This Row],[Open Quotas]]</f>
        <v>7</v>
      </c>
      <c r="Y281" s="200">
        <v>0</v>
      </c>
      <c r="Z281" s="201">
        <v>7</v>
      </c>
      <c r="AA281" s="201">
        <v>0</v>
      </c>
      <c r="AB281" s="200">
        <v>0</v>
      </c>
      <c r="AC281" s="200">
        <v>1</v>
      </c>
      <c r="AD281" s="200">
        <v>0</v>
      </c>
      <c r="AE281" s="200" t="s">
        <v>429</v>
      </c>
      <c r="AF281" s="495">
        <f ca="1">Table2[[#This Row],[End Date]]+2-TODAY()</f>
        <v>-144</v>
      </c>
      <c r="AG281" s="496">
        <f>IF(ISBLANK(Table2[[#This Row],[Roster Received by]]),1,0)</f>
        <v>0</v>
      </c>
      <c r="AH281" s="496">
        <f ca="1">IF(Table2[[#This Row],[Start Date]]&gt;TODAY(),1,)</f>
        <v>0</v>
      </c>
      <c r="AI281" s="496">
        <f>IF(ISBLANK(Table2[[#This Row],[Primary Instructor]]),0,1)</f>
        <v>1</v>
      </c>
      <c r="AJ281" s="496">
        <f>IF(ISBLANK(Table2[[#This Row],[Instructor 2]]),0,1)</f>
        <v>1</v>
      </c>
      <c r="AK281" s="496">
        <f>Table2[[#This Row],[Course Length (Hours)]]/(Table2[[#This Row],[1 Instructor]]+Table2[[#This Row],[2 Instructors]])</f>
        <v>2</v>
      </c>
      <c r="AL281" s="318">
        <v>23</v>
      </c>
      <c r="AM281" s="497">
        <v>2</v>
      </c>
      <c r="AN281" s="496" t="str">
        <f>VLOOKUP(Table2[[#This Row],[Course Title]],'TSD-Data'!$A$1:$G$83,7,FALSE)</f>
        <v>N3</v>
      </c>
      <c r="AO281" s="500">
        <f>Table2[[#This Row],[Quotas]]-Table2[[#This Row],[Graduates]]-Table2[[#This Row],[Fail]]</f>
        <v>23</v>
      </c>
    </row>
    <row r="282" spans="2:41" s="202" customFormat="1" ht="15" customHeight="1" x14ac:dyDescent="0.25">
      <c r="B282" s="530"/>
      <c r="C282" s="530" t="s">
        <v>84</v>
      </c>
      <c r="D282" s="200" t="str">
        <f>VLOOKUP(Table2[[#This Row],[Course Title]],'TSD-Data'!$A$1:$E$83,2,FALSE)</f>
        <v>A-493-0083</v>
      </c>
      <c r="E282" s="200" t="str">
        <f>VLOOKUP(Table2[[#This Row],[Course Title]],'TSD-Data'!$A$1:$E$83,3,FALSE)</f>
        <v>339E</v>
      </c>
      <c r="F282" s="530" t="s">
        <v>129</v>
      </c>
      <c r="G282" s="531">
        <v>46100</v>
      </c>
      <c r="H282" s="531">
        <v>46100</v>
      </c>
      <c r="I282" s="129" t="s">
        <v>42</v>
      </c>
      <c r="J282" s="532">
        <v>0.33333333333333331</v>
      </c>
      <c r="K282" s="532"/>
      <c r="L282" s="531"/>
      <c r="M282" s="531"/>
      <c r="N282" s="531"/>
      <c r="O282" s="531"/>
      <c r="P282" s="531"/>
      <c r="Q282" s="535" t="s">
        <v>48</v>
      </c>
      <c r="R282" s="535"/>
      <c r="S282" s="535"/>
      <c r="T282" s="200">
        <f>VLOOKUP(Table2[[#This Row],[Course Title]],'TSD-Data'!$A$1:$E$83,4,FALSE)</f>
        <v>30</v>
      </c>
      <c r="U282" s="200">
        <f>VLOOKUP(Table2[[#This Row],[Course Title]],'TSD-Data'!$A$1:$F$83,6,FALSE)</f>
        <v>8</v>
      </c>
      <c r="V282" s="201">
        <f>VLOOKUP(Table2[[#This Row],[Course Title]],'TSD-Data'!$A$1:$F$83,5,FALSE)</f>
        <v>1</v>
      </c>
      <c r="W282" s="201">
        <v>30</v>
      </c>
      <c r="X282" s="200">
        <f>Table2[[#This Row],[Quotas]]-Table2[[#This Row],[Open Quotas]]</f>
        <v>11</v>
      </c>
      <c r="Y282" s="200">
        <v>0</v>
      </c>
      <c r="Z282" s="201">
        <v>10</v>
      </c>
      <c r="AA282" s="201">
        <v>0</v>
      </c>
      <c r="AB282" s="200">
        <v>1</v>
      </c>
      <c r="AC282" s="200">
        <v>0</v>
      </c>
      <c r="AD282" s="200">
        <v>0</v>
      </c>
      <c r="AE282" s="200" t="s">
        <v>428</v>
      </c>
      <c r="AF282" s="495">
        <f ca="1">Table2[[#This Row],[End Date]]+2-TODAY()</f>
        <v>-142</v>
      </c>
      <c r="AG282" s="496">
        <f>IF(ISBLANK(Table2[[#This Row],[Roster Received by]]),1,0)</f>
        <v>0</v>
      </c>
      <c r="AH282" s="496">
        <f ca="1">IF(Table2[[#This Row],[Start Date]]&gt;TODAY(),1,)</f>
        <v>0</v>
      </c>
      <c r="AI282" s="496">
        <f>IF(ISBLANK(Table2[[#This Row],[Primary Instructor]]),0,1)</f>
        <v>1</v>
      </c>
      <c r="AJ282" s="496">
        <f>IF(ISBLANK(Table2[[#This Row],[Instructor 2]]),0,1)</f>
        <v>0</v>
      </c>
      <c r="AK282" s="496">
        <f>Table2[[#This Row],[Course Length (Hours)]]/(Table2[[#This Row],[1 Instructor]]+Table2[[#This Row],[2 Instructors]])</f>
        <v>8</v>
      </c>
      <c r="AL282" s="318">
        <v>19</v>
      </c>
      <c r="AM282" s="497">
        <v>2</v>
      </c>
      <c r="AN282" s="496" t="str">
        <f>VLOOKUP(Table2[[#This Row],[Course Title]],'TSD-Data'!$A$1:$G$83,7,FALSE)</f>
        <v>N4</v>
      </c>
      <c r="AO282" s="500">
        <f>Table2[[#This Row],[Quotas]]-Table2[[#This Row],[Graduates]]-Table2[[#This Row],[Fail]]</f>
        <v>20</v>
      </c>
    </row>
    <row r="283" spans="2:41" s="202" customFormat="1" ht="15" customHeight="1" x14ac:dyDescent="0.25">
      <c r="B283" s="530"/>
      <c r="C283" s="530" t="s">
        <v>401</v>
      </c>
      <c r="D283" s="200" t="str">
        <f>VLOOKUP(Table2[[#This Row],[Course Title]],'TSD-Data'!$A$1:$E$83,2,FALSE)</f>
        <v>A-493-3002</v>
      </c>
      <c r="E283" s="200" t="str">
        <f>VLOOKUP(Table2[[#This Row],[Course Title]],'TSD-Data'!$A$1:$E$83,3,FALSE)</f>
        <v>31V4</v>
      </c>
      <c r="F283" s="530" t="s">
        <v>54</v>
      </c>
      <c r="G283" s="531">
        <v>46103</v>
      </c>
      <c r="H283" s="531">
        <v>46103</v>
      </c>
      <c r="I283" s="531" t="s">
        <v>42</v>
      </c>
      <c r="J283" s="532"/>
      <c r="K283" s="532">
        <v>0.79166666666666663</v>
      </c>
      <c r="L283" s="532">
        <v>0.66666666666666663</v>
      </c>
      <c r="M283" s="532">
        <v>8.3333333333333329E-2</v>
      </c>
      <c r="N283" s="532">
        <v>6.9444444444444447E-4</v>
      </c>
      <c r="O283" s="532">
        <v>0.58333333333333337</v>
      </c>
      <c r="P283" s="532">
        <v>0.33333333333333331</v>
      </c>
      <c r="Q283" s="535" t="s">
        <v>441</v>
      </c>
      <c r="R283" s="535"/>
      <c r="S283" s="535"/>
      <c r="T283" s="200">
        <f>VLOOKUP(Table2[[#This Row],[Course Title]],'TSD-Data'!$A$1:$E$83,4,FALSE)</f>
        <v>1000</v>
      </c>
      <c r="U283" s="200">
        <f>VLOOKUP(Table2[[#This Row],[Course Title]],'TSD-Data'!$A$1:$F$83,6,FALSE)</f>
        <v>8</v>
      </c>
      <c r="V283" s="201">
        <f>VLOOKUP(Table2[[#This Row],[Course Title]],'TSD-Data'!$A$1:$F$83,5,FALSE)</f>
        <v>1</v>
      </c>
      <c r="W283" s="201"/>
      <c r="X283" s="200">
        <f>Table2[[#This Row],[Quotas]]-Table2[[#This Row],[Open Quotas]]</f>
        <v>138</v>
      </c>
      <c r="Y283" s="200">
        <v>0</v>
      </c>
      <c r="Z283" s="201">
        <v>24</v>
      </c>
      <c r="AA283" s="201">
        <v>0</v>
      </c>
      <c r="AB283" s="200">
        <v>0</v>
      </c>
      <c r="AC283" s="200">
        <v>0</v>
      </c>
      <c r="AD283" s="200">
        <v>7</v>
      </c>
      <c r="AE283" s="200" t="s">
        <v>442</v>
      </c>
      <c r="AF283" s="495">
        <f ca="1">Table2[[#This Row],[End Date]]+2-TODAY()</f>
        <v>-139</v>
      </c>
      <c r="AG283" s="496">
        <f>IF(ISBLANK(Table2[[#This Row],[Roster Received by]]),1,0)</f>
        <v>0</v>
      </c>
      <c r="AH283" s="496">
        <f ca="1">IF(Table2[[#This Row],[Start Date]]&gt;TODAY(),1,)</f>
        <v>0</v>
      </c>
      <c r="AI283" s="496">
        <f>IF(ISBLANK(Table2[[#This Row],[Primary Instructor]]),0,1)</f>
        <v>1</v>
      </c>
      <c r="AJ283" s="496">
        <f>IF(ISBLANK(Table2[[#This Row],[Instructor 2]]),0,1)</f>
        <v>0</v>
      </c>
      <c r="AK283" s="496">
        <f>AJ512</f>
        <v>1</v>
      </c>
      <c r="AL283" s="318">
        <v>862</v>
      </c>
      <c r="AM283" s="496">
        <v>2</v>
      </c>
      <c r="AN283" s="496" t="str">
        <f>VLOOKUP(Table2[[#This Row],[Course Title]],'TSD-Data'!$A$1:$G$83,7,FALSE)</f>
        <v>N8-RMI</v>
      </c>
      <c r="AO283" s="500">
        <f>Table2[[#This Row],[Quotas]]-Table2[[#This Row],[Graduates]]-Table2[[#This Row],[Fail]]</f>
        <v>976</v>
      </c>
    </row>
    <row r="284" spans="2:41" s="202" customFormat="1" ht="15" customHeight="1" x14ac:dyDescent="0.25">
      <c r="B284" s="530"/>
      <c r="C284" s="559" t="s">
        <v>276</v>
      </c>
      <c r="D284" s="560" t="str">
        <f>VLOOKUP(Table2[[#This Row],[Course Title]],'TSD-Data'!$A$1:$E$83,2,FALSE)</f>
        <v>A-493-0103</v>
      </c>
      <c r="E284" s="560" t="str">
        <f>VLOOKUP(Table2[[#This Row],[Course Title]],'TSD-Data'!$A$1:$E$83,3,FALSE)</f>
        <v>12JY</v>
      </c>
      <c r="F284" s="559" t="s">
        <v>101</v>
      </c>
      <c r="G284" s="551">
        <v>46104</v>
      </c>
      <c r="H284" s="551">
        <v>46108</v>
      </c>
      <c r="I284" s="531" t="s">
        <v>42</v>
      </c>
      <c r="J284" s="532">
        <v>0.33333333333333331</v>
      </c>
      <c r="K284" s="532"/>
      <c r="L284" s="531"/>
      <c r="M284" s="531"/>
      <c r="N284" s="531"/>
      <c r="O284" s="531"/>
      <c r="P284" s="531"/>
      <c r="Q284" s="535" t="s">
        <v>280</v>
      </c>
      <c r="R284" s="535"/>
      <c r="S284" s="535"/>
      <c r="T284" s="200">
        <f>VLOOKUP(Table2[[#This Row],[Course Title]],'TSD-Data'!$A$1:$E$83,4,FALSE)</f>
        <v>25</v>
      </c>
      <c r="U284" s="200">
        <f>VLOOKUP(Table2[[#This Row],[Course Title]],'TSD-Data'!$A$1:$F$83,6,FALSE)</f>
        <v>40</v>
      </c>
      <c r="V284" s="201">
        <f>VLOOKUP(Table2[[#This Row],[Course Title]],'TSD-Data'!$A$1:$F$83,5,FALSE)</f>
        <v>5</v>
      </c>
      <c r="W284" s="201">
        <v>516</v>
      </c>
      <c r="X284" s="200">
        <f>Table2[[#This Row],[Quotas]]-Table2[[#This Row],[Open Quotas]]</f>
        <v>25</v>
      </c>
      <c r="Y284" s="200">
        <v>0</v>
      </c>
      <c r="Z284" s="201">
        <v>20</v>
      </c>
      <c r="AA284" s="201">
        <v>0</v>
      </c>
      <c r="AB284" s="200">
        <v>6</v>
      </c>
      <c r="AC284" s="200">
        <v>1</v>
      </c>
      <c r="AD284" s="200">
        <v>0</v>
      </c>
      <c r="AE284" s="200" t="s">
        <v>431</v>
      </c>
      <c r="AF284" s="495">
        <f ca="1">Table2[[#This Row],[End Date]]+2-TODAY()</f>
        <v>-134</v>
      </c>
      <c r="AG284" s="496">
        <f>IF(ISBLANK(Table2[[#This Row],[Roster Received by]]),1,0)</f>
        <v>0</v>
      </c>
      <c r="AH284" s="496">
        <f ca="1">IF(Table2[[#This Row],[Start Date]]&gt;TODAY(),1,)</f>
        <v>0</v>
      </c>
      <c r="AI284" s="496">
        <f>IF(ISBLANK(Table2[[#This Row],[Primary Instructor]]),0,1)</f>
        <v>1</v>
      </c>
      <c r="AJ284" s="496">
        <f>IF(ISBLANK(Table2[[#This Row],[Instructor 2]]),0,1)</f>
        <v>0</v>
      </c>
      <c r="AK284" s="496">
        <f>Table2[[#This Row],[Course Length (Hours)]]/(Table2[[#This Row],[1 Instructor]]+Table2[[#This Row],[2 Instructors]])</f>
        <v>40</v>
      </c>
      <c r="AL284" s="318">
        <v>0</v>
      </c>
      <c r="AM284" s="497">
        <v>2</v>
      </c>
      <c r="AN284" s="496" t="str">
        <f>VLOOKUP(Table2[[#This Row],[Course Title]],'TSD-Data'!$A$1:$G$83,7,FALSE)</f>
        <v>N5</v>
      </c>
      <c r="AO284" s="500">
        <f>Table2[[#This Row],[Quotas]]-Table2[[#This Row],[Graduates]]-Table2[[#This Row],[Fail]]</f>
        <v>5</v>
      </c>
    </row>
    <row r="285" spans="2:41" ht="15" customHeight="1" x14ac:dyDescent="0.25">
      <c r="B285" s="530"/>
      <c r="C285" s="530" t="s">
        <v>271</v>
      </c>
      <c r="D285" s="200" t="str">
        <f>VLOOKUP(Table2[[#This Row],[Course Title]],'TSD-Data'!$A$1:$E$83,2,FALSE)</f>
        <v>A-493-0061</v>
      </c>
      <c r="E285" s="200" t="str">
        <f>VLOOKUP(Table2[[#This Row],[Course Title]],'TSD-Data'!$A$1:$E$83,3,FALSE)</f>
        <v>288E</v>
      </c>
      <c r="F285" s="530" t="s">
        <v>54</v>
      </c>
      <c r="G285" s="531">
        <v>46104</v>
      </c>
      <c r="H285" s="531">
        <v>46107</v>
      </c>
      <c r="I285" s="531" t="s">
        <v>42</v>
      </c>
      <c r="J285" s="532"/>
      <c r="K285" s="532">
        <v>0.33333333333333331</v>
      </c>
      <c r="L285" s="532">
        <v>0.20833333333333334</v>
      </c>
      <c r="M285" s="532">
        <v>0.625</v>
      </c>
      <c r="N285" s="532">
        <v>0.54166666666666663</v>
      </c>
      <c r="O285" s="532">
        <v>8.3333333333333329E-2</v>
      </c>
      <c r="P285" s="532">
        <v>0.875</v>
      </c>
      <c r="Q285" s="535" t="s">
        <v>148</v>
      </c>
      <c r="R285" s="535"/>
      <c r="S285" s="535"/>
      <c r="T285" s="200">
        <f>VLOOKUP(Table2[[#This Row],[Course Title]],'TSD-Data'!$A$1:$E$83,4,FALSE)</f>
        <v>45</v>
      </c>
      <c r="U285" s="200">
        <f>VLOOKUP(Table2[[#This Row],[Course Title]],'TSD-Data'!$A$1:$F$83,6,FALSE)</f>
        <v>30</v>
      </c>
      <c r="V285" s="201">
        <f>VLOOKUP(Table2[[#This Row],[Course Title]],'TSD-Data'!$A$1:$F$83,5,FALSE)</f>
        <v>4</v>
      </c>
      <c r="W285" s="201">
        <v>366</v>
      </c>
      <c r="X285" s="200">
        <f>Table2[[#This Row],[Quotas]]-Table2[[#This Row],[Open Quotas]]</f>
        <v>27</v>
      </c>
      <c r="Y285" s="200">
        <v>0</v>
      </c>
      <c r="Z285" s="201">
        <v>24</v>
      </c>
      <c r="AA285" s="201">
        <v>0</v>
      </c>
      <c r="AB285" s="200">
        <v>3</v>
      </c>
      <c r="AC285" s="200">
        <v>0</v>
      </c>
      <c r="AD285" s="200">
        <v>0</v>
      </c>
      <c r="AE285" s="200" t="s">
        <v>431</v>
      </c>
      <c r="AF285" s="495">
        <f ca="1">Table2[[#This Row],[End Date]]+2-TODAY()</f>
        <v>-135</v>
      </c>
      <c r="AG285" s="496">
        <f>IF(ISBLANK(Table2[[#This Row],[Roster Received by]]),1,0)</f>
        <v>0</v>
      </c>
      <c r="AH285" s="496">
        <f ca="1">IF(Table2[[#This Row],[Start Date]]&gt;TODAY(),1,)</f>
        <v>0</v>
      </c>
      <c r="AI285" s="496">
        <f>IF(ISBLANK(Table2[[#This Row],[Primary Instructor]]),0,1)</f>
        <v>1</v>
      </c>
      <c r="AJ285" s="496">
        <f>IF(ISBLANK(Table2[[#This Row],[Instructor 2]]),0,1)</f>
        <v>0</v>
      </c>
      <c r="AK285" s="496">
        <f>Table2[[#This Row],[Course Length (Hours)]]/(Table2[[#This Row],[1 Instructor]]+Table2[[#This Row],[2 Instructors]])</f>
        <v>30</v>
      </c>
      <c r="AL285" s="318">
        <v>18</v>
      </c>
      <c r="AM285" s="497">
        <v>2</v>
      </c>
      <c r="AN285" s="496" t="str">
        <f>VLOOKUP(Table2[[#This Row],[Course Title]],'TSD-Data'!$A$1:$G$83,7,FALSE)</f>
        <v>N5</v>
      </c>
      <c r="AO285" s="500">
        <f>Table2[[#This Row],[Quotas]]-Table2[[#This Row],[Graduates]]-Table2[[#This Row],[Fail]]</f>
        <v>21</v>
      </c>
    </row>
    <row r="286" spans="2:41" s="202" customFormat="1" ht="15" customHeight="1" x14ac:dyDescent="0.25">
      <c r="B286" s="155" t="s">
        <v>461</v>
      </c>
      <c r="C286" s="321" t="s">
        <v>49</v>
      </c>
      <c r="D286" s="200" t="str">
        <f>VLOOKUP(Table2[[#This Row],[Course Title]],'TSD-Data'!$A$1:$E$83,2,FALSE)</f>
        <v>A-493-0012</v>
      </c>
      <c r="E286" s="200">
        <f>VLOOKUP(Table2[[#This Row],[Course Title]],'TSD-Data'!$A$1:$E$83,3,FALSE)</f>
        <v>3682</v>
      </c>
      <c r="F286" s="321" t="s">
        <v>132</v>
      </c>
      <c r="G286" s="531">
        <v>46104</v>
      </c>
      <c r="H286" s="531">
        <v>46108</v>
      </c>
      <c r="I286" s="129" t="s">
        <v>42</v>
      </c>
      <c r="J286" s="532">
        <v>0.33333333333333331</v>
      </c>
      <c r="K286" s="532"/>
      <c r="L286" s="531"/>
      <c r="M286" s="531"/>
      <c r="N286" s="531"/>
      <c r="O286" s="531"/>
      <c r="P286" s="531"/>
      <c r="Q286" s="535" t="s">
        <v>450</v>
      </c>
      <c r="R286" s="535"/>
      <c r="S286" s="535"/>
      <c r="T286" s="200">
        <f>VLOOKUP(Table2[[#This Row],[Course Title]],'TSD-Data'!$A$1:$E$83,4,FALSE)</f>
        <v>40</v>
      </c>
      <c r="U286" s="200">
        <f>VLOOKUP(Table2[[#This Row],[Course Title]],'TSD-Data'!$A$1:$F$83,6,FALSE)</f>
        <v>40</v>
      </c>
      <c r="V286" s="201">
        <f>VLOOKUP(Table2[[#This Row],[Course Title]],'TSD-Data'!$A$1:$F$83,5,FALSE)</f>
        <v>5</v>
      </c>
      <c r="W286" s="200">
        <v>30</v>
      </c>
      <c r="X286" s="200">
        <f>Table2[[#This Row],[Quotas]]-Table2[[#This Row],[Open Quotas]]</f>
        <v>9</v>
      </c>
      <c r="Y286" s="200">
        <v>0</v>
      </c>
      <c r="Z286" s="201">
        <v>40</v>
      </c>
      <c r="AA286" s="201">
        <v>0</v>
      </c>
      <c r="AB286" s="200">
        <v>7</v>
      </c>
      <c r="AC286" s="200">
        <v>38</v>
      </c>
      <c r="AD286" s="200">
        <v>0</v>
      </c>
      <c r="AE286" s="200" t="s">
        <v>428</v>
      </c>
      <c r="AF286" s="495">
        <f ca="1">Table2[[#This Row],[End Date]]+2-TODAY()</f>
        <v>-134</v>
      </c>
      <c r="AG286" s="496">
        <f>IF(ISBLANK(Table2[[#This Row],[Roster Received by]]),1,0)</f>
        <v>0</v>
      </c>
      <c r="AH286" s="496">
        <f ca="1">IF(Table2[[#This Row],[Start Date]]&gt;TODAY(),1,)</f>
        <v>0</v>
      </c>
      <c r="AI286" s="496">
        <f>IF(ISBLANK(Table2[[#This Row],[Primary Instructor]]),0,1)</f>
        <v>1</v>
      </c>
      <c r="AJ286" s="496">
        <f>IF(ISBLANK(Table2[[#This Row],[Instructor 2]]),0,1)</f>
        <v>0</v>
      </c>
      <c r="AK286" s="496">
        <f>Table2[[#This Row],[Course Length (Hours)]]/(Table2[[#This Row],[1 Instructor]]+Table2[[#This Row],[2 Instructors]])</f>
        <v>40</v>
      </c>
      <c r="AL286" s="318">
        <v>31</v>
      </c>
      <c r="AM286" s="497">
        <v>2</v>
      </c>
      <c r="AN286" s="496" t="str">
        <f>VLOOKUP(Table2[[#This Row],[Course Title]],'TSD-Data'!$A$1:$G$83,7,FALSE)</f>
        <v>N4</v>
      </c>
      <c r="AO286" s="500">
        <f>Table2[[#This Row],[Quotas]]-Table2[[#This Row],[Graduates]]-Table2[[#This Row],[Fail]]</f>
        <v>0</v>
      </c>
    </row>
    <row r="287" spans="2:41" s="202" customFormat="1" ht="15" customHeight="1" x14ac:dyDescent="0.25">
      <c r="B287" s="530"/>
      <c r="C287" s="530" t="s">
        <v>252</v>
      </c>
      <c r="D287" s="200" t="str">
        <f>VLOOKUP(Table2[[#This Row],[Course Title]],'TSD-Data'!$A$1:$E$83,2,FALSE)</f>
        <v>A-493-0335</v>
      </c>
      <c r="E287" s="200" t="str">
        <f>VLOOKUP(Table2[[#This Row],[Course Title]],'TSD-Data'!$A$1:$E$83,3,FALSE)</f>
        <v>09ND</v>
      </c>
      <c r="F287" s="530" t="s">
        <v>54</v>
      </c>
      <c r="G287" s="531">
        <v>46104</v>
      </c>
      <c r="H287" s="531">
        <v>46107</v>
      </c>
      <c r="I287" s="531" t="s">
        <v>42</v>
      </c>
      <c r="J287" s="532"/>
      <c r="K287" s="532">
        <v>0.5</v>
      </c>
      <c r="L287" s="536">
        <v>0.375</v>
      </c>
      <c r="M287" s="536">
        <v>0.79166666666666663</v>
      </c>
      <c r="N287" s="536">
        <v>0.75</v>
      </c>
      <c r="O287" s="536">
        <v>0.25</v>
      </c>
      <c r="P287" s="536">
        <v>4.1666666666666664E-2</v>
      </c>
      <c r="Q287" s="535" t="s">
        <v>62</v>
      </c>
      <c r="R287" s="535" t="s">
        <v>111</v>
      </c>
      <c r="S287" s="535"/>
      <c r="T287" s="200">
        <f>VLOOKUP(Table2[[#This Row],[Course Title]],'TSD-Data'!$A$1:$E$83,4,FALSE)</f>
        <v>45</v>
      </c>
      <c r="U287" s="200">
        <f>VLOOKUP(Table2[[#This Row],[Course Title]],'TSD-Data'!$A$1:$F$83,6,FALSE)</f>
        <v>32</v>
      </c>
      <c r="V287" s="201">
        <f>VLOOKUP(Table2[[#This Row],[Course Title]],'TSD-Data'!$A$1:$F$83,5,FALSE)</f>
        <v>4</v>
      </c>
      <c r="W287" s="201">
        <v>537</v>
      </c>
      <c r="X287" s="200">
        <f>Table2[[#This Row],[Quotas]]-Table2[[#This Row],[Open Quotas]]</f>
        <v>22</v>
      </c>
      <c r="Y287" s="200">
        <v>0</v>
      </c>
      <c r="Z287" s="201">
        <v>20</v>
      </c>
      <c r="AA287" s="201">
        <v>2</v>
      </c>
      <c r="AB287" s="200">
        <v>7</v>
      </c>
      <c r="AC287" s="200">
        <v>0</v>
      </c>
      <c r="AD287" s="200">
        <v>0</v>
      </c>
      <c r="AE287" s="200" t="s">
        <v>429</v>
      </c>
      <c r="AF287" s="495">
        <f ca="1">Table2[[#This Row],[End Date]]+2-TODAY()</f>
        <v>-135</v>
      </c>
      <c r="AG287" s="496">
        <f>IF(ISBLANK(Table2[[#This Row],[Roster Received by]]),1,0)</f>
        <v>0</v>
      </c>
      <c r="AH287" s="496">
        <f ca="1">IF(Table2[[#This Row],[Start Date]]&gt;TODAY(),1,)</f>
        <v>0</v>
      </c>
      <c r="AI287" s="496">
        <f>IF(ISBLANK(Table2[[#This Row],[Primary Instructor]]),0,1)</f>
        <v>1</v>
      </c>
      <c r="AJ287" s="496">
        <f>IF(ISBLANK(Table2[[#This Row],[Instructor 2]]),0,1)</f>
        <v>1</v>
      </c>
      <c r="AK287" s="496">
        <f>Table2[[#This Row],[Course Length (Hours)]]/(Table2[[#This Row],[1 Instructor]]+Table2[[#This Row],[2 Instructors]])</f>
        <v>16</v>
      </c>
      <c r="AL287" s="318">
        <v>23</v>
      </c>
      <c r="AM287" s="497">
        <v>2</v>
      </c>
      <c r="AN287" s="496" t="str">
        <f>VLOOKUP(Table2[[#This Row],[Course Title]],'TSD-Data'!$A$1:$G$83,7,FALSE)</f>
        <v>N3</v>
      </c>
      <c r="AO287" s="500">
        <f>Table2[[#This Row],[Quotas]]-Table2[[#This Row],[Graduates]]-Table2[[#This Row],[Fail]]</f>
        <v>23</v>
      </c>
    </row>
    <row r="288" spans="2:41" ht="15" customHeight="1" x14ac:dyDescent="0.25">
      <c r="B288" s="530"/>
      <c r="C288" s="530" t="s">
        <v>56</v>
      </c>
      <c r="D288" s="200" t="str">
        <f>VLOOKUP(Table2[[#This Row],[Course Title]],'TSD-Data'!$A$1:$E$83,2,FALSE)</f>
        <v>A-493-0550</v>
      </c>
      <c r="E288" s="200" t="str">
        <f>VLOOKUP(Table2[[#This Row],[Course Title]],'TSD-Data'!$A$1:$E$83,3,FALSE)</f>
        <v>09K5</v>
      </c>
      <c r="F288" s="530" t="s">
        <v>54</v>
      </c>
      <c r="G288" s="531">
        <v>46104</v>
      </c>
      <c r="H288" s="531">
        <v>46107</v>
      </c>
      <c r="I288" s="531" t="s">
        <v>42</v>
      </c>
      <c r="J288" s="532"/>
      <c r="K288" s="532">
        <v>0.33333333333333331</v>
      </c>
      <c r="L288" s="532">
        <v>0.20833333333333334</v>
      </c>
      <c r="M288" s="532">
        <v>0.625</v>
      </c>
      <c r="N288" s="532">
        <v>0.54166666666666663</v>
      </c>
      <c r="O288" s="532">
        <v>8.3333333333333329E-2</v>
      </c>
      <c r="P288" s="532">
        <v>0.875</v>
      </c>
      <c r="Q288" s="535" t="s">
        <v>427</v>
      </c>
      <c r="R288" s="535"/>
      <c r="S288" s="535"/>
      <c r="T288" s="200">
        <f>VLOOKUP(Table2[[#This Row],[Course Title]],'TSD-Data'!$A$1:$E$83,4,FALSE)</f>
        <v>45</v>
      </c>
      <c r="U288" s="200">
        <f>VLOOKUP(Table2[[#This Row],[Course Title]],'TSD-Data'!$A$1:$F$83,6,FALSE)</f>
        <v>32</v>
      </c>
      <c r="V288" s="201">
        <f>VLOOKUP(Table2[[#This Row],[Course Title]],'TSD-Data'!$A$1:$F$83,5,FALSE)</f>
        <v>4</v>
      </c>
      <c r="W288" s="201">
        <v>455</v>
      </c>
      <c r="X288" s="200">
        <f>Table2[[#This Row],[Quotas]]-Table2[[#This Row],[Open Quotas]]</f>
        <v>42</v>
      </c>
      <c r="Y288" s="200">
        <v>0</v>
      </c>
      <c r="Z288" s="201">
        <v>41</v>
      </c>
      <c r="AA288" s="201">
        <v>0</v>
      </c>
      <c r="AB288" s="200">
        <v>3</v>
      </c>
      <c r="AC288" s="200">
        <v>1</v>
      </c>
      <c r="AD288" s="200">
        <v>0</v>
      </c>
      <c r="AE288" s="200" t="s">
        <v>431</v>
      </c>
      <c r="AF288" s="495">
        <f ca="1">Table2[[#This Row],[End Date]]+2-TODAY()</f>
        <v>-135</v>
      </c>
      <c r="AG288" s="496">
        <f>IF(ISBLANK(Table2[[#This Row],[Roster Received by]]),1,0)</f>
        <v>0</v>
      </c>
      <c r="AH288" s="496">
        <f ca="1">IF(Table2[[#This Row],[Start Date]]&gt;TODAY(),1,)</f>
        <v>0</v>
      </c>
      <c r="AI288" s="496">
        <f>IF(ISBLANK(Table2[[#This Row],[Primary Instructor]]),0,1)</f>
        <v>1</v>
      </c>
      <c r="AJ288" s="496">
        <f>IF(ISBLANK(Table2[[#This Row],[Instructor 2]]),0,1)</f>
        <v>0</v>
      </c>
      <c r="AK288" s="496">
        <f>Table2[[#This Row],[Course Length (Hours)]]/(Table2[[#This Row],[1 Instructor]]+Table2[[#This Row],[2 Instructors]])</f>
        <v>32</v>
      </c>
      <c r="AL288" s="318">
        <v>3</v>
      </c>
      <c r="AM288" s="497">
        <v>2</v>
      </c>
      <c r="AN288" s="496" t="str">
        <f>VLOOKUP(Table2[[#This Row],[Course Title]],'TSD-Data'!$A$1:$G$83,7,FALSE)</f>
        <v>N5</v>
      </c>
      <c r="AO288" s="500">
        <f>Table2[[#This Row],[Quotas]]-Table2[[#This Row],[Graduates]]-Table2[[#This Row],[Fail]]</f>
        <v>4</v>
      </c>
    </row>
    <row r="289" spans="2:41" s="202" customFormat="1" ht="15" customHeight="1" x14ac:dyDescent="0.25">
      <c r="B289" s="530"/>
      <c r="C289" s="530" t="s">
        <v>53</v>
      </c>
      <c r="D289" s="200" t="str">
        <f>VLOOKUP(Table2[[#This Row],[Course Title]],'TSD-Data'!$A$1:$E$83,2,FALSE)</f>
        <v>A-493-0078</v>
      </c>
      <c r="E289" s="200">
        <f>VLOOKUP(Table2[[#This Row],[Course Title]],'TSD-Data'!$A$1:$E$83,3,FALSE)</f>
        <v>1228</v>
      </c>
      <c r="F289" s="530" t="s">
        <v>54</v>
      </c>
      <c r="G289" s="531">
        <v>46104</v>
      </c>
      <c r="H289" s="531">
        <v>46107</v>
      </c>
      <c r="I289" s="531" t="s">
        <v>42</v>
      </c>
      <c r="J289" s="532"/>
      <c r="K289" s="532">
        <v>0.33333333333333331</v>
      </c>
      <c r="L289" s="532">
        <v>0.20833333333333334</v>
      </c>
      <c r="M289" s="532">
        <v>0.625</v>
      </c>
      <c r="N289" s="532">
        <v>0.54166666666666663</v>
      </c>
      <c r="O289" s="532">
        <v>8.3333333333333329E-2</v>
      </c>
      <c r="P289" s="532">
        <v>0.875</v>
      </c>
      <c r="Q289" s="535" t="s">
        <v>55</v>
      </c>
      <c r="R289" s="535"/>
      <c r="S289" s="535"/>
      <c r="T289" s="200">
        <f>VLOOKUP(Table2[[#This Row],[Course Title]],'TSD-Data'!$A$1:$E$83,4,FALSE)</f>
        <v>45</v>
      </c>
      <c r="U289" s="200">
        <f>VLOOKUP(Table2[[#This Row],[Course Title]],'TSD-Data'!$A$1:$F$83,6,FALSE)</f>
        <v>32</v>
      </c>
      <c r="V289" s="201">
        <f>VLOOKUP(Table2[[#This Row],[Course Title]],'TSD-Data'!$A$1:$F$83,5,FALSE)</f>
        <v>4</v>
      </c>
      <c r="W289" s="201">
        <v>454</v>
      </c>
      <c r="X289" s="200">
        <f>Table2[[#This Row],[Quotas]]-Table2[[#This Row],[Open Quotas]]</f>
        <v>43</v>
      </c>
      <c r="Y289" s="200">
        <v>0</v>
      </c>
      <c r="Z289" s="201">
        <v>34</v>
      </c>
      <c r="AA289" s="201">
        <v>1</v>
      </c>
      <c r="AB289" s="200">
        <v>10</v>
      </c>
      <c r="AC289" s="200">
        <v>0</v>
      </c>
      <c r="AD289" s="200">
        <v>0</v>
      </c>
      <c r="AE289" s="200" t="s">
        <v>431</v>
      </c>
      <c r="AF289" s="495">
        <f ca="1">Table2[[#This Row],[End Date]]+2-TODAY()</f>
        <v>-135</v>
      </c>
      <c r="AG289" s="496">
        <f>IF(ISBLANK(Table2[[#This Row],[Roster Received by]]),1,0)</f>
        <v>0</v>
      </c>
      <c r="AH289" s="496">
        <f ca="1">IF(Table2[[#This Row],[Start Date]]&gt;TODAY(),1,)</f>
        <v>0</v>
      </c>
      <c r="AI289" s="496">
        <f>IF(ISBLANK(Table2[[#This Row],[Primary Instructor]]),0,1)</f>
        <v>1</v>
      </c>
      <c r="AJ289" s="496">
        <f>IF(ISBLANK(Table2[[#This Row],[Instructor 2]]),0,1)</f>
        <v>0</v>
      </c>
      <c r="AK289" s="496">
        <f>Table2[[#This Row],[Course Length (Hours)]]/(Table2[[#This Row],[1 Instructor]]+Table2[[#This Row],[2 Instructors]])</f>
        <v>32</v>
      </c>
      <c r="AL289" s="318">
        <v>2</v>
      </c>
      <c r="AM289" s="497">
        <v>2</v>
      </c>
      <c r="AN289" s="496" t="str">
        <f>VLOOKUP(Table2[[#This Row],[Course Title]],'TSD-Data'!$A$1:$G$83,7,FALSE)</f>
        <v>N5</v>
      </c>
      <c r="AO289" s="500">
        <f>Table2[[#This Row],[Quotas]]-Table2[[#This Row],[Graduates]]-Table2[[#This Row],[Fail]]</f>
        <v>10</v>
      </c>
    </row>
    <row r="290" spans="2:41" ht="15" customHeight="1" x14ac:dyDescent="0.25">
      <c r="B290" s="530"/>
      <c r="C290" s="530" t="s">
        <v>255</v>
      </c>
      <c r="D290" s="200" t="str">
        <f>VLOOKUP(Table2[[#This Row],[Course Title]],'TSD-Data'!$A$1:$E$83,2,FALSE)</f>
        <v>A-493-0085</v>
      </c>
      <c r="E290" s="200">
        <f>VLOOKUP(Table2[[#This Row],[Course Title]],'TSD-Data'!$A$1:$E$83,3,FALSE)</f>
        <v>3555</v>
      </c>
      <c r="F290" s="530" t="s">
        <v>54</v>
      </c>
      <c r="G290" s="531">
        <v>46104</v>
      </c>
      <c r="H290" s="531">
        <v>46107</v>
      </c>
      <c r="I290" s="531" t="s">
        <v>42</v>
      </c>
      <c r="J290" s="532"/>
      <c r="K290" s="532">
        <v>0.5</v>
      </c>
      <c r="L290" s="536">
        <v>0.375</v>
      </c>
      <c r="M290" s="536">
        <v>0.79166666666666663</v>
      </c>
      <c r="N290" s="536">
        <v>0.75</v>
      </c>
      <c r="O290" s="536">
        <v>0.25</v>
      </c>
      <c r="P290" s="536">
        <v>4.1666666666666664E-2</v>
      </c>
      <c r="Q290" s="535" t="s">
        <v>67</v>
      </c>
      <c r="R290" s="535" t="s">
        <v>82</v>
      </c>
      <c r="S290" s="535"/>
      <c r="T290" s="200">
        <f>VLOOKUP(Table2[[#This Row],[Course Title]],'TSD-Data'!$A$1:$E$83,4,FALSE)</f>
        <v>45</v>
      </c>
      <c r="U290" s="200">
        <f>VLOOKUP(Table2[[#This Row],[Course Title]],'TSD-Data'!$A$1:$F$83,6,FALSE)</f>
        <v>32</v>
      </c>
      <c r="V290" s="201">
        <f>VLOOKUP(Table2[[#This Row],[Course Title]],'TSD-Data'!$A$1:$F$83,5,FALSE)</f>
        <v>4</v>
      </c>
      <c r="W290" s="201">
        <v>688</v>
      </c>
      <c r="X290" s="200">
        <f>Table2[[#This Row],[Quotas]]-Table2[[#This Row],[Open Quotas]]</f>
        <v>21</v>
      </c>
      <c r="Y290" s="200">
        <v>0</v>
      </c>
      <c r="Z290" s="201">
        <v>14</v>
      </c>
      <c r="AA290" s="201">
        <v>0</v>
      </c>
      <c r="AB290" s="200">
        <v>9</v>
      </c>
      <c r="AC290" s="200">
        <v>0</v>
      </c>
      <c r="AD290" s="200">
        <v>0</v>
      </c>
      <c r="AE290" s="200" t="s">
        <v>429</v>
      </c>
      <c r="AF290" s="495">
        <f ca="1">Table2[[#This Row],[End Date]]+2-TODAY()</f>
        <v>-135</v>
      </c>
      <c r="AG290" s="496">
        <f>IF(ISBLANK(Table2[[#This Row],[Roster Received by]]),1,0)</f>
        <v>0</v>
      </c>
      <c r="AH290" s="496">
        <f ca="1">IF(Table2[[#This Row],[Start Date]]&gt;TODAY(),1,)</f>
        <v>0</v>
      </c>
      <c r="AI290" s="496">
        <f>IF(ISBLANK(Table2[[#This Row],[Primary Instructor]]),0,1)</f>
        <v>1</v>
      </c>
      <c r="AJ290" s="496">
        <f>IF(ISBLANK(Table2[[#This Row],[Instructor 2]]),0,1)</f>
        <v>1</v>
      </c>
      <c r="AK290" s="496">
        <f>Table2[[#This Row],[Course Length (Hours)]]/(Table2[[#This Row],[1 Instructor]]+Table2[[#This Row],[2 Instructors]])</f>
        <v>16</v>
      </c>
      <c r="AL290" s="318">
        <v>24</v>
      </c>
      <c r="AM290" s="497">
        <v>2</v>
      </c>
      <c r="AN290" s="496" t="str">
        <f>VLOOKUP(Table2[[#This Row],[Course Title]],'TSD-Data'!$A$1:$G$83,7,FALSE)</f>
        <v>N3</v>
      </c>
      <c r="AO290" s="500">
        <f>Table2[[#This Row],[Quotas]]-Table2[[#This Row],[Graduates]]-Table2[[#This Row],[Fail]]</f>
        <v>31</v>
      </c>
    </row>
    <row r="291" spans="2:41" ht="15" customHeight="1" x14ac:dyDescent="0.25">
      <c r="B291" s="530"/>
      <c r="C291" s="530" t="s">
        <v>229</v>
      </c>
      <c r="D291" s="200" t="str">
        <f>VLOOKUP(Table2[[#This Row],[Course Title]],'TSD-Data'!$A$1:$E$83,2,FALSE)</f>
        <v>A-570-0100</v>
      </c>
      <c r="E291" s="200" t="str">
        <f>VLOOKUP(Table2[[#This Row],[Course Title]],'TSD-Data'!$A$1:$E$83,3,FALSE)</f>
        <v>18B7</v>
      </c>
      <c r="F291" s="530" t="s">
        <v>54</v>
      </c>
      <c r="G291" s="531">
        <v>46104</v>
      </c>
      <c r="H291" s="531">
        <v>46105</v>
      </c>
      <c r="I291" s="531" t="s">
        <v>42</v>
      </c>
      <c r="J291" s="532"/>
      <c r="K291" s="532">
        <v>0.5</v>
      </c>
      <c r="L291" s="536">
        <v>0.375</v>
      </c>
      <c r="M291" s="536">
        <v>0.79166666666666663</v>
      </c>
      <c r="N291" s="536">
        <v>0.75</v>
      </c>
      <c r="O291" s="536">
        <v>0.25</v>
      </c>
      <c r="P291" s="536">
        <v>4.1666666666666664E-2</v>
      </c>
      <c r="Q291" s="535" t="s">
        <v>432</v>
      </c>
      <c r="R291" s="535"/>
      <c r="S291" s="535"/>
      <c r="T291" s="200">
        <f>VLOOKUP(Table2[[#This Row],[Course Title]],'TSD-Data'!$A$1:$E$83,4,FALSE)</f>
        <v>45</v>
      </c>
      <c r="U291" s="200">
        <f>VLOOKUP(Table2[[#This Row],[Course Title]],'TSD-Data'!$A$1:$F$83,6,FALSE)</f>
        <v>16</v>
      </c>
      <c r="V291" s="201">
        <f>VLOOKUP(Table2[[#This Row],[Course Title]],'TSD-Data'!$A$1:$F$83,5,FALSE)</f>
        <v>2</v>
      </c>
      <c r="W291" s="201">
        <v>621</v>
      </c>
      <c r="X291" s="200">
        <f>Table2[[#This Row],[Quotas]]-Table2[[#This Row],[Open Quotas]]</f>
        <v>13</v>
      </c>
      <c r="Y291" s="200">
        <v>0</v>
      </c>
      <c r="Z291" s="201">
        <v>11</v>
      </c>
      <c r="AA291" s="201">
        <v>0</v>
      </c>
      <c r="AB291" s="200">
        <v>3</v>
      </c>
      <c r="AC291" s="200">
        <v>0</v>
      </c>
      <c r="AD291" s="200">
        <v>0</v>
      </c>
      <c r="AE291" s="200" t="s">
        <v>429</v>
      </c>
      <c r="AF291" s="495">
        <f ca="1">Table2[[#This Row],[End Date]]+2-TODAY()</f>
        <v>-137</v>
      </c>
      <c r="AG291" s="496">
        <f>IF(ISBLANK(Table2[[#This Row],[Roster Received by]]),1,0)</f>
        <v>0</v>
      </c>
      <c r="AH291" s="496">
        <f ca="1">IF(Table2[[#This Row],[Start Date]]&gt;TODAY(),1,)</f>
        <v>0</v>
      </c>
      <c r="AI291" s="496">
        <f>IF(ISBLANK(Table2[[#This Row],[Primary Instructor]]),0,1)</f>
        <v>1</v>
      </c>
      <c r="AJ291" s="496">
        <f>IF(ISBLANK(Table2[[#This Row],[Instructor 2]]),0,1)</f>
        <v>0</v>
      </c>
      <c r="AK291" s="496">
        <f>Table2[[#This Row],[Course Length (Hours)]]/(Table2[[#This Row],[1 Instructor]]+Table2[[#This Row],[2 Instructors]])</f>
        <v>16</v>
      </c>
      <c r="AL291" s="318">
        <v>32</v>
      </c>
      <c r="AM291" s="497">
        <v>2</v>
      </c>
      <c r="AN291" s="496" t="str">
        <f>VLOOKUP(Table2[[#This Row],[Course Title]],'TSD-Data'!$A$1:$G$83,7,FALSE)</f>
        <v>N8</v>
      </c>
      <c r="AO291" s="500">
        <f>Table2[[#This Row],[Quotas]]-Table2[[#This Row],[Graduates]]-Table2[[#This Row],[Fail]]</f>
        <v>34</v>
      </c>
    </row>
    <row r="292" spans="2:41" ht="15" customHeight="1" x14ac:dyDescent="0.25">
      <c r="B292" s="530"/>
      <c r="C292" s="530" t="s">
        <v>70</v>
      </c>
      <c r="D292" s="200" t="str">
        <f>VLOOKUP(Table2[[#This Row],[Course Title]],'TSD-Data'!$A$1:$E$83,2,FALSE)</f>
        <v>A-493-0077</v>
      </c>
      <c r="E292" s="200" t="str">
        <f>VLOOKUP(Table2[[#This Row],[Course Title]],'TSD-Data'!$A$1:$E$83,3,FALSE)</f>
        <v>0381</v>
      </c>
      <c r="F292" s="530" t="s">
        <v>258</v>
      </c>
      <c r="G292" s="531">
        <v>46104</v>
      </c>
      <c r="H292" s="531">
        <v>46106</v>
      </c>
      <c r="I292" s="129" t="s">
        <v>42</v>
      </c>
      <c r="J292" s="532">
        <v>0.33333333333333331</v>
      </c>
      <c r="K292" s="532"/>
      <c r="L292" s="531"/>
      <c r="M292" s="531"/>
      <c r="N292" s="531"/>
      <c r="O292" s="531"/>
      <c r="P292" s="531"/>
      <c r="Q292" s="535" t="s">
        <v>48</v>
      </c>
      <c r="R292" s="535"/>
      <c r="S292" s="535"/>
      <c r="T292" s="200">
        <f>VLOOKUP(Table2[[#This Row],[Course Title]],'TSD-Data'!$A$1:$E$83,4,FALSE)</f>
        <v>25</v>
      </c>
      <c r="U292" s="200">
        <f>VLOOKUP(Table2[[#This Row],[Course Title]],'TSD-Data'!$A$1:$F$83,6,FALSE)</f>
        <v>24</v>
      </c>
      <c r="V292" s="201">
        <f>VLOOKUP(Table2[[#This Row],[Course Title]],'TSD-Data'!$A$1:$F$83,5,FALSE)</f>
        <v>3</v>
      </c>
      <c r="W292" s="201">
        <v>17</v>
      </c>
      <c r="X292" s="200">
        <f>Table2[[#This Row],[Quotas]]-Table2[[#This Row],[Open Quotas]]</f>
        <v>17</v>
      </c>
      <c r="Y292" s="200">
        <v>0</v>
      </c>
      <c r="Z292" s="201">
        <v>16</v>
      </c>
      <c r="AA292" s="201">
        <v>0</v>
      </c>
      <c r="AB292" s="200">
        <v>1</v>
      </c>
      <c r="AC292" s="200">
        <v>0</v>
      </c>
      <c r="AD292" s="200">
        <v>0</v>
      </c>
      <c r="AE292" s="200" t="s">
        <v>428</v>
      </c>
      <c r="AF292" s="495">
        <f ca="1">Table2[[#This Row],[End Date]]+2-TODAY()</f>
        <v>-136</v>
      </c>
      <c r="AG292" s="496">
        <f>IF(ISBLANK(Table2[[#This Row],[Roster Received by]]),1,0)</f>
        <v>0</v>
      </c>
      <c r="AH292" s="496">
        <f ca="1">IF(Table2[[#This Row],[Start Date]]&gt;TODAY(),1,)</f>
        <v>0</v>
      </c>
      <c r="AI292" s="496">
        <f>IF(ISBLANK(Table2[[#This Row],[Primary Instructor]]),0,1)</f>
        <v>1</v>
      </c>
      <c r="AJ292" s="496">
        <f>IF(ISBLANK(Table2[[#This Row],[Instructor 2]]),0,1)</f>
        <v>0</v>
      </c>
      <c r="AK292" s="496">
        <f>Table2[[#This Row],[Course Length (Hours)]]/(Table2[[#This Row],[1 Instructor]]+Table2[[#This Row],[2 Instructors]])</f>
        <v>24</v>
      </c>
      <c r="AL292" s="318">
        <v>8</v>
      </c>
      <c r="AM292" s="497">
        <v>2</v>
      </c>
      <c r="AN292" s="496" t="str">
        <f>VLOOKUP(Table2[[#This Row],[Course Title]],'TSD-Data'!$A$1:$G$83,7,FALSE)</f>
        <v>N4</v>
      </c>
      <c r="AO292" s="500">
        <f>Table2[[#This Row],[Quotas]]-Table2[[#This Row],[Graduates]]-Table2[[#This Row],[Fail]]</f>
        <v>9</v>
      </c>
    </row>
    <row r="293" spans="2:41" s="202" customFormat="1" ht="15" customHeight="1" x14ac:dyDescent="0.25">
      <c r="B293" s="530"/>
      <c r="C293" s="530" t="s">
        <v>400</v>
      </c>
      <c r="D293" s="200" t="str">
        <f>VLOOKUP(Table2[[#This Row],[Course Title]],'TSD-Data'!$A$1:$E$83,2,FALSE)</f>
        <v>A-493-3010</v>
      </c>
      <c r="E293" s="200" t="str">
        <f>VLOOKUP(Table2[[#This Row],[Course Title]],'TSD-Data'!$A$1:$E$83,3,FALSE)</f>
        <v>31VC</v>
      </c>
      <c r="F293" s="530" t="s">
        <v>54</v>
      </c>
      <c r="G293" s="531">
        <v>46104</v>
      </c>
      <c r="H293" s="531">
        <v>46104</v>
      </c>
      <c r="I293" s="531" t="s">
        <v>42</v>
      </c>
      <c r="J293" s="532"/>
      <c r="K293" s="532">
        <v>0.79166666666666663</v>
      </c>
      <c r="L293" s="532">
        <v>0.66666666666666663</v>
      </c>
      <c r="M293" s="532">
        <v>8.3333333333333329E-2</v>
      </c>
      <c r="N293" s="532">
        <v>6.9444444444444447E-4</v>
      </c>
      <c r="O293" s="532">
        <v>0.58333333333333337</v>
      </c>
      <c r="P293" s="532">
        <v>0.33333333333333331</v>
      </c>
      <c r="Q293" s="535" t="s">
        <v>441</v>
      </c>
      <c r="R293" s="535"/>
      <c r="S293" s="535"/>
      <c r="T293" s="200">
        <f>VLOOKUP(Table2[[#This Row],[Course Title]],'TSD-Data'!$A$1:$E$83,4,FALSE)</f>
        <v>1000</v>
      </c>
      <c r="U293" s="200">
        <f>VLOOKUP(Table2[[#This Row],[Course Title]],'TSD-Data'!$A$1:$F$83,6,FALSE)</f>
        <v>4</v>
      </c>
      <c r="V293" s="201">
        <f>VLOOKUP(Table2[[#This Row],[Course Title]],'TSD-Data'!$A$1:$F$83,5,FALSE)</f>
        <v>0.5</v>
      </c>
      <c r="W293" s="201"/>
      <c r="X293" s="200">
        <f>Table2[[#This Row],[Quotas]]-Table2[[#This Row],[Open Quotas]]</f>
        <v>138</v>
      </c>
      <c r="Y293" s="200">
        <v>0</v>
      </c>
      <c r="Z293" s="201">
        <v>31</v>
      </c>
      <c r="AA293" s="201">
        <v>0</v>
      </c>
      <c r="AB293" s="200">
        <v>0</v>
      </c>
      <c r="AC293" s="200">
        <v>0</v>
      </c>
      <c r="AD293" s="200">
        <v>14</v>
      </c>
      <c r="AE293" s="200" t="s">
        <v>442</v>
      </c>
      <c r="AF293" s="495">
        <f ca="1">Table2[[#This Row],[End Date]]+2-TODAY()</f>
        <v>-138</v>
      </c>
      <c r="AG293" s="496">
        <f>IF(ISBLANK(Table2[[#This Row],[Roster Received by]]),1,0)</f>
        <v>0</v>
      </c>
      <c r="AH293" s="496">
        <f ca="1">IF(Table2[[#This Row],[Start Date]]&gt;TODAY(),1,)</f>
        <v>0</v>
      </c>
      <c r="AI293" s="496">
        <f>IF(ISBLANK(Table2[[#This Row],[Primary Instructor]]),0,1)</f>
        <v>1</v>
      </c>
      <c r="AJ293" s="496">
        <f>IF(ISBLANK(Table2[[#This Row],[Instructor 2]]),0,1)</f>
        <v>0</v>
      </c>
      <c r="AK293" s="496">
        <f>AJ517</f>
        <v>1</v>
      </c>
      <c r="AL293" s="318">
        <v>862</v>
      </c>
      <c r="AM293" s="496">
        <v>2</v>
      </c>
      <c r="AN293" s="496" t="str">
        <f>VLOOKUP(Table2[[#This Row],[Course Title]],'TSD-Data'!$A$1:$G$83,7,FALSE)</f>
        <v>N8-RMI</v>
      </c>
      <c r="AO293" s="500">
        <f>Table2[[#This Row],[Quotas]]-Table2[[#This Row],[Graduates]]-Table2[[#This Row],[Fail]]</f>
        <v>969</v>
      </c>
    </row>
    <row r="294" spans="2:41" s="202" customFormat="1" ht="15" customHeight="1" x14ac:dyDescent="0.25">
      <c r="B294" s="530"/>
      <c r="C294" s="530" t="s">
        <v>407</v>
      </c>
      <c r="D294" s="200" t="str">
        <f>VLOOKUP(Table2[[#This Row],[Course Title]],'TSD-Data'!$A$1:$E$83,2,FALSE)</f>
        <v>A-493-3003</v>
      </c>
      <c r="E294" s="200" t="str">
        <f>VLOOKUP(Table2[[#This Row],[Course Title]],'TSD-Data'!$A$1:$E$83,3,FALSE)</f>
        <v>31V5</v>
      </c>
      <c r="F294" s="561" t="s">
        <v>54</v>
      </c>
      <c r="G294" s="562">
        <v>46104</v>
      </c>
      <c r="H294" s="562">
        <v>46104</v>
      </c>
      <c r="I294" s="531" t="s">
        <v>42</v>
      </c>
      <c r="J294" s="532"/>
      <c r="K294" s="532">
        <v>8.3333333333333329E-2</v>
      </c>
      <c r="L294" s="532">
        <v>0.95833333333333337</v>
      </c>
      <c r="M294" s="532">
        <v>0.375</v>
      </c>
      <c r="N294" s="532">
        <v>0.29166666666666669</v>
      </c>
      <c r="O294" s="532">
        <v>0.875</v>
      </c>
      <c r="P294" s="532">
        <v>0.625</v>
      </c>
      <c r="Q294" s="535" t="s">
        <v>441</v>
      </c>
      <c r="R294" s="535"/>
      <c r="S294" s="535"/>
      <c r="T294" s="200">
        <f>VLOOKUP(Table2[[#This Row],[Course Title]],'TSD-Data'!$A$1:$E$83,4,FALSE)</f>
        <v>1000</v>
      </c>
      <c r="U294" s="200">
        <f>VLOOKUP(Table2[[#This Row],[Course Title]],'TSD-Data'!$A$1:$F$83,6,FALSE)</f>
        <v>2</v>
      </c>
      <c r="V294" s="201">
        <f>VLOOKUP(Table2[[#This Row],[Course Title]],'TSD-Data'!$A$1:$F$83,5,FALSE)</f>
        <v>0.25</v>
      </c>
      <c r="W294" s="201"/>
      <c r="X294" s="200">
        <f>Table2[[#This Row],[Quotas]]-Table2[[#This Row],[Open Quotas]]</f>
        <v>138</v>
      </c>
      <c r="Y294" s="200">
        <v>0</v>
      </c>
      <c r="Z294" s="201">
        <v>20</v>
      </c>
      <c r="AA294" s="201">
        <v>0</v>
      </c>
      <c r="AB294" s="200">
        <v>0</v>
      </c>
      <c r="AC294" s="200">
        <v>0</v>
      </c>
      <c r="AD294" s="200">
        <v>8</v>
      </c>
      <c r="AE294" s="200" t="s">
        <v>442</v>
      </c>
      <c r="AF294" s="495">
        <f ca="1">Table2[[#This Row],[End Date]]+2-TODAY()</f>
        <v>-138</v>
      </c>
      <c r="AG294" s="496">
        <f>IF(ISBLANK(Table2[[#This Row],[Roster Received by]]),1,0)</f>
        <v>0</v>
      </c>
      <c r="AH294" s="496">
        <f ca="1">IF(Table2[[#This Row],[Start Date]]&gt;TODAY(),1,)</f>
        <v>0</v>
      </c>
      <c r="AI294" s="496">
        <f>IF(ISBLANK(Table2[[#This Row],[Primary Instructor]]),0,1)</f>
        <v>1</v>
      </c>
      <c r="AJ294" s="496">
        <f>IF(ISBLANK(Table2[[#This Row],[Instructor 2]]),0,1)</f>
        <v>0</v>
      </c>
      <c r="AK294" s="496" t="e">
        <f>#REF!</f>
        <v>#REF!</v>
      </c>
      <c r="AL294" s="318">
        <v>862</v>
      </c>
      <c r="AM294" s="496">
        <v>2</v>
      </c>
      <c r="AN294" s="496" t="str">
        <f>VLOOKUP(Table2[[#This Row],[Course Title]],'TSD-Data'!$A$1:$G$83,7,FALSE)</f>
        <v>N8-RMI</v>
      </c>
      <c r="AO294" s="500">
        <f>Table2[[#This Row],[Quotas]]-Table2[[#This Row],[Graduates]]-Table2[[#This Row],[Fail]]</f>
        <v>980</v>
      </c>
    </row>
    <row r="295" spans="2:41" s="202" customFormat="1" ht="15" customHeight="1" x14ac:dyDescent="0.25">
      <c r="B295" s="530"/>
      <c r="C295" s="530" t="s">
        <v>410</v>
      </c>
      <c r="D295" s="200" t="str">
        <f>VLOOKUP(Table2[[#This Row],[Course Title]],'TSD-Data'!$A$1:$E$83,2,FALSE)</f>
        <v>A-493-3006</v>
      </c>
      <c r="E295" s="200" t="str">
        <f>VLOOKUP(Table2[[#This Row],[Course Title]],'TSD-Data'!$A$1:$E$83,3,FALSE)</f>
        <v>31V8</v>
      </c>
      <c r="F295" s="530" t="s">
        <v>54</v>
      </c>
      <c r="G295" s="531">
        <v>46104</v>
      </c>
      <c r="H295" s="531">
        <v>46104</v>
      </c>
      <c r="I295" s="531" t="s">
        <v>42</v>
      </c>
      <c r="J295" s="532"/>
      <c r="K295" s="532">
        <v>6.9444444444444447E-4</v>
      </c>
      <c r="L295" s="532">
        <v>0.875</v>
      </c>
      <c r="M295" s="532">
        <v>0.79166666666666663</v>
      </c>
      <c r="N295" s="532">
        <v>0.20833333333333334</v>
      </c>
      <c r="O295" s="532">
        <v>0.79166666666666663</v>
      </c>
      <c r="P295" s="532">
        <v>0.54166666666666663</v>
      </c>
      <c r="Q295" s="535" t="s">
        <v>441</v>
      </c>
      <c r="R295" s="535"/>
      <c r="S295" s="535"/>
      <c r="T295" s="200">
        <f>VLOOKUP(Table2[[#This Row],[Course Title]],'TSD-Data'!$A$1:$E$83,4,FALSE)</f>
        <v>1000</v>
      </c>
      <c r="U295" s="200">
        <f>VLOOKUP(Table2[[#This Row],[Course Title]],'TSD-Data'!$A$1:$F$83,6,FALSE)</f>
        <v>2</v>
      </c>
      <c r="V295" s="201">
        <f>VLOOKUP(Table2[[#This Row],[Course Title]],'TSD-Data'!$A$1:$F$83,5,FALSE)</f>
        <v>0.1</v>
      </c>
      <c r="W295" s="201"/>
      <c r="X295" s="200">
        <f>Table2[[#This Row],[Quotas]]-Table2[[#This Row],[Open Quotas]]</f>
        <v>138</v>
      </c>
      <c r="Y295" s="200">
        <v>0</v>
      </c>
      <c r="Z295" s="201">
        <v>21</v>
      </c>
      <c r="AA295" s="201">
        <v>0</v>
      </c>
      <c r="AB295" s="200">
        <v>0</v>
      </c>
      <c r="AC295" s="200">
        <v>0</v>
      </c>
      <c r="AD295" s="200">
        <v>7</v>
      </c>
      <c r="AE295" s="200" t="s">
        <v>442</v>
      </c>
      <c r="AF295" s="495">
        <f ca="1">Table2[[#This Row],[End Date]]+2-TODAY()</f>
        <v>-138</v>
      </c>
      <c r="AG295" s="496">
        <f>IF(ISBLANK(Table2[[#This Row],[Roster Received by]]),1,0)</f>
        <v>0</v>
      </c>
      <c r="AH295" s="496">
        <f ca="1">IF(Table2[[#This Row],[Start Date]]&gt;TODAY(),1,)</f>
        <v>0</v>
      </c>
      <c r="AI295" s="496">
        <f>IF(ISBLANK(Table2[[#This Row],[Primary Instructor]]),0,1)</f>
        <v>1</v>
      </c>
      <c r="AJ295" s="496">
        <f>IF(ISBLANK(Table2[[#This Row],[Instructor 2]]),0,1)</f>
        <v>0</v>
      </c>
      <c r="AK295" s="496">
        <f>AJ519</f>
        <v>0</v>
      </c>
      <c r="AL295" s="318">
        <v>862</v>
      </c>
      <c r="AM295" s="496">
        <v>2</v>
      </c>
      <c r="AN295" s="496" t="str">
        <f>VLOOKUP(Table2[[#This Row],[Course Title]],'TSD-Data'!$A$1:$G$83,7,FALSE)</f>
        <v>N8-RMI</v>
      </c>
      <c r="AO295" s="500">
        <f>Table2[[#This Row],[Quotas]]-Table2[[#This Row],[Graduates]]-Table2[[#This Row],[Fail]]</f>
        <v>979</v>
      </c>
    </row>
    <row r="296" spans="2:41" s="202" customFormat="1" ht="15" customHeight="1" x14ac:dyDescent="0.25">
      <c r="B296" s="530"/>
      <c r="C296" s="530" t="s">
        <v>99</v>
      </c>
      <c r="D296" s="200" t="str">
        <f>VLOOKUP(Table2[[#This Row],[Course Title]],'TSD-Data'!$A$1:$E$83,2,FALSE)</f>
        <v>A-493-2501</v>
      </c>
      <c r="E296" s="200" t="str">
        <f>VLOOKUP(Table2[[#This Row],[Course Title]],'TSD-Data'!$A$1:$E$83,3,FALSE)</f>
        <v>05ZE</v>
      </c>
      <c r="F296" s="530" t="s">
        <v>183</v>
      </c>
      <c r="G296" s="531">
        <v>46104</v>
      </c>
      <c r="H296" s="531">
        <v>46104</v>
      </c>
      <c r="I296" s="129" t="s">
        <v>42</v>
      </c>
      <c r="J296" s="532">
        <v>0.33333333333333331</v>
      </c>
      <c r="K296" s="532"/>
      <c r="L296" s="531"/>
      <c r="M296" s="531"/>
      <c r="N296" s="531"/>
      <c r="O296" s="531"/>
      <c r="P296" s="531"/>
      <c r="Q296" s="535" t="s">
        <v>48</v>
      </c>
      <c r="R296" s="535"/>
      <c r="S296" s="535"/>
      <c r="T296" s="200">
        <f>VLOOKUP(Table2[[#This Row],[Course Title]],'TSD-Data'!$A$1:$E$83,4,FALSE)</f>
        <v>30</v>
      </c>
      <c r="U296" s="200">
        <f>VLOOKUP(Table2[[#This Row],[Course Title]],'TSD-Data'!$A$1:$F$83,6,FALSE)</f>
        <v>8</v>
      </c>
      <c r="V296" s="201">
        <f>VLOOKUP(Table2[[#This Row],[Course Title]],'TSD-Data'!$A$1:$F$83,5,FALSE)</f>
        <v>1</v>
      </c>
      <c r="W296" s="201">
        <v>30</v>
      </c>
      <c r="X296" s="200">
        <f>Table2[[#This Row],[Quotas]]-Table2[[#This Row],[Open Quotas]]</f>
        <v>11</v>
      </c>
      <c r="Y296" s="200">
        <v>0</v>
      </c>
      <c r="Z296" s="201">
        <v>25</v>
      </c>
      <c r="AA296" s="201">
        <v>0</v>
      </c>
      <c r="AB296" s="200">
        <v>4</v>
      </c>
      <c r="AC296" s="200">
        <v>19</v>
      </c>
      <c r="AD296" s="200">
        <v>0</v>
      </c>
      <c r="AE296" s="200" t="s">
        <v>428</v>
      </c>
      <c r="AF296" s="495">
        <f ca="1">Table2[[#This Row],[End Date]]+2-TODAY()</f>
        <v>-138</v>
      </c>
      <c r="AG296" s="496">
        <f>IF(ISBLANK(Table2[[#This Row],[Roster Received by]]),1,0)</f>
        <v>0</v>
      </c>
      <c r="AH296" s="496">
        <f ca="1">IF(Table2[[#This Row],[Start Date]]&gt;TODAY(),1,)</f>
        <v>0</v>
      </c>
      <c r="AI296" s="496">
        <f>IF(ISBLANK(Table2[[#This Row],[Primary Instructor]]),0,1)</f>
        <v>1</v>
      </c>
      <c r="AJ296" s="496">
        <f>IF(ISBLANK(Table2[[#This Row],[Instructor 2]]),0,1)</f>
        <v>0</v>
      </c>
      <c r="AK296" s="496">
        <f>Table2[[#This Row],[Course Length (Hours)]]/(Table2[[#This Row],[1 Instructor]]+Table2[[#This Row],[2 Instructors]])</f>
        <v>8</v>
      </c>
      <c r="AL296" s="318">
        <v>19</v>
      </c>
      <c r="AM296" s="497">
        <v>2</v>
      </c>
      <c r="AN296" s="496" t="str">
        <f>VLOOKUP(Table2[[#This Row],[Course Title]],'TSD-Data'!$A$1:$G$83,7,FALSE)</f>
        <v>N4</v>
      </c>
      <c r="AO296" s="500">
        <f>Table2[[#This Row],[Quotas]]-Table2[[#This Row],[Graduates]]-Table2[[#This Row],[Fail]]</f>
        <v>5</v>
      </c>
    </row>
    <row r="297" spans="2:41" ht="15" customHeight="1" x14ac:dyDescent="0.25">
      <c r="B297" s="530"/>
      <c r="C297" s="530" t="s">
        <v>413</v>
      </c>
      <c r="D297" s="200" t="str">
        <f>VLOOKUP(Table2[[#This Row],[Course Title]],'TSD-Data'!$A$1:$E$83,2,FALSE)</f>
        <v>A-493-3007</v>
      </c>
      <c r="E297" s="200" t="str">
        <f>VLOOKUP(Table2[[#This Row],[Course Title]],'TSD-Data'!$A$1:$E$83,3,FALSE)</f>
        <v>31V9</v>
      </c>
      <c r="F297" s="530" t="s">
        <v>54</v>
      </c>
      <c r="G297" s="531">
        <v>46104</v>
      </c>
      <c r="H297" s="531">
        <v>46104</v>
      </c>
      <c r="I297" s="531" t="s">
        <v>42</v>
      </c>
      <c r="J297" s="532"/>
      <c r="K297" s="532">
        <v>4.1666666666666664E-2</v>
      </c>
      <c r="L297" s="532">
        <v>0.91666666666666663</v>
      </c>
      <c r="M297" s="532">
        <v>0.33333333333333331</v>
      </c>
      <c r="N297" s="532">
        <v>0.25</v>
      </c>
      <c r="O297" s="532">
        <v>0.83333333333333337</v>
      </c>
      <c r="P297" s="532">
        <v>0.58333333333333337</v>
      </c>
      <c r="Q297" s="535" t="s">
        <v>441</v>
      </c>
      <c r="R297" s="535"/>
      <c r="S297" s="535"/>
      <c r="T297" s="200">
        <f>VLOOKUP(Table2[[#This Row],[Course Title]],'TSD-Data'!$A$1:$E$83,4,FALSE)</f>
        <v>1000</v>
      </c>
      <c r="U297" s="200">
        <f>VLOOKUP(Table2[[#This Row],[Course Title]],'TSD-Data'!$A$1:$F$83,6,FALSE)</f>
        <v>2.5</v>
      </c>
      <c r="V297" s="201">
        <f>VLOOKUP(Table2[[#This Row],[Course Title]],'TSD-Data'!$A$1:$F$83,5,FALSE)</f>
        <v>0.3</v>
      </c>
      <c r="W297" s="201"/>
      <c r="X297" s="200">
        <f>Table2[[#This Row],[Quotas]]-Table2[[#This Row],[Open Quotas]]</f>
        <v>138</v>
      </c>
      <c r="Y297" s="200">
        <v>0</v>
      </c>
      <c r="Z297" s="201">
        <v>20</v>
      </c>
      <c r="AA297" s="201">
        <v>0</v>
      </c>
      <c r="AB297" s="200">
        <v>0</v>
      </c>
      <c r="AC297" s="200">
        <v>0</v>
      </c>
      <c r="AD297" s="200">
        <v>7</v>
      </c>
      <c r="AE297" s="200" t="s">
        <v>442</v>
      </c>
      <c r="AF297" s="495">
        <f ca="1">Table2[[#This Row],[End Date]]+2-TODAY()</f>
        <v>-138</v>
      </c>
      <c r="AG297" s="496">
        <f>IF(ISBLANK(Table2[[#This Row],[Roster Received by]]),1,0)</f>
        <v>0</v>
      </c>
      <c r="AH297" s="496">
        <f ca="1">IF(Table2[[#This Row],[Start Date]]&gt;TODAY(),1,)</f>
        <v>0</v>
      </c>
      <c r="AI297" s="496">
        <f>IF(ISBLANK(Table2[[#This Row],[Primary Instructor]]),0,1)</f>
        <v>1</v>
      </c>
      <c r="AJ297" s="496">
        <f>IF(ISBLANK(Table2[[#This Row],[Instructor 2]]),0,1)</f>
        <v>0</v>
      </c>
      <c r="AK297" s="496">
        <f>AJ521</f>
        <v>0</v>
      </c>
      <c r="AL297" s="318">
        <v>862</v>
      </c>
      <c r="AM297" s="496">
        <v>2</v>
      </c>
      <c r="AN297" s="496" t="str">
        <f>VLOOKUP(Table2[[#This Row],[Course Title]],'TSD-Data'!$A$1:$G$83,7,FALSE)</f>
        <v>N8-RMI</v>
      </c>
      <c r="AO297" s="500">
        <f>Table2[[#This Row],[Quotas]]-Table2[[#This Row],[Graduates]]-Table2[[#This Row],[Fail]]</f>
        <v>980</v>
      </c>
    </row>
    <row r="298" spans="2:41" ht="15" customHeight="1" x14ac:dyDescent="0.25">
      <c r="B298" s="530"/>
      <c r="C298" s="530" t="s">
        <v>236</v>
      </c>
      <c r="D298" s="200" t="str">
        <f>VLOOKUP(Table2[[#This Row],[Course Title]],'TSD-Data'!$A$1:$E$83,2,FALSE)</f>
        <v>A-493-2098</v>
      </c>
      <c r="E298" s="200" t="str">
        <f>VLOOKUP(Table2[[#This Row],[Course Title]],'TSD-Data'!$A$1:$E$83,3,FALSE)</f>
        <v>09WW</v>
      </c>
      <c r="F298" s="561" t="s">
        <v>54</v>
      </c>
      <c r="G298" s="562">
        <v>46104</v>
      </c>
      <c r="H298" s="562">
        <v>46106</v>
      </c>
      <c r="I298" s="531" t="s">
        <v>42</v>
      </c>
      <c r="J298" s="532"/>
      <c r="K298" s="532">
        <v>0.79166666666666663</v>
      </c>
      <c r="L298" s="536">
        <v>0.66666666666666663</v>
      </c>
      <c r="M298" s="536">
        <v>8.3333333333333329E-2</v>
      </c>
      <c r="N298" s="536">
        <v>0</v>
      </c>
      <c r="O298" s="536">
        <v>0.54166666666666663</v>
      </c>
      <c r="P298" s="536">
        <v>0.33333333333333331</v>
      </c>
      <c r="Q298" s="535" t="s">
        <v>43</v>
      </c>
      <c r="R298" s="535"/>
      <c r="S298" s="535"/>
      <c r="T298" s="200">
        <f>VLOOKUP(Table2[[#This Row],[Course Title]],'TSD-Data'!$A$1:$E$83,4,FALSE)</f>
        <v>100</v>
      </c>
      <c r="U298" s="200">
        <f>VLOOKUP(Table2[[#This Row],[Course Title]],'TSD-Data'!$A$1:$F$83,6,FALSE)</f>
        <v>16</v>
      </c>
      <c r="V298" s="201">
        <f>VLOOKUP(Table2[[#This Row],[Course Title]],'TSD-Data'!$A$1:$F$83,5,FALSE)</f>
        <v>3</v>
      </c>
      <c r="W298" s="201">
        <v>356</v>
      </c>
      <c r="X298" s="200">
        <f>Table2[[#This Row],[Quotas]]-Table2[[#This Row],[Open Quotas]]</f>
        <v>97</v>
      </c>
      <c r="Y298" s="200">
        <v>0</v>
      </c>
      <c r="Z298" s="201">
        <v>72</v>
      </c>
      <c r="AA298" s="201">
        <v>3</v>
      </c>
      <c r="AB298" s="200">
        <v>27</v>
      </c>
      <c r="AC298" s="200">
        <v>0</v>
      </c>
      <c r="AD298" s="200">
        <v>0</v>
      </c>
      <c r="AE298" s="200" t="s">
        <v>428</v>
      </c>
      <c r="AF298" s="495">
        <f ca="1">Table2[[#This Row],[End Date]]+2-TODAY()</f>
        <v>-136</v>
      </c>
      <c r="AG298" s="496">
        <f>IF(ISBLANK(Table2[[#This Row],[Roster Received by]]),1,0)</f>
        <v>0</v>
      </c>
      <c r="AH298" s="496">
        <f ca="1">IF(Table2[[#This Row],[Start Date]]&gt;TODAY(),1,)</f>
        <v>0</v>
      </c>
      <c r="AI298" s="496">
        <f>IF(ISBLANK(Table2[[#This Row],[Primary Instructor]]),0,1)</f>
        <v>1</v>
      </c>
      <c r="AJ298" s="496">
        <f>IF(ISBLANK(Table2[[#This Row],[Instructor 2]]),0,1)</f>
        <v>0</v>
      </c>
      <c r="AK298" s="496">
        <f>Table2[[#This Row],[Course Length (Hours)]]/(Table2[[#This Row],[1 Instructor]]+Table2[[#This Row],[2 Instructors]])</f>
        <v>16</v>
      </c>
      <c r="AL298" s="318">
        <v>3</v>
      </c>
      <c r="AM298" s="497">
        <v>2</v>
      </c>
      <c r="AN298" s="496" t="str">
        <f>VLOOKUP(Table2[[#This Row],[Course Title]],'TSD-Data'!$A$1:$G$83,7,FALSE)</f>
        <v>N8</v>
      </c>
      <c r="AO298" s="500">
        <f>Table2[[#This Row],[Quotas]]-Table2[[#This Row],[Graduates]]-Table2[[#This Row],[Fail]]</f>
        <v>25</v>
      </c>
    </row>
    <row r="299" spans="2:41" ht="15" customHeight="1" x14ac:dyDescent="0.25">
      <c r="B299" s="530"/>
      <c r="C299" s="530" t="s">
        <v>239</v>
      </c>
      <c r="D299" s="200" t="str">
        <f>VLOOKUP(Table2[[#This Row],[Course Title]],'TSD-Data'!$A$1:$E$83,2,FALSE)</f>
        <v>F-4J-0023</v>
      </c>
      <c r="E299" s="200" t="str">
        <f>VLOOKUP(Table2[[#This Row],[Course Title]],'TSD-Data'!$A$1:$E$83,3,FALSE)</f>
        <v>11A2</v>
      </c>
      <c r="F299" s="530" t="s">
        <v>54</v>
      </c>
      <c r="G299" s="531">
        <v>46104</v>
      </c>
      <c r="H299" s="531">
        <v>46105</v>
      </c>
      <c r="I299" s="531" t="s">
        <v>42</v>
      </c>
      <c r="J299" s="532"/>
      <c r="K299" s="532">
        <v>0.33333333333333331</v>
      </c>
      <c r="L299" s="532">
        <v>0.20833333333333334</v>
      </c>
      <c r="M299" s="532">
        <v>0.625</v>
      </c>
      <c r="N299" s="532">
        <v>0.54166666666666663</v>
      </c>
      <c r="O299" s="532">
        <v>8.3333333333333329E-2</v>
      </c>
      <c r="P299" s="532">
        <v>0.875</v>
      </c>
      <c r="Q299" s="535" t="s">
        <v>462</v>
      </c>
      <c r="R299" s="535"/>
      <c r="S299" s="535"/>
      <c r="T299" s="200">
        <f>VLOOKUP(Table2[[#This Row],[Course Title]],'TSD-Data'!$A$1:$E$83,4,FALSE)</f>
        <v>45</v>
      </c>
      <c r="U299" s="200">
        <f>VLOOKUP(Table2[[#This Row],[Course Title]],'TSD-Data'!$A$1:$F$83,6,FALSE)</f>
        <v>16</v>
      </c>
      <c r="V299" s="201">
        <f>VLOOKUP(Table2[[#This Row],[Course Title]],'TSD-Data'!$A$1:$F$83,5,FALSE)</f>
        <v>2</v>
      </c>
      <c r="W299" s="201">
        <v>28</v>
      </c>
      <c r="X299" s="200">
        <f>Table2[[#This Row],[Quotas]]-Table2[[#This Row],[Open Quotas]]</f>
        <v>14</v>
      </c>
      <c r="Y299" s="200">
        <v>0</v>
      </c>
      <c r="Z299" s="201">
        <v>9</v>
      </c>
      <c r="AA299" s="201">
        <v>0</v>
      </c>
      <c r="AB299" s="200">
        <v>8</v>
      </c>
      <c r="AC299" s="200">
        <v>0</v>
      </c>
      <c r="AD299" s="200">
        <v>0</v>
      </c>
      <c r="AE299" s="200" t="s">
        <v>429</v>
      </c>
      <c r="AF299" s="495">
        <f ca="1">Table2[[#This Row],[End Date]]+2-TODAY()</f>
        <v>-137</v>
      </c>
      <c r="AG299" s="496">
        <f>IF(ISBLANK(Table2[[#This Row],[Roster Received by]]),1,0)</f>
        <v>0</v>
      </c>
      <c r="AH299" s="496">
        <f ca="1">IF(Table2[[#This Row],[Start Date]]&gt;TODAY(),1,)</f>
        <v>0</v>
      </c>
      <c r="AI299" s="496">
        <f>IF(ISBLANK(Table2[[#This Row],[Primary Instructor]]),0,1)</f>
        <v>1</v>
      </c>
      <c r="AJ299" s="496">
        <f>IF(ISBLANK(Table2[[#This Row],[Instructor 2]]),0,1)</f>
        <v>0</v>
      </c>
      <c r="AK299" s="496">
        <f>Table2[[#This Row],[Course Length (Hours)]]/(Table2[[#This Row],[1 Instructor]]+Table2[[#This Row],[2 Instructors]])</f>
        <v>16</v>
      </c>
      <c r="AL299" s="318">
        <v>31</v>
      </c>
      <c r="AM299" s="497">
        <v>2</v>
      </c>
      <c r="AN299" s="496" t="str">
        <f>VLOOKUP(Table2[[#This Row],[Course Title]],'TSD-Data'!$A$1:$G$83,7,FALSE)</f>
        <v>N8</v>
      </c>
      <c r="AO299" s="500">
        <f>Table2[[#This Row],[Quotas]]-Table2[[#This Row],[Graduates]]-Table2[[#This Row],[Fail]]</f>
        <v>36</v>
      </c>
    </row>
    <row r="300" spans="2:41" s="202" customFormat="1" ht="15" customHeight="1" x14ac:dyDescent="0.25">
      <c r="B300" s="530"/>
      <c r="C300" s="530" t="s">
        <v>398</v>
      </c>
      <c r="D300" s="200" t="str">
        <f>VLOOKUP(Table2[[#This Row],[Course Title]],'TSD-Data'!$A$1:$E$83,2,FALSE)</f>
        <v>A-493-3004</v>
      </c>
      <c r="E300" s="200" t="str">
        <f>VLOOKUP(Table2[[#This Row],[Course Title]],'TSD-Data'!$A$1:$E$83,3,FALSE)</f>
        <v>31V6</v>
      </c>
      <c r="F300" s="561" t="s">
        <v>54</v>
      </c>
      <c r="G300" s="562">
        <v>46105</v>
      </c>
      <c r="H300" s="562">
        <v>46105</v>
      </c>
      <c r="I300" s="531" t="s">
        <v>42</v>
      </c>
      <c r="J300" s="532"/>
      <c r="K300" s="532">
        <v>0.97916666666666663</v>
      </c>
      <c r="L300" s="532">
        <v>0.85416666666666663</v>
      </c>
      <c r="M300" s="532">
        <v>0.27083333333333331</v>
      </c>
      <c r="N300" s="532">
        <v>0.1875</v>
      </c>
      <c r="O300" s="532">
        <v>0.77083333333333337</v>
      </c>
      <c r="P300" s="532">
        <v>0.52083333333333337</v>
      </c>
      <c r="Q300" s="535" t="s">
        <v>441</v>
      </c>
      <c r="R300" s="535"/>
      <c r="S300" s="535"/>
      <c r="T300" s="200">
        <f>VLOOKUP(Table2[[#This Row],[Course Title]],'TSD-Data'!$A$1:$E$83,4,FALSE)</f>
        <v>1000</v>
      </c>
      <c r="U300" s="200">
        <f>VLOOKUP(Table2[[#This Row],[Course Title]],'TSD-Data'!$A$1:$F$83,6,FALSE)</f>
        <v>2</v>
      </c>
      <c r="V300" s="201">
        <f>VLOOKUP(Table2[[#This Row],[Course Title]],'TSD-Data'!$A$1:$F$83,5,FALSE)</f>
        <v>0.25</v>
      </c>
      <c r="W300" s="201"/>
      <c r="X300" s="200">
        <f>Table2[[#This Row],[Quotas]]-Table2[[#This Row],[Open Quotas]]</f>
        <v>138</v>
      </c>
      <c r="Y300" s="200">
        <v>0</v>
      </c>
      <c r="Z300" s="201">
        <v>27</v>
      </c>
      <c r="AA300" s="201">
        <v>0</v>
      </c>
      <c r="AB300" s="200">
        <v>0</v>
      </c>
      <c r="AC300" s="200">
        <v>0</v>
      </c>
      <c r="AD300" s="200">
        <v>14</v>
      </c>
      <c r="AE300" s="200" t="s">
        <v>442</v>
      </c>
      <c r="AF300" s="495">
        <f ca="1">Table2[[#This Row],[End Date]]+2-TODAY()</f>
        <v>-137</v>
      </c>
      <c r="AG300" s="496">
        <f>IF(ISBLANK(Table2[[#This Row],[Roster Received by]]),1,0)</f>
        <v>0</v>
      </c>
      <c r="AH300" s="496">
        <f ca="1">IF(Table2[[#This Row],[Start Date]]&gt;TODAY(),1,)</f>
        <v>0</v>
      </c>
      <c r="AI300" s="496">
        <f>IF(ISBLANK(Table2[[#This Row],[Primary Instructor]]),0,1)</f>
        <v>1</v>
      </c>
      <c r="AJ300" s="496">
        <f>IF(ISBLANK(Table2[[#This Row],[Instructor 2]]),0,1)</f>
        <v>0</v>
      </c>
      <c r="AK300" s="496">
        <f>AJ524</f>
        <v>0</v>
      </c>
      <c r="AL300" s="318">
        <v>862</v>
      </c>
      <c r="AM300" s="496">
        <v>2</v>
      </c>
      <c r="AN300" s="496" t="str">
        <f>VLOOKUP(Table2[[#This Row],[Course Title]],'TSD-Data'!$A$1:$G$83,7,FALSE)</f>
        <v>N8-RMI</v>
      </c>
      <c r="AO300" s="500">
        <f>Table2[[#This Row],[Quotas]]-Table2[[#This Row],[Graduates]]-Table2[[#This Row],[Fail]]</f>
        <v>973</v>
      </c>
    </row>
    <row r="301" spans="2:41" ht="15" customHeight="1" x14ac:dyDescent="0.25">
      <c r="B301" s="530"/>
      <c r="C301" s="530" t="s">
        <v>399</v>
      </c>
      <c r="D301" s="200" t="str">
        <f>VLOOKUP(Table2[[#This Row],[Course Title]],'TSD-Data'!$A$1:$E$83,2,FALSE)</f>
        <v>A-493-3011</v>
      </c>
      <c r="E301" s="200" t="str">
        <f>VLOOKUP(Table2[[#This Row],[Course Title]],'TSD-Data'!$A$1:$E$83,3,FALSE)</f>
        <v>31VD</v>
      </c>
      <c r="F301" s="530" t="s">
        <v>54</v>
      </c>
      <c r="G301" s="531">
        <v>46105</v>
      </c>
      <c r="H301" s="531">
        <v>46105</v>
      </c>
      <c r="I301" s="531" t="s">
        <v>42</v>
      </c>
      <c r="J301" s="532"/>
      <c r="K301" s="532">
        <v>6.9444444444444447E-4</v>
      </c>
      <c r="L301" s="532">
        <v>0.875</v>
      </c>
      <c r="M301" s="532">
        <v>0.79166666666666663</v>
      </c>
      <c r="N301" s="532">
        <v>0.20833333333333334</v>
      </c>
      <c r="O301" s="532">
        <v>0.79166666666666663</v>
      </c>
      <c r="P301" s="532">
        <v>0.54166666666666663</v>
      </c>
      <c r="Q301" s="535" t="s">
        <v>441</v>
      </c>
      <c r="R301" s="535"/>
      <c r="S301" s="535"/>
      <c r="T301" s="200">
        <f>VLOOKUP(Table2[[#This Row],[Course Title]],'TSD-Data'!$A$1:$E$83,4,FALSE)</f>
        <v>1000</v>
      </c>
      <c r="U301" s="200">
        <f>VLOOKUP(Table2[[#This Row],[Course Title]],'TSD-Data'!$A$1:$F$83,6,FALSE)</f>
        <v>2.5</v>
      </c>
      <c r="V301" s="201">
        <f>VLOOKUP(Table2[[#This Row],[Course Title]],'TSD-Data'!$A$1:$F$83,5,FALSE)</f>
        <v>0.3</v>
      </c>
      <c r="W301" s="201"/>
      <c r="X301" s="200">
        <f>Table2[[#This Row],[Quotas]]-Table2[[#This Row],[Open Quotas]]</f>
        <v>138</v>
      </c>
      <c r="Y301" s="200">
        <v>0</v>
      </c>
      <c r="Z301" s="201">
        <v>26</v>
      </c>
      <c r="AA301" s="201">
        <v>0</v>
      </c>
      <c r="AB301" s="200">
        <v>0</v>
      </c>
      <c r="AC301" s="200">
        <v>0</v>
      </c>
      <c r="AD301" s="200">
        <v>12</v>
      </c>
      <c r="AE301" s="200" t="s">
        <v>442</v>
      </c>
      <c r="AF301" s="495">
        <f ca="1">Table2[[#This Row],[End Date]]+2-TODAY()</f>
        <v>-137</v>
      </c>
      <c r="AG301" s="496">
        <f>IF(ISBLANK(Table2[[#This Row],[Roster Received by]]),1,0)</f>
        <v>0</v>
      </c>
      <c r="AH301" s="496">
        <f ca="1">IF(Table2[[#This Row],[Start Date]]&gt;TODAY(),1,)</f>
        <v>0</v>
      </c>
      <c r="AI301" s="496">
        <f>IF(ISBLANK(Table2[[#This Row],[Primary Instructor]]),0,1)</f>
        <v>1</v>
      </c>
      <c r="AJ301" s="496">
        <f>IF(ISBLANK(Table2[[#This Row],[Instructor 2]]),0,1)</f>
        <v>0</v>
      </c>
      <c r="AK301" s="496">
        <f>AJ525</f>
        <v>1</v>
      </c>
      <c r="AL301" s="318">
        <v>862</v>
      </c>
      <c r="AM301" s="496">
        <v>2</v>
      </c>
      <c r="AN301" s="496" t="str">
        <f>VLOOKUP(Table2[[#This Row],[Course Title]],'TSD-Data'!$A$1:$G$83,7,FALSE)</f>
        <v>N8-RMI</v>
      </c>
      <c r="AO301" s="500">
        <f>Table2[[#This Row],[Quotas]]-Table2[[#This Row],[Graduates]]-Table2[[#This Row],[Fail]]</f>
        <v>974</v>
      </c>
    </row>
    <row r="302" spans="2:41" s="202" customFormat="1" ht="15" customHeight="1" x14ac:dyDescent="0.25">
      <c r="B302" s="530"/>
      <c r="C302" s="530" t="s">
        <v>409</v>
      </c>
      <c r="D302" s="200" t="str">
        <f>VLOOKUP(Table2[[#This Row],[Course Title]],'TSD-Data'!$A$1:$E$83,2,FALSE)</f>
        <v>A-493-3001</v>
      </c>
      <c r="E302" s="200" t="str">
        <f>VLOOKUP(Table2[[#This Row],[Course Title]],'TSD-Data'!$A$1:$E$83,3,FALSE)</f>
        <v>31V3</v>
      </c>
      <c r="F302" s="530" t="s">
        <v>54</v>
      </c>
      <c r="G302" s="531">
        <v>46105</v>
      </c>
      <c r="H302" s="531">
        <v>46105</v>
      </c>
      <c r="I302" s="531" t="s">
        <v>42</v>
      </c>
      <c r="J302" s="532"/>
      <c r="K302" s="532">
        <v>0.79166666666666663</v>
      </c>
      <c r="L302" s="532">
        <v>0.66666666666666663</v>
      </c>
      <c r="M302" s="532">
        <v>8.3333333333333329E-2</v>
      </c>
      <c r="N302" s="532">
        <v>6.9444444444444447E-4</v>
      </c>
      <c r="O302" s="532">
        <v>0.58333333333333337</v>
      </c>
      <c r="P302" s="532">
        <v>0.33333333333333331</v>
      </c>
      <c r="Q302" s="535" t="s">
        <v>441</v>
      </c>
      <c r="R302" s="535"/>
      <c r="S302" s="535"/>
      <c r="T302" s="200">
        <f>VLOOKUP(Table2[[#This Row],[Course Title]],'TSD-Data'!$A$1:$E$83,4,FALSE)</f>
        <v>1000</v>
      </c>
      <c r="U302" s="200">
        <f>VLOOKUP(Table2[[#This Row],[Course Title]],'TSD-Data'!$A$1:$F$83,6,FALSE)</f>
        <v>2</v>
      </c>
      <c r="V302" s="201">
        <f>VLOOKUP(Table2[[#This Row],[Course Title]],'TSD-Data'!$A$1:$F$83,5,FALSE)</f>
        <v>0.25</v>
      </c>
      <c r="W302" s="201"/>
      <c r="X302" s="200">
        <f>Table2[[#This Row],[Quotas]]-Table2[[#This Row],[Open Quotas]]</f>
        <v>138</v>
      </c>
      <c r="Y302" s="200">
        <v>0</v>
      </c>
      <c r="Z302" s="201">
        <v>20</v>
      </c>
      <c r="AA302" s="201">
        <v>0</v>
      </c>
      <c r="AB302" s="200">
        <v>0</v>
      </c>
      <c r="AC302" s="200">
        <v>0</v>
      </c>
      <c r="AD302" s="200">
        <v>8</v>
      </c>
      <c r="AE302" s="200" t="s">
        <v>442</v>
      </c>
      <c r="AF302" s="495">
        <f ca="1">Table2[[#This Row],[End Date]]+2-TODAY()</f>
        <v>-137</v>
      </c>
      <c r="AG302" s="496">
        <f>IF(ISBLANK(Table2[[#This Row],[Roster Received by]]),1,0)</f>
        <v>0</v>
      </c>
      <c r="AH302" s="496">
        <f ca="1">IF(Table2[[#This Row],[Start Date]]&gt;TODAY(),1,)</f>
        <v>0</v>
      </c>
      <c r="AI302" s="496">
        <f>IF(ISBLANK(Table2[[#This Row],[Primary Instructor]]),0,1)</f>
        <v>1</v>
      </c>
      <c r="AJ302" s="496">
        <f>IF(ISBLANK(Table2[[#This Row],[Instructor 2]]),0,1)</f>
        <v>0</v>
      </c>
      <c r="AK302" s="496">
        <f>AJ526</f>
        <v>1</v>
      </c>
      <c r="AL302" s="318">
        <v>862</v>
      </c>
      <c r="AM302" s="496">
        <v>2</v>
      </c>
      <c r="AN302" s="496" t="str">
        <f>VLOOKUP(Table2[[#This Row],[Course Title]],'TSD-Data'!$A$1:$G$83,7,FALSE)</f>
        <v>N8-RMI</v>
      </c>
      <c r="AO302" s="500">
        <f>Table2[[#This Row],[Quotas]]-Table2[[#This Row],[Graduates]]-Table2[[#This Row],[Fail]]</f>
        <v>980</v>
      </c>
    </row>
    <row r="303" spans="2:41" ht="15" customHeight="1" x14ac:dyDescent="0.25">
      <c r="B303" s="530"/>
      <c r="C303" s="530" t="s">
        <v>99</v>
      </c>
      <c r="D303" s="200" t="str">
        <f>VLOOKUP(Table2[[#This Row],[Course Title]],'TSD-Data'!$A$1:$E$83,2,FALSE)</f>
        <v>A-493-2501</v>
      </c>
      <c r="E303" s="200" t="str">
        <f>VLOOKUP(Table2[[#This Row],[Course Title]],'TSD-Data'!$A$1:$E$83,3,FALSE)</f>
        <v>05ZE</v>
      </c>
      <c r="F303" s="530" t="s">
        <v>51</v>
      </c>
      <c r="G303" s="531">
        <v>46105</v>
      </c>
      <c r="H303" s="531">
        <v>46105</v>
      </c>
      <c r="I303" s="129" t="s">
        <v>42</v>
      </c>
      <c r="J303" s="532">
        <v>0.33333333333333331</v>
      </c>
      <c r="K303" s="532"/>
      <c r="L303" s="531"/>
      <c r="M303" s="531"/>
      <c r="N303" s="531"/>
      <c r="O303" s="531"/>
      <c r="P303" s="531"/>
      <c r="Q303" s="535" t="s">
        <v>48</v>
      </c>
      <c r="R303" s="535"/>
      <c r="S303" s="535"/>
      <c r="T303" s="200">
        <f>VLOOKUP(Table2[[#This Row],[Course Title]],'TSD-Data'!$A$1:$E$83,4,FALSE)</f>
        <v>30</v>
      </c>
      <c r="U303" s="200">
        <f>VLOOKUP(Table2[[#This Row],[Course Title]],'TSD-Data'!$A$1:$F$83,6,FALSE)</f>
        <v>8</v>
      </c>
      <c r="V303" s="201">
        <f>VLOOKUP(Table2[[#This Row],[Course Title]],'TSD-Data'!$A$1:$F$83,5,FALSE)</f>
        <v>1</v>
      </c>
      <c r="W303" s="201">
        <v>28</v>
      </c>
      <c r="X303" s="200">
        <f>Table2[[#This Row],[Quotas]]-Table2[[#This Row],[Open Quotas]]</f>
        <v>24</v>
      </c>
      <c r="Y303" s="200">
        <v>0</v>
      </c>
      <c r="Z303" s="201">
        <v>21</v>
      </c>
      <c r="AA303" s="201">
        <v>0</v>
      </c>
      <c r="AB303" s="200">
        <v>7</v>
      </c>
      <c r="AC303" s="200">
        <v>1</v>
      </c>
      <c r="AD303" s="200">
        <v>0</v>
      </c>
      <c r="AE303" s="200" t="s">
        <v>428</v>
      </c>
      <c r="AF303" s="495">
        <f ca="1">Table2[[#This Row],[End Date]]+2-TODAY()</f>
        <v>-137</v>
      </c>
      <c r="AG303" s="496">
        <f>IF(ISBLANK(Table2[[#This Row],[Roster Received by]]),1,0)</f>
        <v>0</v>
      </c>
      <c r="AH303" s="496">
        <f ca="1">IF(Table2[[#This Row],[Start Date]]&gt;TODAY(),1,)</f>
        <v>0</v>
      </c>
      <c r="AI303" s="496">
        <f>IF(ISBLANK(Table2[[#This Row],[Primary Instructor]]),0,1)</f>
        <v>1</v>
      </c>
      <c r="AJ303" s="496">
        <f>IF(ISBLANK(Table2[[#This Row],[Instructor 2]]),0,1)</f>
        <v>0</v>
      </c>
      <c r="AK303" s="496">
        <f>Table2[[#This Row],[Course Length (Hours)]]/(Table2[[#This Row],[1 Instructor]]+Table2[[#This Row],[2 Instructors]])</f>
        <v>8</v>
      </c>
      <c r="AL303" s="318">
        <v>6</v>
      </c>
      <c r="AM303" s="497">
        <v>2</v>
      </c>
      <c r="AN303" s="496" t="str">
        <f>VLOOKUP(Table2[[#This Row],[Course Title]],'TSD-Data'!$A$1:$G$83,7,FALSE)</f>
        <v>N4</v>
      </c>
      <c r="AO303" s="500">
        <f>Table2[[#This Row],[Quotas]]-Table2[[#This Row],[Graduates]]-Table2[[#This Row],[Fail]]</f>
        <v>9</v>
      </c>
    </row>
    <row r="304" spans="2:41" s="202" customFormat="1" ht="15" customHeight="1" x14ac:dyDescent="0.25">
      <c r="B304" s="530"/>
      <c r="C304" s="530" t="s">
        <v>396</v>
      </c>
      <c r="D304" s="200" t="str">
        <f>VLOOKUP(Table2[[#This Row],[Course Title]],'TSD-Data'!$A$1:$E$83,2,FALSE)</f>
        <v>A-493-3018</v>
      </c>
      <c r="E304" s="200" t="str">
        <f>VLOOKUP(Table2[[#This Row],[Course Title]],'TSD-Data'!$A$1:$E$83,3,FALSE)</f>
        <v>31YM</v>
      </c>
      <c r="F304" s="530" t="s">
        <v>54</v>
      </c>
      <c r="G304" s="531">
        <v>46106</v>
      </c>
      <c r="H304" s="531">
        <v>46106</v>
      </c>
      <c r="I304" s="531" t="s">
        <v>42</v>
      </c>
      <c r="J304" s="532"/>
      <c r="K304" s="532">
        <v>6.25E-2</v>
      </c>
      <c r="L304" s="532">
        <v>0.9375</v>
      </c>
      <c r="M304" s="532">
        <v>0.35416666666666669</v>
      </c>
      <c r="N304" s="532">
        <v>0.27083333333333331</v>
      </c>
      <c r="O304" s="532">
        <v>0.85416666666666663</v>
      </c>
      <c r="P304" s="532">
        <v>0.60416666666666663</v>
      </c>
      <c r="Q304" s="535" t="s">
        <v>441</v>
      </c>
      <c r="R304" s="535"/>
      <c r="S304" s="535"/>
      <c r="T304" s="200">
        <f>VLOOKUP(Table2[[#This Row],[Course Title]],'TSD-Data'!$A$1:$E$83,4,FALSE)</f>
        <v>1000</v>
      </c>
      <c r="U304" s="200">
        <f>VLOOKUP(Table2[[#This Row],[Course Title]],'TSD-Data'!$A$1:$F$83,6,FALSE)</f>
        <v>2</v>
      </c>
      <c r="V304" s="201">
        <f>VLOOKUP(Table2[[#This Row],[Course Title]],'TSD-Data'!$A$1:$F$83,5,FALSE)</f>
        <v>0.25</v>
      </c>
      <c r="W304" s="201"/>
      <c r="X304" s="200">
        <f>Table2[[#This Row],[Quotas]]-Table2[[#This Row],[Open Quotas]]</f>
        <v>138</v>
      </c>
      <c r="Y304" s="200">
        <v>0</v>
      </c>
      <c r="Z304" s="201">
        <v>17</v>
      </c>
      <c r="AA304" s="201">
        <v>0</v>
      </c>
      <c r="AB304" s="200">
        <v>0</v>
      </c>
      <c r="AC304" s="200">
        <v>0</v>
      </c>
      <c r="AD304" s="200">
        <v>9</v>
      </c>
      <c r="AE304" s="200" t="s">
        <v>442</v>
      </c>
      <c r="AF304" s="495">
        <f ca="1">Table2[[#This Row],[End Date]]+2-TODAY()</f>
        <v>-136</v>
      </c>
      <c r="AG304" s="496">
        <f>IF(ISBLANK(Table2[[#This Row],[Roster Received by]]),1,0)</f>
        <v>0</v>
      </c>
      <c r="AH304" s="496">
        <f ca="1">IF(Table2[[#This Row],[Start Date]]&gt;TODAY(),1,)</f>
        <v>0</v>
      </c>
      <c r="AI304" s="496">
        <f>IF(ISBLANK(Table2[[#This Row],[Primary Instructor]]),0,1)</f>
        <v>1</v>
      </c>
      <c r="AJ304" s="496">
        <f>IF(ISBLANK(Table2[[#This Row],[Instructor 2]]),0,1)</f>
        <v>0</v>
      </c>
      <c r="AK304" s="496">
        <f>AJ528</f>
        <v>0</v>
      </c>
      <c r="AL304" s="318">
        <v>862</v>
      </c>
      <c r="AM304" s="496">
        <v>2</v>
      </c>
      <c r="AN304" s="496" t="str">
        <f>VLOOKUP(Table2[[#This Row],[Course Title]],'TSD-Data'!$A$1:$G$83,7,FALSE)</f>
        <v>N8-RMI</v>
      </c>
      <c r="AO304" s="500">
        <f>Table2[[#This Row],[Quotas]]-Table2[[#This Row],[Graduates]]-Table2[[#This Row],[Fail]]</f>
        <v>983</v>
      </c>
    </row>
    <row r="305" spans="2:41" s="202" customFormat="1" ht="15" customHeight="1" x14ac:dyDescent="0.25">
      <c r="B305" s="530"/>
      <c r="C305" s="530" t="s">
        <v>403</v>
      </c>
      <c r="D305" s="200" t="str">
        <f>VLOOKUP(Table2[[#This Row],[Course Title]],'TSD-Data'!$A$1:$E$83,2,FALSE)</f>
        <v>A-493-3013</v>
      </c>
      <c r="E305" s="200" t="str">
        <f>VLOOKUP(Table2[[#This Row],[Course Title]],'TSD-Data'!$A$1:$E$83,3,FALSE)</f>
        <v>31YG</v>
      </c>
      <c r="F305" s="530" t="s">
        <v>54</v>
      </c>
      <c r="G305" s="531">
        <v>46106</v>
      </c>
      <c r="H305" s="531">
        <v>46106</v>
      </c>
      <c r="I305" s="531" t="s">
        <v>42</v>
      </c>
      <c r="J305" s="532"/>
      <c r="K305" s="532">
        <v>0.89583333333333337</v>
      </c>
      <c r="L305" s="532">
        <v>0.77083333333333337</v>
      </c>
      <c r="M305" s="532">
        <v>0.1875</v>
      </c>
      <c r="N305" s="532">
        <v>0.10416666666666667</v>
      </c>
      <c r="O305" s="532">
        <v>0.6875</v>
      </c>
      <c r="P305" s="532">
        <v>0.4375</v>
      </c>
      <c r="Q305" s="535" t="s">
        <v>441</v>
      </c>
      <c r="R305" s="535"/>
      <c r="S305" s="535"/>
      <c r="T305" s="200">
        <f>VLOOKUP(Table2[[#This Row],[Course Title]],'TSD-Data'!$A$1:$E$83,4,FALSE)</f>
        <v>1000</v>
      </c>
      <c r="U305" s="200">
        <f>VLOOKUP(Table2[[#This Row],[Course Title]],'TSD-Data'!$A$1:$F$83,6,FALSE)</f>
        <v>2</v>
      </c>
      <c r="V305" s="201">
        <f>VLOOKUP(Table2[[#This Row],[Course Title]],'TSD-Data'!$A$1:$F$83,5,FALSE)</f>
        <v>0.25</v>
      </c>
      <c r="W305" s="201"/>
      <c r="X305" s="200">
        <f>Table2[[#This Row],[Quotas]]-Table2[[#This Row],[Open Quotas]]</f>
        <v>138</v>
      </c>
      <c r="Y305" s="200">
        <v>0</v>
      </c>
      <c r="Z305" s="201">
        <v>17</v>
      </c>
      <c r="AA305" s="201">
        <v>0</v>
      </c>
      <c r="AB305" s="200">
        <v>0</v>
      </c>
      <c r="AC305" s="200">
        <v>0</v>
      </c>
      <c r="AD305" s="200">
        <v>5</v>
      </c>
      <c r="AE305" s="200" t="s">
        <v>442</v>
      </c>
      <c r="AF305" s="495">
        <f ca="1">Table2[[#This Row],[End Date]]+2-TODAY()</f>
        <v>-136</v>
      </c>
      <c r="AG305" s="496">
        <f>IF(ISBLANK(Table2[[#This Row],[Roster Received by]]),1,0)</f>
        <v>0</v>
      </c>
      <c r="AH305" s="496">
        <f ca="1">IF(Table2[[#This Row],[Start Date]]&gt;TODAY(),1,)</f>
        <v>0</v>
      </c>
      <c r="AI305" s="496">
        <f>IF(ISBLANK(Table2[[#This Row],[Primary Instructor]]),0,1)</f>
        <v>1</v>
      </c>
      <c r="AJ305" s="496">
        <f>IF(ISBLANK(Table2[[#This Row],[Instructor 2]]),0,1)</f>
        <v>0</v>
      </c>
      <c r="AK305" s="496">
        <f>AJ529</f>
        <v>0</v>
      </c>
      <c r="AL305" s="318">
        <v>862</v>
      </c>
      <c r="AM305" s="496">
        <v>2</v>
      </c>
      <c r="AN305" s="496" t="str">
        <f>VLOOKUP(Table2[[#This Row],[Course Title]],'TSD-Data'!$A$1:$G$83,7,FALSE)</f>
        <v>N8-RMI</v>
      </c>
      <c r="AO305" s="500">
        <f>Table2[[#This Row],[Quotas]]-Table2[[#This Row],[Graduates]]-Table2[[#This Row],[Fail]]</f>
        <v>983</v>
      </c>
    </row>
    <row r="306" spans="2:41" s="202" customFormat="1" ht="15" customHeight="1" x14ac:dyDescent="0.25">
      <c r="B306" s="530"/>
      <c r="C306" s="530" t="s">
        <v>405</v>
      </c>
      <c r="D306" s="200" t="str">
        <f>VLOOKUP(Table2[[#This Row],[Course Title]],'TSD-Data'!$A$1:$E$83,2,FALSE)</f>
        <v>A-493-3015</v>
      </c>
      <c r="E306" s="200" t="str">
        <f>VLOOKUP(Table2[[#This Row],[Course Title]],'TSD-Data'!$A$1:$E$83,3,FALSE)</f>
        <v>31YJ</v>
      </c>
      <c r="F306" s="530" t="s">
        <v>54</v>
      </c>
      <c r="G306" s="531">
        <v>46106</v>
      </c>
      <c r="H306" s="531">
        <v>46106</v>
      </c>
      <c r="I306" s="531" t="s">
        <v>42</v>
      </c>
      <c r="J306" s="532"/>
      <c r="K306" s="532">
        <v>0.79166666666666663</v>
      </c>
      <c r="L306" s="532">
        <v>0.66666666666666663</v>
      </c>
      <c r="M306" s="532">
        <v>8.3333333333333329E-2</v>
      </c>
      <c r="N306" s="532">
        <v>6.9444444444444447E-4</v>
      </c>
      <c r="O306" s="532">
        <v>0.58333333333333337</v>
      </c>
      <c r="P306" s="532">
        <v>0.33333333333333331</v>
      </c>
      <c r="Q306" s="535" t="s">
        <v>441</v>
      </c>
      <c r="R306" s="535"/>
      <c r="S306" s="535"/>
      <c r="T306" s="200">
        <f>VLOOKUP(Table2[[#This Row],[Course Title]],'TSD-Data'!$A$1:$E$83,4,FALSE)</f>
        <v>1000</v>
      </c>
      <c r="U306" s="200">
        <f>VLOOKUP(Table2[[#This Row],[Course Title]],'TSD-Data'!$A$1:$F$83,6,FALSE)</f>
        <v>1.5</v>
      </c>
      <c r="V306" s="201">
        <f>VLOOKUP(Table2[[#This Row],[Course Title]],'TSD-Data'!$A$1:$F$83,5,FALSE)</f>
        <v>0.1</v>
      </c>
      <c r="W306" s="201"/>
      <c r="X306" s="200">
        <f>Table2[[#This Row],[Quotas]]-Table2[[#This Row],[Open Quotas]]</f>
        <v>138</v>
      </c>
      <c r="Y306" s="200">
        <v>0</v>
      </c>
      <c r="Z306" s="201">
        <v>19</v>
      </c>
      <c r="AA306" s="201">
        <v>0</v>
      </c>
      <c r="AB306" s="200">
        <v>0</v>
      </c>
      <c r="AC306" s="200">
        <v>0</v>
      </c>
      <c r="AD306" s="200">
        <v>6</v>
      </c>
      <c r="AE306" s="200" t="s">
        <v>442</v>
      </c>
      <c r="AF306" s="495">
        <f ca="1">Table2[[#This Row],[End Date]]+2-TODAY()</f>
        <v>-136</v>
      </c>
      <c r="AG306" s="496">
        <f>IF(ISBLANK(Table2[[#This Row],[Roster Received by]]),1,0)</f>
        <v>0</v>
      </c>
      <c r="AH306" s="496">
        <f ca="1">IF(Table2[[#This Row],[Start Date]]&gt;TODAY(),1,)</f>
        <v>0</v>
      </c>
      <c r="AI306" s="496">
        <f>IF(ISBLANK(Table2[[#This Row],[Primary Instructor]]),0,1)</f>
        <v>1</v>
      </c>
      <c r="AJ306" s="496">
        <f>IF(ISBLANK(Table2[[#This Row],[Instructor 2]]),0,1)</f>
        <v>0</v>
      </c>
      <c r="AK306" s="496">
        <f>AJ530</f>
        <v>0</v>
      </c>
      <c r="AL306" s="318">
        <v>862</v>
      </c>
      <c r="AM306" s="496">
        <v>2</v>
      </c>
      <c r="AN306" s="496" t="str">
        <f>VLOOKUP(Table2[[#This Row],[Course Title]],'TSD-Data'!$A$1:$G$83,7,FALSE)</f>
        <v>N8-RMI</v>
      </c>
      <c r="AO306" s="500">
        <f>Table2[[#This Row],[Quotas]]-Table2[[#This Row],[Graduates]]-Table2[[#This Row],[Fail]]</f>
        <v>981</v>
      </c>
    </row>
    <row r="307" spans="2:41" ht="15" customHeight="1" x14ac:dyDescent="0.25">
      <c r="B307" s="530"/>
      <c r="C307" s="530" t="s">
        <v>406</v>
      </c>
      <c r="D307" s="200" t="str">
        <f>VLOOKUP(Table2[[#This Row],[Course Title]],'TSD-Data'!$A$1:$E$83,2,FALSE)</f>
        <v>A-493-3016</v>
      </c>
      <c r="E307" s="200" t="str">
        <f>VLOOKUP(Table2[[#This Row],[Course Title]],'TSD-Data'!$A$1:$E$83,3,FALSE)</f>
        <v>31Yk</v>
      </c>
      <c r="F307" s="530" t="s">
        <v>54</v>
      </c>
      <c r="G307" s="531">
        <v>46106</v>
      </c>
      <c r="H307" s="531">
        <v>46106</v>
      </c>
      <c r="I307" s="531" t="s">
        <v>42</v>
      </c>
      <c r="J307" s="532"/>
      <c r="K307" s="532">
        <v>0.97916666666666663</v>
      </c>
      <c r="L307" s="532">
        <v>0.85416666666666663</v>
      </c>
      <c r="M307" s="532">
        <v>0.27083333333333331</v>
      </c>
      <c r="N307" s="532">
        <v>0.1875</v>
      </c>
      <c r="O307" s="532">
        <v>0.77083333333333337</v>
      </c>
      <c r="P307" s="532">
        <v>0.52083333333333337</v>
      </c>
      <c r="Q307" s="535" t="s">
        <v>441</v>
      </c>
      <c r="R307" s="535"/>
      <c r="S307" s="535"/>
      <c r="T307" s="200">
        <f>VLOOKUP(Table2[[#This Row],[Course Title]],'TSD-Data'!$A$1:$E$83,4,FALSE)</f>
        <v>1000</v>
      </c>
      <c r="U307" s="200">
        <f>VLOOKUP(Table2[[#This Row],[Course Title]],'TSD-Data'!$A$1:$F$83,6,FALSE)</f>
        <v>1.5</v>
      </c>
      <c r="V307" s="201">
        <f>VLOOKUP(Table2[[#This Row],[Course Title]],'TSD-Data'!$A$1:$F$83,5,FALSE)</f>
        <v>0.1</v>
      </c>
      <c r="W307" s="201"/>
      <c r="X307" s="200">
        <f>Table2[[#This Row],[Quotas]]-Table2[[#This Row],[Open Quotas]]</f>
        <v>138</v>
      </c>
      <c r="Y307" s="200">
        <v>0</v>
      </c>
      <c r="Z307" s="201">
        <v>14</v>
      </c>
      <c r="AA307" s="201">
        <v>0</v>
      </c>
      <c r="AB307" s="200">
        <v>0</v>
      </c>
      <c r="AC307" s="200">
        <v>0</v>
      </c>
      <c r="AD307" s="200">
        <v>6</v>
      </c>
      <c r="AE307" s="200" t="s">
        <v>442</v>
      </c>
      <c r="AF307" s="495">
        <f ca="1">Table2[[#This Row],[End Date]]+2-TODAY()</f>
        <v>-136</v>
      </c>
      <c r="AG307" s="496">
        <f>IF(ISBLANK(Table2[[#This Row],[Roster Received by]]),1,0)</f>
        <v>0</v>
      </c>
      <c r="AH307" s="496">
        <f ca="1">IF(Table2[[#This Row],[Start Date]]&gt;TODAY(),1,)</f>
        <v>0</v>
      </c>
      <c r="AI307" s="496">
        <f>IF(ISBLANK(Table2[[#This Row],[Primary Instructor]]),0,1)</f>
        <v>1</v>
      </c>
      <c r="AJ307" s="496">
        <f>IF(ISBLANK(Table2[[#This Row],[Instructor 2]]),0,1)</f>
        <v>0</v>
      </c>
      <c r="AK307" s="496">
        <f>AJ531</f>
        <v>1</v>
      </c>
      <c r="AL307" s="318">
        <v>862</v>
      </c>
      <c r="AM307" s="496">
        <v>2</v>
      </c>
      <c r="AN307" s="496" t="str">
        <f>VLOOKUP(Table2[[#This Row],[Course Title]],'TSD-Data'!$A$1:$G$83,7,FALSE)</f>
        <v>N8-RMI</v>
      </c>
      <c r="AO307" s="500">
        <f>Table2[[#This Row],[Quotas]]-Table2[[#This Row],[Graduates]]-Table2[[#This Row],[Fail]]</f>
        <v>986</v>
      </c>
    </row>
    <row r="308" spans="2:41" s="202" customFormat="1" ht="15" customHeight="1" x14ac:dyDescent="0.25">
      <c r="B308" s="530"/>
      <c r="C308" s="530" t="s">
        <v>84</v>
      </c>
      <c r="D308" s="200" t="str">
        <f>VLOOKUP(Table2[[#This Row],[Course Title]],'TSD-Data'!$A$1:$E$83,2,FALSE)</f>
        <v>A-493-0083</v>
      </c>
      <c r="E308" s="200" t="str">
        <f>VLOOKUP(Table2[[#This Row],[Course Title]],'TSD-Data'!$A$1:$E$83,3,FALSE)</f>
        <v>339E</v>
      </c>
      <c r="F308" s="530" t="s">
        <v>41</v>
      </c>
      <c r="G308" s="531">
        <v>46107</v>
      </c>
      <c r="H308" s="531">
        <v>46107</v>
      </c>
      <c r="I308" s="129" t="s">
        <v>42</v>
      </c>
      <c r="J308" s="532">
        <v>0.33333333333333331</v>
      </c>
      <c r="K308" s="532"/>
      <c r="L308" s="531"/>
      <c r="M308" s="531"/>
      <c r="N308" s="531"/>
      <c r="O308" s="531"/>
      <c r="P308" s="531"/>
      <c r="Q308" s="535" t="s">
        <v>48</v>
      </c>
      <c r="R308" s="535"/>
      <c r="S308" s="535"/>
      <c r="T308" s="200">
        <f>VLOOKUP(Table2[[#This Row],[Course Title]],'TSD-Data'!$A$1:$E$83,4,FALSE)</f>
        <v>30</v>
      </c>
      <c r="U308" s="200">
        <f>VLOOKUP(Table2[[#This Row],[Course Title]],'TSD-Data'!$A$1:$F$83,6,FALSE)</f>
        <v>8</v>
      </c>
      <c r="V308" s="201">
        <f>VLOOKUP(Table2[[#This Row],[Course Title]],'TSD-Data'!$A$1:$F$83,5,FALSE)</f>
        <v>1</v>
      </c>
      <c r="W308" s="201">
        <v>14</v>
      </c>
      <c r="X308" s="200">
        <f>Table2[[#This Row],[Quotas]]-Table2[[#This Row],[Open Quotas]]</f>
        <v>9</v>
      </c>
      <c r="Y308" s="200">
        <v>0</v>
      </c>
      <c r="Z308" s="201">
        <v>16</v>
      </c>
      <c r="AA308" s="201">
        <v>0</v>
      </c>
      <c r="AB308" s="200">
        <v>3</v>
      </c>
      <c r="AC308" s="200">
        <v>10</v>
      </c>
      <c r="AD308" s="200">
        <v>0</v>
      </c>
      <c r="AE308" s="200" t="s">
        <v>428</v>
      </c>
      <c r="AF308" s="495">
        <f ca="1">Table2[[#This Row],[End Date]]+2-TODAY()</f>
        <v>-135</v>
      </c>
      <c r="AG308" s="496">
        <f>IF(ISBLANK(Table2[[#This Row],[Roster Received by]]),1,0)</f>
        <v>0</v>
      </c>
      <c r="AH308" s="496">
        <f ca="1">IF(Table2[[#This Row],[Start Date]]&gt;TODAY(),1,)</f>
        <v>0</v>
      </c>
      <c r="AI308" s="496">
        <f>IF(ISBLANK(Table2[[#This Row],[Primary Instructor]]),0,1)</f>
        <v>1</v>
      </c>
      <c r="AJ308" s="496">
        <f>IF(ISBLANK(Table2[[#This Row],[Instructor 2]]),0,1)</f>
        <v>0</v>
      </c>
      <c r="AK308" s="496">
        <f>Table2[[#This Row],[Course Length (Hours)]]/(Table2[[#This Row],[1 Instructor]]+Table2[[#This Row],[2 Instructors]])</f>
        <v>8</v>
      </c>
      <c r="AL308" s="318">
        <v>21</v>
      </c>
      <c r="AM308" s="497">
        <v>2</v>
      </c>
      <c r="AN308" s="496" t="str">
        <f>VLOOKUP(Table2[[#This Row],[Course Title]],'TSD-Data'!$A$1:$G$83,7,FALSE)</f>
        <v>N4</v>
      </c>
      <c r="AO308" s="500">
        <f>Table2[[#This Row],[Quotas]]-Table2[[#This Row],[Graduates]]-Table2[[#This Row],[Fail]]</f>
        <v>14</v>
      </c>
    </row>
    <row r="309" spans="2:41" s="202" customFormat="1" ht="15" customHeight="1" x14ac:dyDescent="0.25">
      <c r="B309" s="530"/>
      <c r="C309" s="530" t="s">
        <v>397</v>
      </c>
      <c r="D309" s="200" t="str">
        <f>VLOOKUP(Table2[[#This Row],[Course Title]],'TSD-Data'!$A$1:$E$83,2,FALSE)</f>
        <v>A-493-3005</v>
      </c>
      <c r="E309" s="200" t="str">
        <f>VLOOKUP(Table2[[#This Row],[Course Title]],'TSD-Data'!$A$1:$E$83,3,FALSE)</f>
        <v>31V7</v>
      </c>
      <c r="F309" s="530" t="s">
        <v>54</v>
      </c>
      <c r="G309" s="531">
        <v>46107</v>
      </c>
      <c r="H309" s="531">
        <v>46107</v>
      </c>
      <c r="I309" s="531" t="s">
        <v>42</v>
      </c>
      <c r="J309" s="532"/>
      <c r="K309" s="532">
        <v>0.94791666666666663</v>
      </c>
      <c r="L309" s="532">
        <v>0.82291666666666663</v>
      </c>
      <c r="M309" s="532">
        <v>0.23958333333333334</v>
      </c>
      <c r="N309" s="532">
        <v>0.15625</v>
      </c>
      <c r="O309" s="532">
        <v>0.73958333333333337</v>
      </c>
      <c r="P309" s="532">
        <v>0.48958333333333331</v>
      </c>
      <c r="Q309" s="535" t="s">
        <v>441</v>
      </c>
      <c r="R309" s="535"/>
      <c r="S309" s="535"/>
      <c r="T309" s="200">
        <f>VLOOKUP(Table2[[#This Row],[Course Title]],'TSD-Data'!$A$1:$E$83,4,FALSE)</f>
        <v>1000</v>
      </c>
      <c r="U309" s="200">
        <f>VLOOKUP(Table2[[#This Row],[Course Title]],'TSD-Data'!$A$1:$F$83,6,FALSE)</f>
        <v>2</v>
      </c>
      <c r="V309" s="201">
        <f>VLOOKUP(Table2[[#This Row],[Course Title]],'TSD-Data'!$A$1:$F$83,5,FALSE)</f>
        <v>0.25</v>
      </c>
      <c r="W309" s="201"/>
      <c r="X309" s="200">
        <f>Table2[[#This Row],[Quotas]]-Table2[[#This Row],[Open Quotas]]</f>
        <v>138</v>
      </c>
      <c r="Y309" s="200">
        <v>0</v>
      </c>
      <c r="Z309" s="201">
        <v>18</v>
      </c>
      <c r="AA309" s="201">
        <v>0</v>
      </c>
      <c r="AB309" s="200">
        <v>0</v>
      </c>
      <c r="AC309" s="200">
        <v>0</v>
      </c>
      <c r="AD309" s="200">
        <v>7</v>
      </c>
      <c r="AE309" s="200" t="s">
        <v>442</v>
      </c>
      <c r="AF309" s="495">
        <f ca="1">Table2[[#This Row],[End Date]]+2-TODAY()</f>
        <v>-135</v>
      </c>
      <c r="AG309" s="496">
        <f>IF(ISBLANK(Table2[[#This Row],[Roster Received by]]),1,0)</f>
        <v>0</v>
      </c>
      <c r="AH309" s="496">
        <f ca="1">IF(Table2[[#This Row],[Start Date]]&gt;TODAY(),1,)</f>
        <v>0</v>
      </c>
      <c r="AI309" s="496">
        <f>IF(ISBLANK(Table2[[#This Row],[Primary Instructor]]),0,1)</f>
        <v>1</v>
      </c>
      <c r="AJ309" s="496">
        <f>IF(ISBLANK(Table2[[#This Row],[Instructor 2]]),0,1)</f>
        <v>0</v>
      </c>
      <c r="AK309" s="496" t="e">
        <f>#REF!</f>
        <v>#REF!</v>
      </c>
      <c r="AL309" s="318">
        <v>862</v>
      </c>
      <c r="AM309" s="496">
        <v>2</v>
      </c>
      <c r="AN309" s="496" t="str">
        <f>VLOOKUP(Table2[[#This Row],[Course Title]],'TSD-Data'!$A$1:$G$83,7,FALSE)</f>
        <v>N8-RMI</v>
      </c>
      <c r="AO309" s="500">
        <f>Table2[[#This Row],[Quotas]]-Table2[[#This Row],[Graduates]]-Table2[[#This Row],[Fail]]</f>
        <v>982</v>
      </c>
    </row>
    <row r="310" spans="2:41" s="202" customFormat="1" ht="15" customHeight="1" x14ac:dyDescent="0.25">
      <c r="B310" s="530"/>
      <c r="C310" s="530" t="s">
        <v>404</v>
      </c>
      <c r="D310" s="200" t="str">
        <f>VLOOKUP(Table2[[#This Row],[Course Title]],'TSD-Data'!$A$1:$E$83,2,FALSE)</f>
        <v>A-493-3014</v>
      </c>
      <c r="E310" s="200" t="str">
        <f>VLOOKUP(Table2[[#This Row],[Course Title]],'TSD-Data'!$A$1:$E$83,3,FALSE)</f>
        <v>31Yh</v>
      </c>
      <c r="F310" s="530" t="s">
        <v>54</v>
      </c>
      <c r="G310" s="531">
        <v>46107</v>
      </c>
      <c r="H310" s="531">
        <v>46107</v>
      </c>
      <c r="I310" s="531" t="s">
        <v>42</v>
      </c>
      <c r="J310" s="532"/>
      <c r="K310" s="532">
        <v>0.97916666666666663</v>
      </c>
      <c r="L310" s="532">
        <v>0.83333333333333337</v>
      </c>
      <c r="M310" s="532">
        <v>0.27083333333333331</v>
      </c>
      <c r="N310" s="532">
        <v>0.1875</v>
      </c>
      <c r="O310" s="532">
        <v>0.77083333333333337</v>
      </c>
      <c r="P310" s="532">
        <v>0.52083333333333337</v>
      </c>
      <c r="Q310" s="535" t="s">
        <v>441</v>
      </c>
      <c r="R310" s="535"/>
      <c r="S310" s="535"/>
      <c r="T310" s="200">
        <f>VLOOKUP(Table2[[#This Row],[Course Title]],'TSD-Data'!$A$1:$E$83,4,FALSE)</f>
        <v>1000</v>
      </c>
      <c r="U310" s="200">
        <f>VLOOKUP(Table2[[#This Row],[Course Title]],'TSD-Data'!$A$1:$F$83,6,FALSE)</f>
        <v>1.5</v>
      </c>
      <c r="V310" s="201">
        <f>VLOOKUP(Table2[[#This Row],[Course Title]],'TSD-Data'!$A$1:$F$83,5,FALSE)</f>
        <v>0.1</v>
      </c>
      <c r="W310" s="201"/>
      <c r="X310" s="200">
        <f>Table2[[#This Row],[Quotas]]-Table2[[#This Row],[Open Quotas]]</f>
        <v>138</v>
      </c>
      <c r="Y310" s="200">
        <v>0</v>
      </c>
      <c r="Z310" s="201">
        <v>13</v>
      </c>
      <c r="AA310" s="201">
        <v>0</v>
      </c>
      <c r="AB310" s="200">
        <v>0</v>
      </c>
      <c r="AC310" s="200">
        <v>0</v>
      </c>
      <c r="AD310" s="200">
        <v>4</v>
      </c>
      <c r="AE310" s="200" t="s">
        <v>442</v>
      </c>
      <c r="AF310" s="495">
        <f ca="1">Table2[[#This Row],[End Date]]+2-TODAY()</f>
        <v>-135</v>
      </c>
      <c r="AG310" s="496">
        <f>IF(ISBLANK(Table2[[#This Row],[Roster Received by]]),1,0)</f>
        <v>0</v>
      </c>
      <c r="AH310" s="496">
        <f ca="1">IF(Table2[[#This Row],[Start Date]]&gt;TODAY(),1,)</f>
        <v>0</v>
      </c>
      <c r="AI310" s="496">
        <f>IF(ISBLANK(Table2[[#This Row],[Primary Instructor]]),0,1)</f>
        <v>1</v>
      </c>
      <c r="AJ310" s="496">
        <f>IF(ISBLANK(Table2[[#This Row],[Instructor 2]]),0,1)</f>
        <v>0</v>
      </c>
      <c r="AK310" s="496" t="e">
        <f>#REF!</f>
        <v>#REF!</v>
      </c>
      <c r="AL310" s="318">
        <v>862</v>
      </c>
      <c r="AM310" s="496">
        <v>2</v>
      </c>
      <c r="AN310" s="496" t="str">
        <f>VLOOKUP(Table2[[#This Row],[Course Title]],'TSD-Data'!$A$1:$G$83,7,FALSE)</f>
        <v>N8-RMI</v>
      </c>
      <c r="AO310" s="500">
        <f>Table2[[#This Row],[Quotas]]-Table2[[#This Row],[Graduates]]-Table2[[#This Row],[Fail]]</f>
        <v>987</v>
      </c>
    </row>
    <row r="311" spans="2:41" s="202" customFormat="1" ht="15" customHeight="1" x14ac:dyDescent="0.25">
      <c r="B311" s="530"/>
      <c r="C311" s="530" t="s">
        <v>408</v>
      </c>
      <c r="D311" s="200" t="str">
        <f>VLOOKUP(Table2[[#This Row],[Course Title]],'TSD-Data'!$A$1:$E$83,2,FALSE)</f>
        <v>A-493-3008</v>
      </c>
      <c r="E311" s="200" t="str">
        <f>VLOOKUP(Table2[[#This Row],[Course Title]],'TSD-Data'!$A$1:$E$83,3,FALSE)</f>
        <v>31VA</v>
      </c>
      <c r="F311" s="530" t="s">
        <v>54</v>
      </c>
      <c r="G311" s="531">
        <v>46107</v>
      </c>
      <c r="H311" s="531">
        <v>46107</v>
      </c>
      <c r="I311" s="531" t="s">
        <v>42</v>
      </c>
      <c r="J311" s="532"/>
      <c r="K311" s="532">
        <v>0.83333333333333337</v>
      </c>
      <c r="L311" s="532">
        <v>0.70833333333333337</v>
      </c>
      <c r="M311" s="532">
        <v>0.125</v>
      </c>
      <c r="N311" s="532">
        <v>4.1666666666666664E-2</v>
      </c>
      <c r="O311" s="532">
        <v>0.625</v>
      </c>
      <c r="P311" s="532">
        <v>0.375</v>
      </c>
      <c r="Q311" s="535" t="s">
        <v>441</v>
      </c>
      <c r="R311" s="535"/>
      <c r="S311" s="535"/>
      <c r="T311" s="200">
        <f>VLOOKUP(Table2[[#This Row],[Course Title]],'TSD-Data'!$A$1:$E$83,4,FALSE)</f>
        <v>1000</v>
      </c>
      <c r="U311" s="200">
        <f>VLOOKUP(Table2[[#This Row],[Course Title]],'TSD-Data'!$A$1:$F$83,6,FALSE)</f>
        <v>1.5</v>
      </c>
      <c r="V311" s="201">
        <f>VLOOKUP(Table2[[#This Row],[Course Title]],'TSD-Data'!$A$1:$F$83,5,FALSE)</f>
        <v>0.1</v>
      </c>
      <c r="W311" s="201"/>
      <c r="X311" s="200">
        <f>Table2[[#This Row],[Quotas]]-Table2[[#This Row],[Open Quotas]]</f>
        <v>138</v>
      </c>
      <c r="Y311" s="200">
        <v>0</v>
      </c>
      <c r="Z311" s="201">
        <v>18</v>
      </c>
      <c r="AA311" s="201">
        <v>0</v>
      </c>
      <c r="AB311" s="200">
        <v>0</v>
      </c>
      <c r="AC311" s="200">
        <v>0</v>
      </c>
      <c r="AD311" s="200">
        <v>4</v>
      </c>
      <c r="AE311" s="200" t="s">
        <v>442</v>
      </c>
      <c r="AF311" s="495">
        <f ca="1">Table2[[#This Row],[End Date]]+2-TODAY()</f>
        <v>-135</v>
      </c>
      <c r="AG311" s="496">
        <f>IF(ISBLANK(Table2[[#This Row],[Roster Received by]]),1,0)</f>
        <v>0</v>
      </c>
      <c r="AH311" s="496">
        <f ca="1">IF(Table2[[#This Row],[Start Date]]&gt;TODAY(),1,)</f>
        <v>0</v>
      </c>
      <c r="AI311" s="496">
        <f>IF(ISBLANK(Table2[[#This Row],[Primary Instructor]]),0,1)</f>
        <v>1</v>
      </c>
      <c r="AJ311" s="496">
        <f>IF(ISBLANK(Table2[[#This Row],[Instructor 2]]),0,1)</f>
        <v>0</v>
      </c>
      <c r="AK311" s="496">
        <f>AJ534</f>
        <v>0</v>
      </c>
      <c r="AL311" s="318">
        <v>862</v>
      </c>
      <c r="AM311" s="496">
        <v>2</v>
      </c>
      <c r="AN311" s="496" t="str">
        <f>VLOOKUP(Table2[[#This Row],[Course Title]],'TSD-Data'!$A$1:$G$83,7,FALSE)</f>
        <v>N8-RMI</v>
      </c>
      <c r="AO311" s="500">
        <f>Table2[[#This Row],[Quotas]]-Table2[[#This Row],[Graduates]]-Table2[[#This Row],[Fail]]</f>
        <v>982</v>
      </c>
    </row>
    <row r="312" spans="2:41" s="202" customFormat="1" ht="15" customHeight="1" x14ac:dyDescent="0.25">
      <c r="B312" s="530" t="s">
        <v>459</v>
      </c>
      <c r="C312" s="530" t="s">
        <v>99</v>
      </c>
      <c r="D312" s="200" t="str">
        <f>VLOOKUP(Table2[[#This Row],[Course Title]],'TSD-Data'!$A$1:$E$83,2,FALSE)</f>
        <v>A-493-2501</v>
      </c>
      <c r="E312" s="200" t="str">
        <f>VLOOKUP(Table2[[#This Row],[Course Title]],'TSD-Data'!$A$1:$E$83,3,FALSE)</f>
        <v>05ZE</v>
      </c>
      <c r="F312" s="530" t="s">
        <v>300</v>
      </c>
      <c r="G312" s="531">
        <v>46107</v>
      </c>
      <c r="H312" s="531">
        <v>46107</v>
      </c>
      <c r="I312" s="129" t="s">
        <v>42</v>
      </c>
      <c r="J312" s="532">
        <v>0.33333333333333331</v>
      </c>
      <c r="K312" s="532"/>
      <c r="L312" s="531"/>
      <c r="M312" s="531"/>
      <c r="N312" s="531"/>
      <c r="O312" s="531"/>
      <c r="P312" s="531"/>
      <c r="Q312" s="535" t="s">
        <v>48</v>
      </c>
      <c r="R312" s="535"/>
      <c r="S312" s="535"/>
      <c r="T312" s="200">
        <f>VLOOKUP(Table2[[#This Row],[Course Title]],'TSD-Data'!$A$1:$E$83,4,FALSE)</f>
        <v>30</v>
      </c>
      <c r="U312" s="200">
        <f>VLOOKUP(Table2[[#This Row],[Course Title]],'TSD-Data'!$A$1:$F$83,6,FALSE)</f>
        <v>8</v>
      </c>
      <c r="V312" s="201">
        <f>VLOOKUP(Table2[[#This Row],[Course Title]],'TSD-Data'!$A$1:$F$83,5,FALSE)</f>
        <v>1</v>
      </c>
      <c r="W312" s="201">
        <v>40</v>
      </c>
      <c r="X312" s="200">
        <f>Table2[[#This Row],[Quotas]]-Table2[[#This Row],[Open Quotas]]</f>
        <v>13</v>
      </c>
      <c r="Y312" s="200">
        <v>0</v>
      </c>
      <c r="Z312" s="201">
        <v>17</v>
      </c>
      <c r="AA312" s="201">
        <v>0</v>
      </c>
      <c r="AB312" s="200">
        <v>7</v>
      </c>
      <c r="AC312" s="200">
        <v>11</v>
      </c>
      <c r="AD312" s="200">
        <v>0</v>
      </c>
      <c r="AE312" s="200" t="s">
        <v>428</v>
      </c>
      <c r="AF312" s="495">
        <f ca="1">Table2[[#This Row],[End Date]]+2-TODAY()</f>
        <v>-135</v>
      </c>
      <c r="AG312" s="496">
        <f>IF(ISBLANK(Table2[[#This Row],[Roster Received by]]),1,0)</f>
        <v>0</v>
      </c>
      <c r="AH312" s="496">
        <f ca="1">IF(Table2[[#This Row],[Start Date]]&gt;TODAY(),1,)</f>
        <v>0</v>
      </c>
      <c r="AI312" s="496">
        <f>IF(ISBLANK(Table2[[#This Row],[Primary Instructor]]),0,1)</f>
        <v>1</v>
      </c>
      <c r="AJ312" s="496">
        <f>IF(ISBLANK(Table2[[#This Row],[Instructor 2]]),0,1)</f>
        <v>0</v>
      </c>
      <c r="AK312" s="496">
        <f>Table2[[#This Row],[Course Length (Hours)]]/(Table2[[#This Row],[1 Instructor]]+Table2[[#This Row],[2 Instructors]])</f>
        <v>8</v>
      </c>
      <c r="AL312" s="318">
        <v>17</v>
      </c>
      <c r="AM312" s="497">
        <v>2</v>
      </c>
      <c r="AN312" s="496" t="str">
        <f>VLOOKUP(Table2[[#This Row],[Course Title]],'TSD-Data'!$A$1:$G$83,7,FALSE)</f>
        <v>N4</v>
      </c>
      <c r="AO312" s="500">
        <f>Table2[[#This Row],[Quotas]]-Table2[[#This Row],[Graduates]]-Table2[[#This Row],[Fail]]</f>
        <v>13</v>
      </c>
    </row>
    <row r="313" spans="2:41" s="202" customFormat="1" ht="15" customHeight="1" x14ac:dyDescent="0.25">
      <c r="B313" s="530"/>
      <c r="C313" s="530" t="s">
        <v>411</v>
      </c>
      <c r="D313" s="200" t="str">
        <f>VLOOKUP(Table2[[#This Row],[Course Title]],'TSD-Data'!$A$1:$E$83,2,FALSE)</f>
        <v>A-493-3012</v>
      </c>
      <c r="E313" s="200" t="str">
        <f>VLOOKUP(Table2[[#This Row],[Course Title]],'TSD-Data'!$A$1:$E$83,3,FALSE)</f>
        <v>31YF</v>
      </c>
      <c r="F313" s="530" t="s">
        <v>54</v>
      </c>
      <c r="G313" s="531">
        <v>46107</v>
      </c>
      <c r="H313" s="531">
        <v>46107</v>
      </c>
      <c r="I313" s="531" t="s">
        <v>42</v>
      </c>
      <c r="J313" s="532"/>
      <c r="K313" s="532">
        <v>0.79166666666666663</v>
      </c>
      <c r="L313" s="532">
        <v>0.66666666666666663</v>
      </c>
      <c r="M313" s="532">
        <v>8.3333333333333329E-2</v>
      </c>
      <c r="N313" s="532">
        <v>6.9444444444444447E-4</v>
      </c>
      <c r="O313" s="532">
        <v>0.58333333333333337</v>
      </c>
      <c r="P313" s="532">
        <v>0.33333333333333331</v>
      </c>
      <c r="Q313" s="535" t="s">
        <v>441</v>
      </c>
      <c r="R313" s="535"/>
      <c r="S313" s="535"/>
      <c r="T313" s="200">
        <f>VLOOKUP(Table2[[#This Row],[Course Title]],'TSD-Data'!$A$1:$E$83,4,FALSE)</f>
        <v>1000</v>
      </c>
      <c r="U313" s="200">
        <f>VLOOKUP(Table2[[#This Row],[Course Title]],'TSD-Data'!$A$1:$F$83,6,FALSE)</f>
        <v>1</v>
      </c>
      <c r="V313" s="201">
        <f>VLOOKUP(Table2[[#This Row],[Course Title]],'TSD-Data'!$A$1:$F$83,5,FALSE)</f>
        <v>0.1</v>
      </c>
      <c r="W313" s="201"/>
      <c r="X313" s="200">
        <f>Table2[[#This Row],[Quotas]]-Table2[[#This Row],[Open Quotas]]</f>
        <v>138</v>
      </c>
      <c r="Y313" s="200">
        <v>0</v>
      </c>
      <c r="Z313" s="201">
        <v>21</v>
      </c>
      <c r="AA313" s="201">
        <v>0</v>
      </c>
      <c r="AB313" s="200">
        <v>0</v>
      </c>
      <c r="AC313" s="200">
        <v>0</v>
      </c>
      <c r="AD313" s="200">
        <v>8</v>
      </c>
      <c r="AE313" s="200" t="s">
        <v>442</v>
      </c>
      <c r="AF313" s="495">
        <f ca="1">Table2[[#This Row],[End Date]]+2-TODAY()</f>
        <v>-135</v>
      </c>
      <c r="AG313" s="496">
        <f>IF(ISBLANK(Table2[[#This Row],[Roster Received by]]),1,0)</f>
        <v>0</v>
      </c>
      <c r="AH313" s="496">
        <f ca="1">IF(Table2[[#This Row],[Start Date]]&gt;TODAY(),1,)</f>
        <v>0</v>
      </c>
      <c r="AI313" s="496">
        <f>IF(ISBLANK(Table2[[#This Row],[Primary Instructor]]),0,1)</f>
        <v>1</v>
      </c>
      <c r="AJ313" s="496">
        <f>IF(ISBLANK(Table2[[#This Row],[Instructor 2]]),0,1)</f>
        <v>0</v>
      </c>
      <c r="AK313" s="496">
        <f>AJ536</f>
        <v>0</v>
      </c>
      <c r="AL313" s="318">
        <v>862</v>
      </c>
      <c r="AM313" s="496">
        <v>2</v>
      </c>
      <c r="AN313" s="496" t="str">
        <f>VLOOKUP(Table2[[#This Row],[Course Title]],'TSD-Data'!$A$1:$G$83,7,FALSE)</f>
        <v>N8-RMI</v>
      </c>
      <c r="AO313" s="500">
        <f>Table2[[#This Row],[Quotas]]-Table2[[#This Row],[Graduates]]-Table2[[#This Row],[Fail]]</f>
        <v>979</v>
      </c>
    </row>
    <row r="314" spans="2:41" s="202" customFormat="1" ht="15" customHeight="1" x14ac:dyDescent="0.25">
      <c r="B314" s="530"/>
      <c r="C314" s="530" t="s">
        <v>412</v>
      </c>
      <c r="D314" s="200" t="str">
        <f>VLOOKUP(Table2[[#This Row],[Course Title]],'TSD-Data'!$A$1:$E$83,2,FALSE)</f>
        <v>A-493-3009</v>
      </c>
      <c r="E314" s="200" t="str">
        <f>VLOOKUP(Table2[[#This Row],[Course Title]],'TSD-Data'!$A$1:$E$83,3,FALSE)</f>
        <v>31VB</v>
      </c>
      <c r="F314" s="530" t="s">
        <v>54</v>
      </c>
      <c r="G314" s="531">
        <v>46107</v>
      </c>
      <c r="H314" s="531">
        <v>46107</v>
      </c>
      <c r="I314" s="531" t="s">
        <v>42</v>
      </c>
      <c r="J314" s="532"/>
      <c r="K314" s="532">
        <v>0.89583333333333337</v>
      </c>
      <c r="L314" s="532">
        <v>0.77083333333333337</v>
      </c>
      <c r="M314" s="532">
        <v>0.1875</v>
      </c>
      <c r="N314" s="532">
        <v>0.10416666666666667</v>
      </c>
      <c r="O314" s="532">
        <v>0.6875</v>
      </c>
      <c r="P314" s="532">
        <v>0.4375</v>
      </c>
      <c r="Q314" s="535" t="s">
        <v>441</v>
      </c>
      <c r="R314" s="535"/>
      <c r="S314" s="535"/>
      <c r="T314" s="200">
        <f>VLOOKUP(Table2[[#This Row],[Course Title]],'TSD-Data'!$A$1:$E$83,4,FALSE)</f>
        <v>1000</v>
      </c>
      <c r="U314" s="200">
        <f>VLOOKUP(Table2[[#This Row],[Course Title]],'TSD-Data'!$A$1:$F$83,6,FALSE)</f>
        <v>1.5</v>
      </c>
      <c r="V314" s="201">
        <f>VLOOKUP(Table2[[#This Row],[Course Title]],'TSD-Data'!$A$1:$F$83,5,FALSE)</f>
        <v>0.1</v>
      </c>
      <c r="W314" s="201"/>
      <c r="X314" s="200">
        <f>Table2[[#This Row],[Quotas]]-Table2[[#This Row],[Open Quotas]]</f>
        <v>138</v>
      </c>
      <c r="Y314" s="200">
        <v>0</v>
      </c>
      <c r="Z314" s="201">
        <v>26</v>
      </c>
      <c r="AA314" s="201">
        <v>0</v>
      </c>
      <c r="AB314" s="200">
        <v>0</v>
      </c>
      <c r="AC314" s="200">
        <v>0</v>
      </c>
      <c r="AD314" s="200">
        <v>13</v>
      </c>
      <c r="AE314" s="200" t="s">
        <v>442</v>
      </c>
      <c r="AF314" s="495">
        <f ca="1">Table2[[#This Row],[End Date]]+2-TODAY()</f>
        <v>-135</v>
      </c>
      <c r="AG314" s="496">
        <f>IF(ISBLANK(Table2[[#This Row],[Roster Received by]]),1,0)</f>
        <v>0</v>
      </c>
      <c r="AH314" s="496">
        <f ca="1">IF(Table2[[#This Row],[Start Date]]&gt;TODAY(),1,)</f>
        <v>0</v>
      </c>
      <c r="AI314" s="496">
        <f>IF(ISBLANK(Table2[[#This Row],[Primary Instructor]]),0,1)</f>
        <v>1</v>
      </c>
      <c r="AJ314" s="496">
        <f>IF(ISBLANK(Table2[[#This Row],[Instructor 2]]),0,1)</f>
        <v>0</v>
      </c>
      <c r="AK314" s="496">
        <f>AJ537</f>
        <v>1</v>
      </c>
      <c r="AL314" s="318">
        <v>862</v>
      </c>
      <c r="AM314" s="496">
        <v>2</v>
      </c>
      <c r="AN314" s="496" t="str">
        <f>VLOOKUP(Table2[[#This Row],[Course Title]],'TSD-Data'!$A$1:$G$83,7,FALSE)</f>
        <v>N8-RMI</v>
      </c>
      <c r="AO314" s="500">
        <f>Table2[[#This Row],[Quotas]]-Table2[[#This Row],[Graduates]]-Table2[[#This Row],[Fail]]</f>
        <v>974</v>
      </c>
    </row>
    <row r="315" spans="2:41" s="202" customFormat="1" ht="15" customHeight="1" x14ac:dyDescent="0.25">
      <c r="B315" s="530"/>
      <c r="C315" s="530" t="s">
        <v>402</v>
      </c>
      <c r="D315" s="200" t="str">
        <f>VLOOKUP(Table2[[#This Row],[Course Title]],'TSD-Data'!$A$1:$E$83,2,FALSE)</f>
        <v>A-493-3017</v>
      </c>
      <c r="E315" s="200" t="str">
        <f>VLOOKUP(Table2[[#This Row],[Course Title]],'TSD-Data'!$A$1:$E$83,3,FALSE)</f>
        <v>31YL</v>
      </c>
      <c r="F315" s="530" t="s">
        <v>54</v>
      </c>
      <c r="G315" s="531">
        <v>46108</v>
      </c>
      <c r="H315" s="531">
        <v>46108</v>
      </c>
      <c r="I315" s="531" t="s">
        <v>42</v>
      </c>
      <c r="J315" s="532"/>
      <c r="K315" s="532">
        <v>2.0833333333333332E-2</v>
      </c>
      <c r="L315" s="532">
        <v>0.89583333333333337</v>
      </c>
      <c r="M315" s="532">
        <v>0.3125</v>
      </c>
      <c r="N315" s="532">
        <v>0.22916666666666666</v>
      </c>
      <c r="O315" s="532">
        <v>0.8125</v>
      </c>
      <c r="P315" s="532">
        <v>0.5625</v>
      </c>
      <c r="Q315" s="535" t="s">
        <v>441</v>
      </c>
      <c r="R315" s="535"/>
      <c r="S315" s="535"/>
      <c r="T315" s="200">
        <f>VLOOKUP(Table2[[#This Row],[Course Title]],'TSD-Data'!$A$1:$E$83,4,FALSE)</f>
        <v>1000</v>
      </c>
      <c r="U315" s="200">
        <f>VLOOKUP(Table2[[#This Row],[Course Title]],'TSD-Data'!$A$1:$F$83,6,FALSE)</f>
        <v>1.5</v>
      </c>
      <c r="V315" s="201">
        <f>VLOOKUP(Table2[[#This Row],[Course Title]],'TSD-Data'!$A$1:$F$83,5,FALSE)</f>
        <v>0.1</v>
      </c>
      <c r="W315" s="201"/>
      <c r="X315" s="200">
        <f>Table2[[#This Row],[Quotas]]-Table2[[#This Row],[Open Quotas]]</f>
        <v>138</v>
      </c>
      <c r="Y315" s="200">
        <v>0</v>
      </c>
      <c r="Z315" s="201">
        <v>17</v>
      </c>
      <c r="AA315" s="201">
        <v>0</v>
      </c>
      <c r="AB315" s="200">
        <v>0</v>
      </c>
      <c r="AC315" s="200">
        <v>0</v>
      </c>
      <c r="AD315" s="200">
        <v>6</v>
      </c>
      <c r="AE315" s="200" t="s">
        <v>442</v>
      </c>
      <c r="AF315" s="495">
        <f ca="1">Table2[[#This Row],[End Date]]+2-TODAY()</f>
        <v>-134</v>
      </c>
      <c r="AG315" s="496">
        <f>IF(ISBLANK(Table2[[#This Row],[Roster Received by]]),1,0)</f>
        <v>0</v>
      </c>
      <c r="AH315" s="496">
        <f ca="1">IF(Table2[[#This Row],[Start Date]]&gt;TODAY(),1,)</f>
        <v>0</v>
      </c>
      <c r="AI315" s="496">
        <f>IF(ISBLANK(Table2[[#This Row],[Primary Instructor]]),0,1)</f>
        <v>1</v>
      </c>
      <c r="AJ315" s="496">
        <f>IF(ISBLANK(Table2[[#This Row],[Instructor 2]]),0,1)</f>
        <v>0</v>
      </c>
      <c r="AK315" s="496">
        <f>AJ536</f>
        <v>0</v>
      </c>
      <c r="AL315" s="318">
        <v>862</v>
      </c>
      <c r="AM315" s="496">
        <v>2</v>
      </c>
      <c r="AN315" s="496" t="str">
        <f>VLOOKUP(Table2[[#This Row],[Course Title]],'TSD-Data'!$A$1:$G$83,7,FALSE)</f>
        <v>N8-RMI</v>
      </c>
      <c r="AO315" s="500">
        <f>Table2[[#This Row],[Quotas]]-Table2[[#This Row],[Graduates]]-Table2[[#This Row],[Fail]]</f>
        <v>983</v>
      </c>
    </row>
    <row r="316" spans="2:41" s="202" customFormat="1" ht="15" customHeight="1" x14ac:dyDescent="0.25">
      <c r="B316" s="530"/>
      <c r="C316" s="530" t="s">
        <v>276</v>
      </c>
      <c r="D316" s="200" t="str">
        <f>VLOOKUP(Table2[[#This Row],[Course Title]],'TSD-Data'!$A$1:$E$83,2,FALSE)</f>
        <v>A-493-0103</v>
      </c>
      <c r="E316" s="200" t="str">
        <f>VLOOKUP(Table2[[#This Row],[Course Title]],'TSD-Data'!$A$1:$E$83,3,FALSE)</f>
        <v>12JY</v>
      </c>
      <c r="F316" s="530" t="s">
        <v>101</v>
      </c>
      <c r="G316" s="531">
        <v>46111</v>
      </c>
      <c r="H316" s="531">
        <v>46115</v>
      </c>
      <c r="I316" s="531" t="s">
        <v>42</v>
      </c>
      <c r="J316" s="532">
        <v>0.33333333333333331</v>
      </c>
      <c r="K316" s="532"/>
      <c r="L316" s="531"/>
      <c r="M316" s="531"/>
      <c r="N316" s="531"/>
      <c r="O316" s="531"/>
      <c r="P316" s="531"/>
      <c r="Q316" s="535" t="s">
        <v>280</v>
      </c>
      <c r="R316" s="535"/>
      <c r="S316" s="535"/>
      <c r="T316" s="200">
        <f>VLOOKUP(Table2[[#This Row],[Course Title]],'TSD-Data'!$A$1:$E$83,4,FALSE)</f>
        <v>25</v>
      </c>
      <c r="U316" s="200">
        <f>VLOOKUP(Table2[[#This Row],[Course Title]],'TSD-Data'!$A$1:$F$83,6,FALSE)</f>
        <v>40</v>
      </c>
      <c r="V316" s="201">
        <f>VLOOKUP(Table2[[#This Row],[Course Title]],'TSD-Data'!$A$1:$F$83,5,FALSE)</f>
        <v>5</v>
      </c>
      <c r="W316" s="201">
        <v>516</v>
      </c>
      <c r="X316" s="200">
        <f>Table2[[#This Row],[Quotas]]-Table2[[#This Row],[Open Quotas]]</f>
        <v>25</v>
      </c>
      <c r="Y316" s="200">
        <v>4</v>
      </c>
      <c r="Z316" s="201">
        <v>24</v>
      </c>
      <c r="AA316" s="201">
        <v>0</v>
      </c>
      <c r="AB316" s="200">
        <v>5</v>
      </c>
      <c r="AC316" s="200">
        <v>4</v>
      </c>
      <c r="AD316" s="200">
        <v>0</v>
      </c>
      <c r="AE316" s="200" t="s">
        <v>431</v>
      </c>
      <c r="AF316" s="495">
        <f ca="1">Table2[[#This Row],[End Date]]+2-TODAY()</f>
        <v>-127</v>
      </c>
      <c r="AG316" s="496">
        <f>IF(ISBLANK(Table2[[#This Row],[Roster Received by]]),1,0)</f>
        <v>0</v>
      </c>
      <c r="AH316" s="496">
        <f ca="1">IF(Table2[[#This Row],[Start Date]]&gt;TODAY(),1,)</f>
        <v>0</v>
      </c>
      <c r="AI316" s="496">
        <f>IF(ISBLANK(Table2[[#This Row],[Primary Instructor]]),0,1)</f>
        <v>1</v>
      </c>
      <c r="AJ316" s="496">
        <f>IF(ISBLANK(Table2[[#This Row],[Instructor 2]]),0,1)</f>
        <v>0</v>
      </c>
      <c r="AK316" s="496">
        <f>Table2[[#This Row],[Course Length (Hours)]]/(Table2[[#This Row],[1 Instructor]]+Table2[[#This Row],[2 Instructors]])</f>
        <v>40</v>
      </c>
      <c r="AL316" s="318">
        <v>0</v>
      </c>
      <c r="AM316" s="497">
        <v>2</v>
      </c>
      <c r="AN316" s="496" t="str">
        <f>VLOOKUP(Table2[[#This Row],[Course Title]],'TSD-Data'!$A$1:$G$83,7,FALSE)</f>
        <v>N5</v>
      </c>
      <c r="AO316" s="500">
        <f>Table2[[#This Row],[Quotas]]-Table2[[#This Row],[Graduates]]-Table2[[#This Row],[Fail]]</f>
        <v>1</v>
      </c>
    </row>
    <row r="317" spans="2:41" ht="15" customHeight="1" x14ac:dyDescent="0.25">
      <c r="B317" s="155" t="s">
        <v>463</v>
      </c>
      <c r="C317" s="321" t="s">
        <v>49</v>
      </c>
      <c r="D317" s="200" t="str">
        <f>VLOOKUP(Table2[[#This Row],[Course Title]],'TSD-Data'!$A$1:$E$83,2,FALSE)</f>
        <v>A-493-0012</v>
      </c>
      <c r="E317" s="200">
        <f>VLOOKUP(Table2[[#This Row],[Course Title]],'TSD-Data'!$A$1:$E$83,3,FALSE)</f>
        <v>3682</v>
      </c>
      <c r="F317" s="321" t="s">
        <v>301</v>
      </c>
      <c r="G317" s="531">
        <v>46111</v>
      </c>
      <c r="H317" s="531">
        <v>46115</v>
      </c>
      <c r="I317" s="129" t="s">
        <v>42</v>
      </c>
      <c r="J317" s="532">
        <v>0.33333333333333331</v>
      </c>
      <c r="K317" s="532"/>
      <c r="L317" s="531"/>
      <c r="M317" s="531"/>
      <c r="N317" s="531"/>
      <c r="O317" s="531"/>
      <c r="P317" s="531"/>
      <c r="Q317" s="535" t="s">
        <v>450</v>
      </c>
      <c r="R317" s="535"/>
      <c r="S317" s="535"/>
      <c r="T317" s="200">
        <f>VLOOKUP(Table2[[#This Row],[Course Title]],'TSD-Data'!$A$1:$E$83,4,FALSE)</f>
        <v>40</v>
      </c>
      <c r="U317" s="200">
        <f>VLOOKUP(Table2[[#This Row],[Course Title]],'TSD-Data'!$A$1:$F$83,6,FALSE)</f>
        <v>40</v>
      </c>
      <c r="V317" s="201">
        <f>VLOOKUP(Table2[[#This Row],[Course Title]],'TSD-Data'!$A$1:$F$83,5,FALSE)</f>
        <v>5</v>
      </c>
      <c r="W317" s="200">
        <v>30</v>
      </c>
      <c r="X317" s="200">
        <f>Table2[[#This Row],[Quotas]]-Table2[[#This Row],[Open Quotas]]</f>
        <v>25</v>
      </c>
      <c r="Y317" s="200">
        <v>0</v>
      </c>
      <c r="Z317" s="201">
        <v>26</v>
      </c>
      <c r="AA317" s="201">
        <v>0</v>
      </c>
      <c r="AB317" s="200">
        <v>11</v>
      </c>
      <c r="AC317" s="200">
        <v>3</v>
      </c>
      <c r="AD317" s="200">
        <v>0</v>
      </c>
      <c r="AE317" s="200" t="s">
        <v>428</v>
      </c>
      <c r="AF317" s="495">
        <f ca="1">Table2[[#This Row],[End Date]]+2-TODAY()</f>
        <v>-127</v>
      </c>
      <c r="AG317" s="496">
        <f>IF(ISBLANK(Table2[[#This Row],[Roster Received by]]),1,0)</f>
        <v>0</v>
      </c>
      <c r="AH317" s="496">
        <f ca="1">IF(Table2[[#This Row],[Start Date]]&gt;TODAY(),1,)</f>
        <v>0</v>
      </c>
      <c r="AI317" s="496">
        <f>IF(ISBLANK(Table2[[#This Row],[Primary Instructor]]),0,1)</f>
        <v>1</v>
      </c>
      <c r="AJ317" s="496">
        <f>IF(ISBLANK(Table2[[#This Row],[Instructor 2]]),0,1)</f>
        <v>0</v>
      </c>
      <c r="AK317" s="496">
        <f>Table2[[#This Row],[Course Length (Hours)]]/(Table2[[#This Row],[1 Instructor]]+Table2[[#This Row],[2 Instructors]])</f>
        <v>40</v>
      </c>
      <c r="AL317" s="318">
        <v>15</v>
      </c>
      <c r="AM317" s="497">
        <v>2</v>
      </c>
      <c r="AN317" s="496" t="str">
        <f>VLOOKUP(Table2[[#This Row],[Course Title]],'TSD-Data'!$A$1:$G$83,7,FALSE)</f>
        <v>N4</v>
      </c>
      <c r="AO317" s="500">
        <f>Table2[[#This Row],[Quotas]]-Table2[[#This Row],[Graduates]]-Table2[[#This Row],[Fail]]</f>
        <v>14</v>
      </c>
    </row>
    <row r="318" spans="2:41" s="202" customFormat="1" ht="15" customHeight="1" x14ac:dyDescent="0.25">
      <c r="B318" s="155" t="s">
        <v>464</v>
      </c>
      <c r="C318" s="321" t="s">
        <v>49</v>
      </c>
      <c r="D318" s="200" t="str">
        <f>VLOOKUP(Table2[[#This Row],[Course Title]],'TSD-Data'!$A$1:$E$83,2,FALSE)</f>
        <v>A-493-0012</v>
      </c>
      <c r="E318" s="200">
        <f>VLOOKUP(Table2[[#This Row],[Course Title]],'TSD-Data'!$A$1:$E$83,3,FALSE)</f>
        <v>3682</v>
      </c>
      <c r="F318" s="321" t="s">
        <v>298</v>
      </c>
      <c r="G318" s="531">
        <v>46111</v>
      </c>
      <c r="H318" s="531">
        <v>46115</v>
      </c>
      <c r="I318" s="129" t="s">
        <v>42</v>
      </c>
      <c r="J318" s="532">
        <v>0.33333333333333331</v>
      </c>
      <c r="K318" s="532"/>
      <c r="L318" s="531"/>
      <c r="M318" s="531"/>
      <c r="N318" s="531"/>
      <c r="O318" s="531"/>
      <c r="P318" s="531"/>
      <c r="Q318" s="535" t="s">
        <v>439</v>
      </c>
      <c r="R318" s="535"/>
      <c r="S318" s="535"/>
      <c r="T318" s="200">
        <f>VLOOKUP(Table2[[#This Row],[Course Title]],'TSD-Data'!$A$1:$E$83,4,FALSE)</f>
        <v>40</v>
      </c>
      <c r="U318" s="200">
        <f>VLOOKUP(Table2[[#This Row],[Course Title]],'TSD-Data'!$A$1:$F$83,6,FALSE)</f>
        <v>40</v>
      </c>
      <c r="V318" s="201">
        <f>VLOOKUP(Table2[[#This Row],[Course Title]],'TSD-Data'!$A$1:$F$83,5,FALSE)</f>
        <v>5</v>
      </c>
      <c r="W318" s="200">
        <v>20</v>
      </c>
      <c r="X318" s="200">
        <f>Table2[[#This Row],[Quotas]]-Table2[[#This Row],[Open Quotas]]</f>
        <v>32</v>
      </c>
      <c r="Y318" s="200">
        <v>0</v>
      </c>
      <c r="Z318" s="201">
        <v>21</v>
      </c>
      <c r="AA318" s="201">
        <v>0</v>
      </c>
      <c r="AB318" s="200">
        <v>4</v>
      </c>
      <c r="AC318" s="200">
        <v>2</v>
      </c>
      <c r="AD318" s="200">
        <v>0</v>
      </c>
      <c r="AE318" s="200" t="s">
        <v>428</v>
      </c>
      <c r="AF318" s="495">
        <f ca="1">Table2[[#This Row],[End Date]]+2-TODAY()</f>
        <v>-127</v>
      </c>
      <c r="AG318" s="496">
        <f>IF(ISBLANK(Table2[[#This Row],[Roster Received by]]),1,0)</f>
        <v>0</v>
      </c>
      <c r="AH318" s="496">
        <f ca="1">IF(Table2[[#This Row],[Start Date]]&gt;TODAY(),1,)</f>
        <v>0</v>
      </c>
      <c r="AI318" s="496">
        <f>IF(ISBLANK(Table2[[#This Row],[Primary Instructor]]),0,1)</f>
        <v>1</v>
      </c>
      <c r="AJ318" s="496">
        <f>IF(ISBLANK(Table2[[#This Row],[Instructor 2]]),0,1)</f>
        <v>0</v>
      </c>
      <c r="AK318" s="496">
        <f>Table2[[#This Row],[Course Length (Hours)]]/(Table2[[#This Row],[1 Instructor]]+Table2[[#This Row],[2 Instructors]])</f>
        <v>40</v>
      </c>
      <c r="AL318" s="318">
        <v>8</v>
      </c>
      <c r="AM318" s="497">
        <v>2</v>
      </c>
      <c r="AN318" s="496" t="str">
        <f>VLOOKUP(Table2[[#This Row],[Course Title]],'TSD-Data'!$A$1:$G$83,7,FALSE)</f>
        <v>N4</v>
      </c>
      <c r="AO318" s="500">
        <f>Table2[[#This Row],[Quotas]]-Table2[[#This Row],[Graduates]]-Table2[[#This Row],[Fail]]</f>
        <v>19</v>
      </c>
    </row>
    <row r="319" spans="2:41" s="202" customFormat="1" ht="15" customHeight="1" x14ac:dyDescent="0.25">
      <c r="B319" s="530"/>
      <c r="C319" s="542" t="s">
        <v>249</v>
      </c>
      <c r="D319" s="200" t="str">
        <f>VLOOKUP(Table2[[#This Row],[Course Title]],'TSD-Data'!$A$1:$E$83,2,FALSE)</f>
        <v>A-493-0331</v>
      </c>
      <c r="E319" s="200" t="str">
        <f>VLOOKUP(Table2[[#This Row],[Course Title]],'TSD-Data'!$A$1:$E$83,3,FALSE)</f>
        <v>10UG</v>
      </c>
      <c r="F319" s="530" t="s">
        <v>54</v>
      </c>
      <c r="G319" s="531">
        <v>46112</v>
      </c>
      <c r="H319" s="531">
        <v>46114</v>
      </c>
      <c r="I319" s="531" t="s">
        <v>42</v>
      </c>
      <c r="J319" s="532"/>
      <c r="K319" s="532">
        <v>0.5</v>
      </c>
      <c r="L319" s="536">
        <v>0.375</v>
      </c>
      <c r="M319" s="536">
        <v>0.79166666666666663</v>
      </c>
      <c r="N319" s="536">
        <v>0.75</v>
      </c>
      <c r="O319" s="536">
        <v>0.25</v>
      </c>
      <c r="P319" s="536">
        <v>4.1666666666666664E-2</v>
      </c>
      <c r="Q319" s="535" t="s">
        <v>437</v>
      </c>
      <c r="R319" s="535" t="s">
        <v>111</v>
      </c>
      <c r="S319" s="535"/>
      <c r="T319" s="200">
        <f>VLOOKUP(Table2[[#This Row],[Course Title]],'TSD-Data'!$A$1:$E$83,4,FALSE)</f>
        <v>45</v>
      </c>
      <c r="U319" s="200">
        <f>VLOOKUP(Table2[[#This Row],[Course Title]],'TSD-Data'!$A$1:$F$83,6,FALSE)</f>
        <v>24</v>
      </c>
      <c r="V319" s="201">
        <f>VLOOKUP(Table2[[#This Row],[Course Title]],'TSD-Data'!$A$1:$F$83,5,FALSE)</f>
        <v>3</v>
      </c>
      <c r="W319" s="201">
        <v>844</v>
      </c>
      <c r="X319" s="200">
        <f>Table2[[#This Row],[Quotas]]-Table2[[#This Row],[Open Quotas]]</f>
        <v>44</v>
      </c>
      <c r="Y319" s="200">
        <v>3</v>
      </c>
      <c r="Z319" s="201">
        <v>37</v>
      </c>
      <c r="AA319" s="201">
        <v>2</v>
      </c>
      <c r="AB319" s="200">
        <v>8</v>
      </c>
      <c r="AC319" s="200">
        <v>2</v>
      </c>
      <c r="AD319" s="200">
        <v>0</v>
      </c>
      <c r="AE319" s="200" t="s">
        <v>429</v>
      </c>
      <c r="AF319" s="495">
        <f ca="1">Table2[[#This Row],[End Date]]+2-TODAY()</f>
        <v>-128</v>
      </c>
      <c r="AG319" s="496">
        <f>IF(ISBLANK(Table2[[#This Row],[Roster Received by]]),1,0)</f>
        <v>0</v>
      </c>
      <c r="AH319" s="496">
        <f ca="1">IF(Table2[[#This Row],[Start Date]]&gt;TODAY(),1,)</f>
        <v>0</v>
      </c>
      <c r="AI319" s="496">
        <f>IF(ISBLANK(Table2[[#This Row],[Primary Instructor]]),0,1)</f>
        <v>1</v>
      </c>
      <c r="AJ319" s="496">
        <f>IF(ISBLANK(Table2[[#This Row],[Instructor 2]]),0,1)</f>
        <v>1</v>
      </c>
      <c r="AK319" s="496">
        <f>Table2[[#This Row],[Course Length (Hours)]]/(Table2[[#This Row],[1 Instructor]]+Table2[[#This Row],[2 Instructors]])</f>
        <v>12</v>
      </c>
      <c r="AL319" s="318">
        <v>1</v>
      </c>
      <c r="AM319" s="497">
        <v>2</v>
      </c>
      <c r="AN319" s="496" t="str">
        <f>VLOOKUP(Table2[[#This Row],[Course Title]],'TSD-Data'!$A$1:$G$83,7,FALSE)</f>
        <v>N3</v>
      </c>
      <c r="AO319" s="500">
        <f>Table2[[#This Row],[Quotas]]-Table2[[#This Row],[Graduates]]-Table2[[#This Row],[Fail]]</f>
        <v>6</v>
      </c>
    </row>
    <row r="320" spans="2:41" s="202" customFormat="1" ht="15" customHeight="1" x14ac:dyDescent="0.25">
      <c r="B320" s="530"/>
      <c r="C320" s="530" t="s">
        <v>200</v>
      </c>
      <c r="D320" s="200" t="str">
        <f>VLOOKUP(Table2[[#This Row],[Course Title]],'TSD-Data'!$A$1:$E$83,2,FALSE)</f>
        <v>A-493-0665</v>
      </c>
      <c r="E320" s="200" t="str">
        <f>VLOOKUP(Table2[[#This Row],[Course Title]],'TSD-Data'!$A$1:$E$83,3,FALSE)</f>
        <v>10KW</v>
      </c>
      <c r="F320" s="530" t="s">
        <v>54</v>
      </c>
      <c r="G320" s="531">
        <v>46118</v>
      </c>
      <c r="H320" s="531">
        <v>46120</v>
      </c>
      <c r="I320" s="531" t="s">
        <v>42</v>
      </c>
      <c r="J320" s="532"/>
      <c r="K320" s="532">
        <v>0.5</v>
      </c>
      <c r="L320" s="536">
        <v>0.375</v>
      </c>
      <c r="M320" s="536">
        <v>0.79166666666666663</v>
      </c>
      <c r="N320" s="536">
        <v>0.75</v>
      </c>
      <c r="O320" s="536">
        <v>0.25</v>
      </c>
      <c r="P320" s="536">
        <v>4.1666666666666664E-2</v>
      </c>
      <c r="Q320" s="535" t="s">
        <v>79</v>
      </c>
      <c r="R320" s="535"/>
      <c r="S320" s="535"/>
      <c r="T320" s="200">
        <f>VLOOKUP(Table2[[#This Row],[Course Title]],'TSD-Data'!$A$1:$E$83,4,FALSE)</f>
        <v>45</v>
      </c>
      <c r="U320" s="200">
        <f>VLOOKUP(Table2[[#This Row],[Course Title]],'TSD-Data'!$A$1:$F$83,6,FALSE)</f>
        <v>24</v>
      </c>
      <c r="V320" s="201">
        <f>VLOOKUP(Table2[[#This Row],[Course Title]],'TSD-Data'!$A$1:$F$83,5,FALSE)</f>
        <v>3</v>
      </c>
      <c r="W320" s="201">
        <v>337</v>
      </c>
      <c r="X320" s="200">
        <f>Table2[[#This Row],[Quotas]]-Table2[[#This Row],[Open Quotas]]</f>
        <v>39</v>
      </c>
      <c r="Y320" s="200">
        <v>0</v>
      </c>
      <c r="Z320" s="201">
        <v>31</v>
      </c>
      <c r="AA320" s="201">
        <v>1</v>
      </c>
      <c r="AB320" s="200">
        <v>6</v>
      </c>
      <c r="AC320" s="200">
        <v>0</v>
      </c>
      <c r="AD320" s="200">
        <v>0</v>
      </c>
      <c r="AE320" s="200" t="s">
        <v>442</v>
      </c>
      <c r="AF320" s="495">
        <f ca="1">Table2[[#This Row],[End Date]]+2-TODAY()</f>
        <v>-122</v>
      </c>
      <c r="AG320" s="496">
        <f>IF(ISBLANK(Table2[[#This Row],[Roster Received by]]),1,0)</f>
        <v>0</v>
      </c>
      <c r="AH320" s="496">
        <f ca="1">IF(Table2[[#This Row],[Start Date]]&gt;TODAY(),1,)</f>
        <v>0</v>
      </c>
      <c r="AI320" s="496">
        <f>IF(ISBLANK(Table2[[#This Row],[Primary Instructor]]),0,1)</f>
        <v>1</v>
      </c>
      <c r="AJ320" s="496">
        <f>IF(ISBLANK(Table2[[#This Row],[Instructor 2]]),0,1)</f>
        <v>0</v>
      </c>
      <c r="AK320" s="496">
        <f>Table2[[#This Row],[Course Length (Hours)]]/(Table2[[#This Row],[1 Instructor]]+Table2[[#This Row],[2 Instructors]])</f>
        <v>24</v>
      </c>
      <c r="AL320" s="318">
        <v>6</v>
      </c>
      <c r="AM320" s="496">
        <v>3</v>
      </c>
      <c r="AN320" s="496" t="str">
        <f>VLOOKUP(Table2[[#This Row],[Course Title]],'TSD-Data'!$A$1:$G$83,7,FALSE)</f>
        <v>N8</v>
      </c>
      <c r="AO320" s="500">
        <f>Table2[[#This Row],[Quotas]]-Table2[[#This Row],[Graduates]]-Table2[[#This Row],[Fail]]</f>
        <v>13</v>
      </c>
    </row>
    <row r="321" spans="2:41" ht="14.45" customHeight="1" x14ac:dyDescent="0.25">
      <c r="B321" s="530"/>
      <c r="C321" s="530" t="s">
        <v>276</v>
      </c>
      <c r="D321" s="200" t="str">
        <f>VLOOKUP(Table2[[#This Row],[Course Title]],'TSD-Data'!$A$1:$E$83,2,FALSE)</f>
        <v>A-493-0103</v>
      </c>
      <c r="E321" s="200" t="str">
        <f>VLOOKUP(Table2[[#This Row],[Course Title]],'TSD-Data'!$A$1:$E$83,3,FALSE)</f>
        <v>12JY</v>
      </c>
      <c r="F321" s="530" t="s">
        <v>41</v>
      </c>
      <c r="G321" s="531">
        <v>46118</v>
      </c>
      <c r="H321" s="531">
        <v>46122</v>
      </c>
      <c r="I321" s="531" t="s">
        <v>42</v>
      </c>
      <c r="J321" s="532">
        <v>0.33333333333333331</v>
      </c>
      <c r="K321" s="532"/>
      <c r="L321" s="531"/>
      <c r="M321" s="531"/>
      <c r="N321" s="531"/>
      <c r="O321" s="531"/>
      <c r="P321" s="531"/>
      <c r="Q321" s="535" t="s">
        <v>280</v>
      </c>
      <c r="R321" s="535"/>
      <c r="S321" s="535"/>
      <c r="T321" s="200">
        <f>VLOOKUP(Table2[[#This Row],[Course Title]],'TSD-Data'!$A$1:$E$83,4,FALSE)</f>
        <v>25</v>
      </c>
      <c r="U321" s="200">
        <f>VLOOKUP(Table2[[#This Row],[Course Title]],'TSD-Data'!$A$1:$F$83,6,FALSE)</f>
        <v>40</v>
      </c>
      <c r="V321" s="201">
        <f>VLOOKUP(Table2[[#This Row],[Course Title]],'TSD-Data'!$A$1:$F$83,5,FALSE)</f>
        <v>5</v>
      </c>
      <c r="W321" s="201">
        <v>116</v>
      </c>
      <c r="X321" s="200">
        <f>Table2[[#This Row],[Quotas]]-Table2[[#This Row],[Open Quotas]]</f>
        <v>10</v>
      </c>
      <c r="Y321" s="200">
        <v>0</v>
      </c>
      <c r="Z321" s="201">
        <v>13</v>
      </c>
      <c r="AA321" s="201">
        <v>0</v>
      </c>
      <c r="AB321" s="200">
        <v>0</v>
      </c>
      <c r="AC321" s="200">
        <v>3</v>
      </c>
      <c r="AD321" s="200">
        <v>0</v>
      </c>
      <c r="AE321" s="200" t="s">
        <v>431</v>
      </c>
      <c r="AF321" s="495">
        <f ca="1">Table2[[#This Row],[End Date]]+2-TODAY()</f>
        <v>-120</v>
      </c>
      <c r="AG321" s="496">
        <f>IF(ISBLANK(Table2[[#This Row],[Roster Received by]]),1,0)</f>
        <v>0</v>
      </c>
      <c r="AH321" s="496">
        <f ca="1">IF(Table2[[#This Row],[Start Date]]&gt;TODAY(),1,)</f>
        <v>0</v>
      </c>
      <c r="AI321" s="496">
        <f>IF(ISBLANK(Table2[[#This Row],[Primary Instructor]]),0,1)</f>
        <v>1</v>
      </c>
      <c r="AJ321" s="496">
        <f>IF(ISBLANK(Table2[[#This Row],[Instructor 2]]),0,1)</f>
        <v>0</v>
      </c>
      <c r="AK321" s="496">
        <f>Table2[[#This Row],[Course Length (Hours)]]/(Table2[[#This Row],[1 Instructor]]+Table2[[#This Row],[2 Instructors]])</f>
        <v>40</v>
      </c>
      <c r="AL321" s="318">
        <v>15</v>
      </c>
      <c r="AM321" s="496">
        <v>3</v>
      </c>
      <c r="AN321" s="496" t="str">
        <f>VLOOKUP(Table2[[#This Row],[Course Title]],'TSD-Data'!$A$1:$G$83,7,FALSE)</f>
        <v>N5</v>
      </c>
      <c r="AO321" s="500">
        <f>Table2[[#This Row],[Quotas]]-Table2[[#This Row],[Graduates]]-Table2[[#This Row],[Fail]]</f>
        <v>12</v>
      </c>
    </row>
    <row r="322" spans="2:41" ht="15" customHeight="1" x14ac:dyDescent="0.25">
      <c r="B322" s="530"/>
      <c r="C322" s="530" t="s">
        <v>276</v>
      </c>
      <c r="D322" s="200" t="str">
        <f>VLOOKUP(Table2[[#This Row],[Course Title]],'TSD-Data'!$A$1:$E$83,2,FALSE)</f>
        <v>A-493-0103</v>
      </c>
      <c r="E322" s="200" t="str">
        <f>VLOOKUP(Table2[[#This Row],[Course Title]],'TSD-Data'!$A$1:$E$83,3,FALSE)</f>
        <v>12JY</v>
      </c>
      <c r="F322" s="550" t="s">
        <v>121</v>
      </c>
      <c r="G322" s="531">
        <v>46118</v>
      </c>
      <c r="H322" s="531">
        <v>46122</v>
      </c>
      <c r="I322" s="531" t="s">
        <v>42</v>
      </c>
      <c r="J322" s="532">
        <v>0.33333333333333331</v>
      </c>
      <c r="K322" s="532"/>
      <c r="L322" s="531"/>
      <c r="M322" s="531"/>
      <c r="N322" s="531"/>
      <c r="O322" s="531"/>
      <c r="P322" s="531"/>
      <c r="Q322" s="535" t="s">
        <v>280</v>
      </c>
      <c r="R322" s="535"/>
      <c r="S322" s="535"/>
      <c r="T322" s="200">
        <f>VLOOKUP(Table2[[#This Row],[Course Title]],'TSD-Data'!$A$1:$E$83,4,FALSE)</f>
        <v>25</v>
      </c>
      <c r="U322" s="200">
        <f>VLOOKUP(Table2[[#This Row],[Course Title]],'TSD-Data'!$A$1:$F$83,6,FALSE)</f>
        <v>40</v>
      </c>
      <c r="V322" s="201">
        <f>VLOOKUP(Table2[[#This Row],[Course Title]],'TSD-Data'!$A$1:$F$83,5,FALSE)</f>
        <v>5</v>
      </c>
      <c r="W322" s="201">
        <v>225</v>
      </c>
      <c r="X322" s="200">
        <f>Table2[[#This Row],[Quotas]]-Table2[[#This Row],[Open Quotas]]</f>
        <v>20</v>
      </c>
      <c r="Y322" s="200">
        <v>0</v>
      </c>
      <c r="Z322" s="201">
        <v>20</v>
      </c>
      <c r="AA322" s="201">
        <v>0</v>
      </c>
      <c r="AB322" s="200">
        <v>1</v>
      </c>
      <c r="AC322" s="200">
        <v>1</v>
      </c>
      <c r="AD322" s="200">
        <v>0</v>
      </c>
      <c r="AE322" s="200" t="s">
        <v>431</v>
      </c>
      <c r="AF322" s="495">
        <f ca="1">Table2[[#This Row],[End Date]]+2-TODAY()</f>
        <v>-120</v>
      </c>
      <c r="AG322" s="496">
        <f>IF(ISBLANK(Table2[[#This Row],[Roster Received by]]),1,0)</f>
        <v>0</v>
      </c>
      <c r="AH322" s="496">
        <f ca="1">IF(Table2[[#This Row],[Start Date]]&gt;TODAY(),1,)</f>
        <v>0</v>
      </c>
      <c r="AI322" s="496">
        <f>IF(ISBLANK(Table2[[#This Row],[Primary Instructor]]),0,1)</f>
        <v>1</v>
      </c>
      <c r="AJ322" s="496">
        <f>IF(ISBLANK(Table2[[#This Row],[Instructor 2]]),0,1)</f>
        <v>0</v>
      </c>
      <c r="AK322" s="496">
        <f>Table2[[#This Row],[Course Length (Hours)]]/(Table2[[#This Row],[1 Instructor]]+Table2[[#This Row],[2 Instructors]])</f>
        <v>40</v>
      </c>
      <c r="AL322" s="318">
        <v>5</v>
      </c>
      <c r="AM322" s="496">
        <v>3</v>
      </c>
      <c r="AN322" s="496" t="str">
        <f>VLOOKUP(Table2[[#This Row],[Course Title]],'TSD-Data'!$A$1:$G$83,7,FALSE)</f>
        <v>N5</v>
      </c>
      <c r="AO322" s="500">
        <f>Table2[[#This Row],[Quotas]]-Table2[[#This Row],[Graduates]]-Table2[[#This Row],[Fail]]</f>
        <v>5</v>
      </c>
    </row>
    <row r="323" spans="2:41" s="202" customFormat="1" ht="13.15" customHeight="1" x14ac:dyDescent="0.25">
      <c r="B323" s="155" t="s">
        <v>320</v>
      </c>
      <c r="C323" s="321" t="s">
        <v>49</v>
      </c>
      <c r="D323" s="200" t="str">
        <f>VLOOKUP(Table2[[#This Row],[Course Title]],'TSD-Data'!$A$1:$E$83,2,FALSE)</f>
        <v>A-493-0012</v>
      </c>
      <c r="E323" s="200">
        <f>VLOOKUP(Table2[[#This Row],[Course Title]],'TSD-Data'!$A$1:$E$83,3,FALSE)</f>
        <v>3682</v>
      </c>
      <c r="F323" s="321" t="s">
        <v>279</v>
      </c>
      <c r="G323" s="531">
        <v>46118</v>
      </c>
      <c r="H323" s="531">
        <v>46122</v>
      </c>
      <c r="I323" s="129" t="s">
        <v>42</v>
      </c>
      <c r="J323" s="532">
        <v>0.33333333333333331</v>
      </c>
      <c r="K323" s="532"/>
      <c r="L323" s="531"/>
      <c r="M323" s="531"/>
      <c r="N323" s="531"/>
      <c r="O323" s="531"/>
      <c r="P323" s="531"/>
      <c r="Q323" s="535" t="s">
        <v>450</v>
      </c>
      <c r="R323" s="535"/>
      <c r="S323" s="535"/>
      <c r="T323" s="200">
        <f>VLOOKUP(Table2[[#This Row],[Course Title]],'TSD-Data'!$A$1:$E$83,4,FALSE)</f>
        <v>40</v>
      </c>
      <c r="U323" s="200">
        <f>VLOOKUP(Table2[[#This Row],[Course Title]],'TSD-Data'!$A$1:$F$83,6,FALSE)</f>
        <v>40</v>
      </c>
      <c r="V323" s="201">
        <f>VLOOKUP(Table2[[#This Row],[Course Title]],'TSD-Data'!$A$1:$F$83,5,FALSE)</f>
        <v>5</v>
      </c>
      <c r="W323" s="200">
        <v>13</v>
      </c>
      <c r="X323" s="200">
        <f>Table2[[#This Row],[Quotas]]-Table2[[#This Row],[Open Quotas]]</f>
        <v>17</v>
      </c>
      <c r="Y323" s="200">
        <v>0</v>
      </c>
      <c r="Z323" s="201">
        <v>24</v>
      </c>
      <c r="AA323" s="201">
        <v>4</v>
      </c>
      <c r="AB323" s="200">
        <v>2</v>
      </c>
      <c r="AC323" s="200">
        <v>13</v>
      </c>
      <c r="AD323" s="200">
        <v>0</v>
      </c>
      <c r="AE323" s="200" t="s">
        <v>428</v>
      </c>
      <c r="AF323" s="495">
        <f ca="1">Table2[[#This Row],[End Date]]+2-TODAY()</f>
        <v>-120</v>
      </c>
      <c r="AG323" s="496">
        <f>IF(ISBLANK(Table2[[#This Row],[Roster Received by]]),1,0)</f>
        <v>0</v>
      </c>
      <c r="AH323" s="496">
        <f ca="1">IF(Table2[[#This Row],[Start Date]]&gt;TODAY(),1,)</f>
        <v>0</v>
      </c>
      <c r="AI323" s="496">
        <f>IF(ISBLANK(Table2[[#This Row],[Primary Instructor]]),0,1)</f>
        <v>1</v>
      </c>
      <c r="AJ323" s="496">
        <f>IF(ISBLANK(Table2[[#This Row],[Instructor 2]]),0,1)</f>
        <v>0</v>
      </c>
      <c r="AK323" s="496">
        <f>Table2[[#This Row],[Course Length (Hours)]]/(Table2[[#This Row],[1 Instructor]]+Table2[[#This Row],[2 Instructors]])</f>
        <v>40</v>
      </c>
      <c r="AL323" s="318">
        <v>23</v>
      </c>
      <c r="AM323" s="496">
        <v>3</v>
      </c>
      <c r="AN323" s="496" t="str">
        <f>VLOOKUP(Table2[[#This Row],[Course Title]],'TSD-Data'!$A$1:$G$83,7,FALSE)</f>
        <v>N4</v>
      </c>
      <c r="AO323" s="500">
        <f>Table2[[#This Row],[Quotas]]-Table2[[#This Row],[Graduates]]-Table2[[#This Row],[Fail]]</f>
        <v>12</v>
      </c>
    </row>
    <row r="324" spans="2:41" s="202" customFormat="1" ht="15" customHeight="1" x14ac:dyDescent="0.25">
      <c r="B324" s="530"/>
      <c r="C324" s="530" t="s">
        <v>229</v>
      </c>
      <c r="D324" s="200" t="str">
        <f>VLOOKUP(Table2[[#This Row],[Course Title]],'TSD-Data'!$A$1:$E$83,2,FALSE)</f>
        <v>A-570-0100</v>
      </c>
      <c r="E324" s="200" t="str">
        <f>VLOOKUP(Table2[[#This Row],[Course Title]],'TSD-Data'!$A$1:$E$83,3,FALSE)</f>
        <v>18B7</v>
      </c>
      <c r="F324" s="530" t="s">
        <v>54</v>
      </c>
      <c r="G324" s="531">
        <v>46118</v>
      </c>
      <c r="H324" s="531">
        <v>46119</v>
      </c>
      <c r="I324" s="531" t="s">
        <v>42</v>
      </c>
      <c r="J324" s="532"/>
      <c r="K324" s="532">
        <v>0.33333333333333331</v>
      </c>
      <c r="L324" s="532">
        <v>0.20833333333333334</v>
      </c>
      <c r="M324" s="532">
        <v>0.625</v>
      </c>
      <c r="N324" s="532">
        <v>0.54166666666666663</v>
      </c>
      <c r="O324" s="532">
        <v>8.3333333333333329E-2</v>
      </c>
      <c r="P324" s="532">
        <v>0.875</v>
      </c>
      <c r="Q324" s="535" t="s">
        <v>432</v>
      </c>
      <c r="R324" s="535"/>
      <c r="S324" s="535"/>
      <c r="T324" s="200">
        <f>VLOOKUP(Table2[[#This Row],[Course Title]],'TSD-Data'!$A$1:$E$83,4,FALSE)</f>
        <v>45</v>
      </c>
      <c r="U324" s="200">
        <f>VLOOKUP(Table2[[#This Row],[Course Title]],'TSD-Data'!$A$1:$F$83,6,FALSE)</f>
        <v>16</v>
      </c>
      <c r="V324" s="201">
        <f>VLOOKUP(Table2[[#This Row],[Course Title]],'TSD-Data'!$A$1:$F$83,5,FALSE)</f>
        <v>2</v>
      </c>
      <c r="W324" s="201">
        <v>326</v>
      </c>
      <c r="X324" s="200">
        <f>Table2[[#This Row],[Quotas]]-Table2[[#This Row],[Open Quotas]]</f>
        <v>13</v>
      </c>
      <c r="Y324" s="200">
        <v>0</v>
      </c>
      <c r="Z324" s="201">
        <v>11</v>
      </c>
      <c r="AA324" s="201">
        <v>0</v>
      </c>
      <c r="AB324" s="200">
        <v>5</v>
      </c>
      <c r="AC324" s="200">
        <v>0</v>
      </c>
      <c r="AD324" s="200">
        <v>0</v>
      </c>
      <c r="AE324" s="200" t="s">
        <v>429</v>
      </c>
      <c r="AF324" s="495">
        <f ca="1">Table2[[#This Row],[End Date]]+2-TODAY()</f>
        <v>-123</v>
      </c>
      <c r="AG324" s="496">
        <f>IF(ISBLANK(Table2[[#This Row],[Roster Received by]]),1,0)</f>
        <v>0</v>
      </c>
      <c r="AH324" s="496">
        <f ca="1">IF(Table2[[#This Row],[Start Date]]&gt;TODAY(),1,)</f>
        <v>0</v>
      </c>
      <c r="AI324" s="496">
        <f>IF(ISBLANK(Table2[[#This Row],[Primary Instructor]]),0,1)</f>
        <v>1</v>
      </c>
      <c r="AJ324" s="496">
        <f>IF(ISBLANK(Table2[[#This Row],[Instructor 2]]),0,1)</f>
        <v>0</v>
      </c>
      <c r="AK324" s="496">
        <f>Table2[[#This Row],[Course Length (Hours)]]/(Table2[[#This Row],[1 Instructor]]+Table2[[#This Row],[2 Instructors]])</f>
        <v>16</v>
      </c>
      <c r="AL324" s="318">
        <v>32</v>
      </c>
      <c r="AM324" s="496">
        <v>3</v>
      </c>
      <c r="AN324" s="496" t="str">
        <f>VLOOKUP(Table2[[#This Row],[Course Title]],'TSD-Data'!$A$1:$G$83,7,FALSE)</f>
        <v>N8</v>
      </c>
      <c r="AO324" s="500">
        <f>Table2[[#This Row],[Quotas]]-Table2[[#This Row],[Graduates]]-Table2[[#This Row],[Fail]]</f>
        <v>34</v>
      </c>
    </row>
    <row r="325" spans="2:41" s="202" customFormat="1" ht="15" customHeight="1" x14ac:dyDescent="0.25">
      <c r="B325" s="530" t="s">
        <v>465</v>
      </c>
      <c r="C325" s="530" t="s">
        <v>453</v>
      </c>
      <c r="D325" s="200" t="str">
        <f>VLOOKUP(Table2[[#This Row],[Course Title]],'TSD-Data'!$A$1:$E$83,2,FALSE)</f>
        <v>Reserved</v>
      </c>
      <c r="E325" s="200" t="str">
        <f>VLOOKUP(Table2[[#This Row],[Course Title]],'TSD-Data'!$A$1:$E$83,3,FALSE)</f>
        <v xml:space="preserve">Reserved </v>
      </c>
      <c r="F325" s="530" t="s">
        <v>61</v>
      </c>
      <c r="G325" s="531">
        <v>46118</v>
      </c>
      <c r="H325" s="531">
        <v>46122</v>
      </c>
      <c r="I325" s="531" t="s">
        <v>434</v>
      </c>
      <c r="J325" s="532">
        <v>0.33333333333333331</v>
      </c>
      <c r="K325" s="532"/>
      <c r="L325" s="531"/>
      <c r="M325" s="531"/>
      <c r="N325" s="531"/>
      <c r="O325" s="531"/>
      <c r="P325" s="531"/>
      <c r="Q325" s="535" t="s">
        <v>466</v>
      </c>
      <c r="R325" s="535"/>
      <c r="S325" s="535"/>
      <c r="T325" s="200">
        <f>VLOOKUP(Table2[[#This Row],[Course Title]],'TSD-Data'!$A$1:$E$83,4,FALSE)</f>
        <v>0</v>
      </c>
      <c r="U325" s="200">
        <f>VLOOKUP(Table2[[#This Row],[Course Title]],'TSD-Data'!$A$1:$F$83,6,FALSE)</f>
        <v>0</v>
      </c>
      <c r="V325" s="201">
        <f>VLOOKUP(Table2[[#This Row],[Course Title]],'TSD-Data'!$A$1:$F$83,5,FALSE)</f>
        <v>0</v>
      </c>
      <c r="W325" s="201"/>
      <c r="X325" s="200"/>
      <c r="Y325" s="200"/>
      <c r="Z325" s="201"/>
      <c r="AA325" s="201"/>
      <c r="AB325" s="200"/>
      <c r="AC325" s="200"/>
      <c r="AD325" s="200"/>
      <c r="AE325" s="541" t="s">
        <v>436</v>
      </c>
      <c r="AF325" s="495">
        <f ca="1">Table2[[#This Row],[End Date]]+2-TODAY()</f>
        <v>-120</v>
      </c>
      <c r="AG325" s="496">
        <f>IF(ISBLANK(Table2[[#This Row],[Roster Received by]]),1,0)</f>
        <v>0</v>
      </c>
      <c r="AH325" s="496">
        <f ca="1">IF(Table2[[#This Row],[Start Date]]&gt;TODAY(),1,)</f>
        <v>0</v>
      </c>
      <c r="AI325" s="496">
        <f>IF(ISBLANK(Table2[[#This Row],[Primary Instructor]]),0,1)</f>
        <v>1</v>
      </c>
      <c r="AJ325" s="496">
        <f>IF(ISBLANK(Table2[[#This Row],[Instructor 2]]),0,1)</f>
        <v>0</v>
      </c>
      <c r="AK325" s="496">
        <f>Table2[[#This Row],[Course Length (Hours)]]/(Table2[[#This Row],[1 Instructor]]+Table2[[#This Row],[2 Instructors]])</f>
        <v>0</v>
      </c>
      <c r="AL325" s="318"/>
      <c r="AM325" s="496"/>
      <c r="AN325" s="496" t="str">
        <f>VLOOKUP(Table2[[#This Row],[Course Title]],'TSD-Data'!$A$1:$G$83,7,FALSE)</f>
        <v>TSD</v>
      </c>
      <c r="AO325" s="500">
        <f>Table2[[#This Row],[Quotas]]-Table2[[#This Row],[Graduates]]-Table2[[#This Row],[Fail]]</f>
        <v>0</v>
      </c>
    </row>
    <row r="326" spans="2:41" s="202" customFormat="1" ht="15" customHeight="1" x14ac:dyDescent="0.25">
      <c r="B326" s="530" t="s">
        <v>80</v>
      </c>
      <c r="C326" s="530" t="s">
        <v>77</v>
      </c>
      <c r="D326" s="200" t="str">
        <f>VLOOKUP(Table2[[#This Row],[Course Title]],'TSD-Data'!$A$1:$E$83,2,FALSE)</f>
        <v>A-493-0072</v>
      </c>
      <c r="E326" s="200" t="str">
        <f>VLOOKUP(Table2[[#This Row],[Course Title]],'TSD-Data'!$A$1:$E$83,3,FALSE)</f>
        <v>713U</v>
      </c>
      <c r="F326" s="530" t="s">
        <v>88</v>
      </c>
      <c r="G326" s="531">
        <v>46118</v>
      </c>
      <c r="H326" s="531">
        <v>46122</v>
      </c>
      <c r="I326" s="531" t="s">
        <v>42</v>
      </c>
      <c r="J326" s="532">
        <v>0.33333333333333331</v>
      </c>
      <c r="K326" s="532"/>
      <c r="L326" s="531"/>
      <c r="M326" s="531"/>
      <c r="N326" s="531"/>
      <c r="O326" s="531"/>
      <c r="P326" s="531"/>
      <c r="Q326" s="535" t="s">
        <v>82</v>
      </c>
      <c r="R326" s="535"/>
      <c r="S326" s="535" t="s">
        <v>451</v>
      </c>
      <c r="T326" s="200">
        <f>VLOOKUP(Table2[[#This Row],[Course Title]],'TSD-Data'!$A$1:$E$83,4,FALSE)</f>
        <v>30</v>
      </c>
      <c r="U326" s="200">
        <f>VLOOKUP(Table2[[#This Row],[Course Title]],'TSD-Data'!$A$1:$F$83,6,FALSE)</f>
        <v>40</v>
      </c>
      <c r="V326" s="201">
        <f>VLOOKUP(Table2[[#This Row],[Course Title]],'TSD-Data'!$A$1:$F$83,5,FALSE)</f>
        <v>5</v>
      </c>
      <c r="W326" s="201">
        <v>36</v>
      </c>
      <c r="X326" s="200">
        <f>Table2[[#This Row],[Quotas]]-Table2[[#This Row],[Open Quotas]]</f>
        <v>30</v>
      </c>
      <c r="Y326" s="200">
        <v>0</v>
      </c>
      <c r="Z326" s="201">
        <v>20</v>
      </c>
      <c r="AA326" s="201">
        <v>0</v>
      </c>
      <c r="AB326" s="200">
        <v>4</v>
      </c>
      <c r="AC326" s="200">
        <v>0</v>
      </c>
      <c r="AD326" s="200">
        <v>0</v>
      </c>
      <c r="AE326" s="200" t="s">
        <v>429</v>
      </c>
      <c r="AF326" s="495">
        <f ca="1">Table2[[#This Row],[End Date]]+2-TODAY()</f>
        <v>-120</v>
      </c>
      <c r="AG326" s="496">
        <f>IF(ISBLANK(Table2[[#This Row],[Roster Received by]]),1,0)</f>
        <v>0</v>
      </c>
      <c r="AH326" s="496">
        <f ca="1">IF(Table2[[#This Row],[Start Date]]&gt;TODAY(),1,)</f>
        <v>0</v>
      </c>
      <c r="AI326" s="496">
        <f>IF(ISBLANK(Table2[[#This Row],[Primary Instructor]]),0,1)</f>
        <v>1</v>
      </c>
      <c r="AJ326" s="496">
        <f>IF(ISBLANK(Table2[[#This Row],[Instructor 2]]),0,1)</f>
        <v>0</v>
      </c>
      <c r="AK326" s="496">
        <f>Table2[[#This Row],[Course Length (Hours)]]/(Table2[[#This Row],[1 Instructor]]+Table2[[#This Row],[2 Instructors]])</f>
        <v>40</v>
      </c>
      <c r="AL326" s="318">
        <v>0</v>
      </c>
      <c r="AM326" s="496">
        <v>3</v>
      </c>
      <c r="AN326" s="496" t="str">
        <f>VLOOKUP(Table2[[#This Row],[Course Title]],'TSD-Data'!$A$1:$G$83,7,FALSE)</f>
        <v>N3</v>
      </c>
      <c r="AO326" s="500">
        <f>Table2[[#This Row],[Quotas]]-Table2[[#This Row],[Graduates]]-Table2[[#This Row],[Fail]]</f>
        <v>10</v>
      </c>
    </row>
    <row r="327" spans="2:41" ht="15" customHeight="1" x14ac:dyDescent="0.25">
      <c r="B327" s="530"/>
      <c r="C327" s="530" t="s">
        <v>77</v>
      </c>
      <c r="D327" s="200" t="str">
        <f>VLOOKUP(Table2[[#This Row],[Course Title]],'TSD-Data'!$A$1:$E$83,2,FALSE)</f>
        <v>A-493-0072</v>
      </c>
      <c r="E327" s="200" t="str">
        <f>VLOOKUP(Table2[[#This Row],[Course Title]],'TSD-Data'!$A$1:$E$83,3,FALSE)</f>
        <v>713U</v>
      </c>
      <c r="F327" s="530" t="s">
        <v>130</v>
      </c>
      <c r="G327" s="531">
        <v>46118</v>
      </c>
      <c r="H327" s="531">
        <v>46122</v>
      </c>
      <c r="I327" s="531" t="s">
        <v>42</v>
      </c>
      <c r="J327" s="532">
        <v>0.33333333333333331</v>
      </c>
      <c r="K327" s="532"/>
      <c r="L327" s="531"/>
      <c r="M327" s="531"/>
      <c r="N327" s="531"/>
      <c r="O327" s="531"/>
      <c r="P327" s="531"/>
      <c r="Q327" s="535" t="s">
        <v>295</v>
      </c>
      <c r="R327" s="535" t="s">
        <v>437</v>
      </c>
      <c r="S327" s="535"/>
      <c r="T327" s="200">
        <f>VLOOKUP(Table2[[#This Row],[Course Title]],'TSD-Data'!$A$1:$E$83,4,FALSE)</f>
        <v>30</v>
      </c>
      <c r="U327" s="200">
        <f>VLOOKUP(Table2[[#This Row],[Course Title]],'TSD-Data'!$A$1:$F$83,6,FALSE)</f>
        <v>40</v>
      </c>
      <c r="V327" s="201">
        <f>VLOOKUP(Table2[[#This Row],[Course Title]],'TSD-Data'!$A$1:$F$83,5,FALSE)</f>
        <v>5</v>
      </c>
      <c r="W327" s="201">
        <v>178</v>
      </c>
      <c r="X327" s="200">
        <f>Table2[[#This Row],[Quotas]]-Table2[[#This Row],[Open Quotas]]</f>
        <v>29</v>
      </c>
      <c r="Y327" s="200">
        <v>2</v>
      </c>
      <c r="Z327" s="201">
        <v>30</v>
      </c>
      <c r="AA327" s="201">
        <v>0</v>
      </c>
      <c r="AB327" s="200">
        <v>2</v>
      </c>
      <c r="AC327" s="200">
        <v>0</v>
      </c>
      <c r="AD327" s="200">
        <v>0</v>
      </c>
      <c r="AE327" s="200" t="s">
        <v>429</v>
      </c>
      <c r="AF327" s="495">
        <f ca="1">Table2[[#This Row],[End Date]]+2-TODAY()</f>
        <v>-120</v>
      </c>
      <c r="AG327" s="496">
        <f>IF(ISBLANK(Table2[[#This Row],[Roster Received by]]),1,0)</f>
        <v>0</v>
      </c>
      <c r="AH327" s="496">
        <f ca="1">IF(Table2[[#This Row],[Start Date]]&gt;TODAY(),1,)</f>
        <v>0</v>
      </c>
      <c r="AI327" s="496">
        <f>IF(ISBLANK(Table2[[#This Row],[Primary Instructor]]),0,1)</f>
        <v>1</v>
      </c>
      <c r="AJ327" s="496">
        <f>IF(ISBLANK(Table2[[#This Row],[Instructor 2]]),0,1)</f>
        <v>1</v>
      </c>
      <c r="AK327" s="496">
        <f>Table2[[#This Row],[Course Length (Hours)]]/(Table2[[#This Row],[1 Instructor]]+Table2[[#This Row],[2 Instructors]])</f>
        <v>20</v>
      </c>
      <c r="AL327" s="318">
        <v>1</v>
      </c>
      <c r="AM327" s="496">
        <v>3</v>
      </c>
      <c r="AN327" s="496" t="str">
        <f>VLOOKUP(Table2[[#This Row],[Course Title]],'TSD-Data'!$A$1:$G$83,7,FALSE)</f>
        <v>N3</v>
      </c>
      <c r="AO327" s="500">
        <f>Table2[[#This Row],[Quotas]]-Table2[[#This Row],[Graduates]]-Table2[[#This Row],[Fail]]</f>
        <v>0</v>
      </c>
    </row>
    <row r="328" spans="2:41" s="202" customFormat="1" ht="15" customHeight="1" x14ac:dyDescent="0.25">
      <c r="B328" s="530"/>
      <c r="C328" s="530" t="s">
        <v>236</v>
      </c>
      <c r="D328" s="200" t="str">
        <f>VLOOKUP(Table2[[#This Row],[Course Title]],'TSD-Data'!$A$1:$E$83,2,FALSE)</f>
        <v>A-493-2098</v>
      </c>
      <c r="E328" s="200" t="str">
        <f>VLOOKUP(Table2[[#This Row],[Course Title]],'TSD-Data'!$A$1:$E$83,3,FALSE)</f>
        <v>09WW</v>
      </c>
      <c r="F328" s="530" t="s">
        <v>54</v>
      </c>
      <c r="G328" s="531">
        <v>46118</v>
      </c>
      <c r="H328" s="531">
        <v>46120</v>
      </c>
      <c r="I328" s="531" t="s">
        <v>42</v>
      </c>
      <c r="J328" s="532"/>
      <c r="K328" s="532">
        <v>0.5</v>
      </c>
      <c r="L328" s="536">
        <v>0.375</v>
      </c>
      <c r="M328" s="536">
        <v>0.79166666666666663</v>
      </c>
      <c r="N328" s="536">
        <v>0.75</v>
      </c>
      <c r="O328" s="536">
        <v>0.25</v>
      </c>
      <c r="P328" s="536">
        <v>4.1666666666666664E-2</v>
      </c>
      <c r="Q328" s="535" t="s">
        <v>43</v>
      </c>
      <c r="R328" s="535"/>
      <c r="S328" s="535"/>
      <c r="T328" s="200">
        <f>VLOOKUP(Table2[[#This Row],[Course Title]],'TSD-Data'!$A$1:$E$83,4,FALSE)</f>
        <v>100</v>
      </c>
      <c r="U328" s="200">
        <f>VLOOKUP(Table2[[#This Row],[Course Title]],'TSD-Data'!$A$1:$F$83,6,FALSE)</f>
        <v>16</v>
      </c>
      <c r="V328" s="201">
        <f>VLOOKUP(Table2[[#This Row],[Course Title]],'TSD-Data'!$A$1:$F$83,5,FALSE)</f>
        <v>3</v>
      </c>
      <c r="W328" s="201"/>
      <c r="X328" s="200">
        <f>Table2[[#This Row],[Quotas]]-Table2[[#This Row],[Open Quotas]]</f>
        <v>88</v>
      </c>
      <c r="Y328" s="200">
        <v>4</v>
      </c>
      <c r="Z328" s="201">
        <v>60</v>
      </c>
      <c r="AA328" s="201">
        <v>6</v>
      </c>
      <c r="AB328" s="200">
        <v>36</v>
      </c>
      <c r="AC328" s="200">
        <v>3</v>
      </c>
      <c r="AD328" s="200">
        <v>0</v>
      </c>
      <c r="AE328" s="200" t="s">
        <v>428</v>
      </c>
      <c r="AF328" s="495">
        <f ca="1">Table2[[#This Row],[End Date]]+2-TODAY()</f>
        <v>-122</v>
      </c>
      <c r="AG328" s="496">
        <f>IF(ISBLANK(Table2[[#This Row],[Roster Received by]]),1,0)</f>
        <v>0</v>
      </c>
      <c r="AH328" s="496">
        <f ca="1">IF(Table2[[#This Row],[Start Date]]&gt;TODAY(),1,)</f>
        <v>0</v>
      </c>
      <c r="AI328" s="496">
        <f>IF(ISBLANK(Table2[[#This Row],[Primary Instructor]]),0,1)</f>
        <v>1</v>
      </c>
      <c r="AJ328" s="496">
        <f>IF(ISBLANK(Table2[[#This Row],[Instructor 2]]),0,1)</f>
        <v>0</v>
      </c>
      <c r="AK328" s="496">
        <f>Table2[[#This Row],[Course Length (Hours)]]/(Table2[[#This Row],[1 Instructor]]+Table2[[#This Row],[2 Instructors]])</f>
        <v>16</v>
      </c>
      <c r="AL328" s="318">
        <v>12</v>
      </c>
      <c r="AM328" s="496">
        <v>3</v>
      </c>
      <c r="AN328" s="496" t="str">
        <f>VLOOKUP(Table2[[#This Row],[Course Title]],'TSD-Data'!$A$1:$G$83,7,FALSE)</f>
        <v>N8</v>
      </c>
      <c r="AO328" s="500">
        <f>Table2[[#This Row],[Quotas]]-Table2[[#This Row],[Graduates]]-Table2[[#This Row],[Fail]]</f>
        <v>34</v>
      </c>
    </row>
    <row r="329" spans="2:41" s="202" customFormat="1" ht="15" customHeight="1" x14ac:dyDescent="0.25">
      <c r="B329" s="530"/>
      <c r="C329" s="530" t="s">
        <v>70</v>
      </c>
      <c r="D329" s="200" t="str">
        <f>VLOOKUP(Table2[[#This Row],[Course Title]],'TSD-Data'!$A$1:$E$83,2,FALSE)</f>
        <v>A-493-0077</v>
      </c>
      <c r="E329" s="200" t="str">
        <f>VLOOKUP(Table2[[#This Row],[Course Title]],'TSD-Data'!$A$1:$E$83,3,FALSE)</f>
        <v>0381</v>
      </c>
      <c r="F329" s="530" t="s">
        <v>467</v>
      </c>
      <c r="G329" s="531">
        <v>46119</v>
      </c>
      <c r="H329" s="531">
        <v>46121</v>
      </c>
      <c r="I329" s="129" t="s">
        <v>42</v>
      </c>
      <c r="J329" s="532">
        <v>0.33333333333333331</v>
      </c>
      <c r="K329" s="532"/>
      <c r="L329" s="531"/>
      <c r="M329" s="531"/>
      <c r="N329" s="531"/>
      <c r="O329" s="531"/>
      <c r="P329" s="531"/>
      <c r="Q329" s="535" t="s">
        <v>48</v>
      </c>
      <c r="R329" s="535"/>
      <c r="S329" s="535"/>
      <c r="T329" s="200">
        <f>VLOOKUP(Table2[[#This Row],[Course Title]],'TSD-Data'!$A$1:$E$83,4,FALSE)</f>
        <v>25</v>
      </c>
      <c r="U329" s="200">
        <f>VLOOKUP(Table2[[#This Row],[Course Title]],'TSD-Data'!$A$1:$F$83,6,FALSE)</f>
        <v>24</v>
      </c>
      <c r="V329" s="201">
        <f>VLOOKUP(Table2[[#This Row],[Course Title]],'TSD-Data'!$A$1:$F$83,5,FALSE)</f>
        <v>3</v>
      </c>
      <c r="W329" s="201">
        <v>37</v>
      </c>
      <c r="X329" s="200">
        <f>Table2[[#This Row],[Quotas]]-Table2[[#This Row],[Open Quotas]]</f>
        <v>6</v>
      </c>
      <c r="Y329" s="200">
        <v>0</v>
      </c>
      <c r="Z329" s="201">
        <v>10</v>
      </c>
      <c r="AA329" s="201">
        <v>0</v>
      </c>
      <c r="AB329" s="200">
        <v>0</v>
      </c>
      <c r="AC329" s="200">
        <v>4</v>
      </c>
      <c r="AD329" s="200">
        <v>0</v>
      </c>
      <c r="AE329" s="200" t="s">
        <v>428</v>
      </c>
      <c r="AF329" s="495">
        <f ca="1">Table2[[#This Row],[End Date]]+2-TODAY()</f>
        <v>-121</v>
      </c>
      <c r="AG329" s="496">
        <f>IF(ISBLANK(Table2[[#This Row],[Roster Received by]]),1,0)</f>
        <v>0</v>
      </c>
      <c r="AH329" s="496">
        <f ca="1">IF(Table2[[#This Row],[Start Date]]&gt;TODAY(),1,)</f>
        <v>0</v>
      </c>
      <c r="AI329" s="496">
        <f>IF(ISBLANK(Table2[[#This Row],[Primary Instructor]]),0,1)</f>
        <v>1</v>
      </c>
      <c r="AJ329" s="496">
        <f>IF(ISBLANK(Table2[[#This Row],[Instructor 2]]),0,1)</f>
        <v>0</v>
      </c>
      <c r="AK329" s="496">
        <f>Table2[[#This Row],[Course Length (Hours)]]/(Table2[[#This Row],[1 Instructor]]+Table2[[#This Row],[2 Instructors]])</f>
        <v>24</v>
      </c>
      <c r="AL329" s="318">
        <v>19</v>
      </c>
      <c r="AM329" s="496">
        <v>3</v>
      </c>
      <c r="AN329" s="496" t="str">
        <f>VLOOKUP(Table2[[#This Row],[Course Title]],'TSD-Data'!$A$1:$G$83,7,FALSE)</f>
        <v>N4</v>
      </c>
      <c r="AO329" s="500">
        <f>Table2[[#This Row],[Quotas]]-Table2[[#This Row],[Graduates]]-Table2[[#This Row],[Fail]]</f>
        <v>15</v>
      </c>
    </row>
    <row r="330" spans="2:41" s="202" customFormat="1" ht="15" customHeight="1" x14ac:dyDescent="0.25">
      <c r="B330" s="530"/>
      <c r="C330" s="530" t="s">
        <v>84</v>
      </c>
      <c r="D330" s="200" t="str">
        <f>VLOOKUP(Table2[[#This Row],[Course Title]],'TSD-Data'!$A$1:$E$83,2,FALSE)</f>
        <v>A-493-0083</v>
      </c>
      <c r="E330" s="200" t="str">
        <f>VLOOKUP(Table2[[#This Row],[Course Title]],'TSD-Data'!$A$1:$E$83,3,FALSE)</f>
        <v>339E</v>
      </c>
      <c r="F330" s="530" t="s">
        <v>467</v>
      </c>
      <c r="G330" s="531">
        <v>46122</v>
      </c>
      <c r="H330" s="531">
        <v>46122</v>
      </c>
      <c r="I330" s="129" t="s">
        <v>42</v>
      </c>
      <c r="J330" s="532">
        <v>0.33333333333333331</v>
      </c>
      <c r="K330" s="532"/>
      <c r="L330" s="531"/>
      <c r="M330" s="531"/>
      <c r="N330" s="531"/>
      <c r="O330" s="531"/>
      <c r="P330" s="531"/>
      <c r="Q330" s="535" t="s">
        <v>48</v>
      </c>
      <c r="R330" s="535"/>
      <c r="S330" s="535"/>
      <c r="T330" s="200">
        <f>VLOOKUP(Table2[[#This Row],[Course Title]],'TSD-Data'!$A$1:$E$83,4,FALSE)</f>
        <v>30</v>
      </c>
      <c r="U330" s="200">
        <f>VLOOKUP(Table2[[#This Row],[Course Title]],'TSD-Data'!$A$1:$F$83,6,FALSE)</f>
        <v>8</v>
      </c>
      <c r="V330" s="201">
        <f>VLOOKUP(Table2[[#This Row],[Course Title]],'TSD-Data'!$A$1:$F$83,5,FALSE)</f>
        <v>1</v>
      </c>
      <c r="W330" s="201">
        <v>35</v>
      </c>
      <c r="X330" s="200">
        <f>Table2[[#This Row],[Quotas]]-Table2[[#This Row],[Open Quotas]]</f>
        <v>10</v>
      </c>
      <c r="Y330" s="200">
        <v>0</v>
      </c>
      <c r="Z330" s="201">
        <v>14</v>
      </c>
      <c r="AA330" s="201">
        <v>0</v>
      </c>
      <c r="AB330" s="200">
        <v>2</v>
      </c>
      <c r="AC330" s="200">
        <v>6</v>
      </c>
      <c r="AD330" s="200">
        <v>0</v>
      </c>
      <c r="AE330" s="200" t="s">
        <v>428</v>
      </c>
      <c r="AF330" s="495">
        <f ca="1">Table2[[#This Row],[End Date]]+2-TODAY()</f>
        <v>-120</v>
      </c>
      <c r="AG330" s="496">
        <f>IF(ISBLANK(Table2[[#This Row],[Roster Received by]]),1,0)</f>
        <v>0</v>
      </c>
      <c r="AH330" s="496">
        <f ca="1">IF(Table2[[#This Row],[Start Date]]&gt;TODAY(),1,)</f>
        <v>0</v>
      </c>
      <c r="AI330" s="496">
        <f>IF(ISBLANK(Table2[[#This Row],[Primary Instructor]]),0,1)</f>
        <v>1</v>
      </c>
      <c r="AJ330" s="496">
        <f>IF(ISBLANK(Table2[[#This Row],[Instructor 2]]),0,1)</f>
        <v>0</v>
      </c>
      <c r="AK330" s="496">
        <f>Table2[[#This Row],[Course Length (Hours)]]/(Table2[[#This Row],[1 Instructor]]+Table2[[#This Row],[2 Instructors]])</f>
        <v>8</v>
      </c>
      <c r="AL330" s="318">
        <v>20</v>
      </c>
      <c r="AM330" s="496">
        <v>3</v>
      </c>
      <c r="AN330" s="496" t="str">
        <f>VLOOKUP(Table2[[#This Row],[Course Title]],'TSD-Data'!$A$1:$G$83,7,FALSE)</f>
        <v>N4</v>
      </c>
      <c r="AO330" s="500">
        <f>Table2[[#This Row],[Quotas]]-Table2[[#This Row],[Graduates]]-Table2[[#This Row],[Fail]]</f>
        <v>16</v>
      </c>
    </row>
    <row r="331" spans="2:41" s="202" customFormat="1" ht="15" customHeight="1" x14ac:dyDescent="0.25">
      <c r="B331" s="530"/>
      <c r="C331" s="530" t="s">
        <v>276</v>
      </c>
      <c r="D331" s="200" t="str">
        <f>VLOOKUP(Table2[[#This Row],[Course Title]],'TSD-Data'!$A$1:$E$83,2,FALSE)</f>
        <v>A-493-0103</v>
      </c>
      <c r="E331" s="200" t="str">
        <f>VLOOKUP(Table2[[#This Row],[Course Title]],'TSD-Data'!$A$1:$E$83,3,FALSE)</f>
        <v>12JY</v>
      </c>
      <c r="F331" s="530" t="s">
        <v>41</v>
      </c>
      <c r="G331" s="531">
        <v>46125</v>
      </c>
      <c r="H331" s="531">
        <v>46129</v>
      </c>
      <c r="I331" s="531" t="s">
        <v>42</v>
      </c>
      <c r="J331" s="532">
        <v>0.33333333333333331</v>
      </c>
      <c r="K331" s="532"/>
      <c r="L331" s="531"/>
      <c r="M331" s="531"/>
      <c r="N331" s="531"/>
      <c r="O331" s="531"/>
      <c r="P331" s="531"/>
      <c r="Q331" s="535" t="s">
        <v>280</v>
      </c>
      <c r="R331" s="535"/>
      <c r="S331" s="535"/>
      <c r="T331" s="200">
        <f>VLOOKUP(Table2[[#This Row],[Course Title]],'TSD-Data'!$A$1:$E$83,4,FALSE)</f>
        <v>25</v>
      </c>
      <c r="U331" s="200">
        <f>VLOOKUP(Table2[[#This Row],[Course Title]],'TSD-Data'!$A$1:$F$83,6,FALSE)</f>
        <v>40</v>
      </c>
      <c r="V331" s="201">
        <f>VLOOKUP(Table2[[#This Row],[Course Title]],'TSD-Data'!$A$1:$F$83,5,FALSE)</f>
        <v>5</v>
      </c>
      <c r="W331" s="201">
        <v>116</v>
      </c>
      <c r="X331" s="200">
        <f>Table2[[#This Row],[Quotas]]-Table2[[#This Row],[Open Quotas]]</f>
        <v>13</v>
      </c>
      <c r="Y331" s="200">
        <v>0</v>
      </c>
      <c r="Z331" s="201">
        <v>14</v>
      </c>
      <c r="AA331" s="201">
        <v>0</v>
      </c>
      <c r="AB331" s="200">
        <v>2</v>
      </c>
      <c r="AC331" s="200">
        <v>2</v>
      </c>
      <c r="AD331" s="200">
        <v>0</v>
      </c>
      <c r="AE331" s="200" t="s">
        <v>431</v>
      </c>
      <c r="AF331" s="495">
        <f ca="1">Table2[[#This Row],[End Date]]+2-TODAY()</f>
        <v>-113</v>
      </c>
      <c r="AG331" s="496">
        <f>IF(ISBLANK(Table2[[#This Row],[Roster Received by]]),1,0)</f>
        <v>0</v>
      </c>
      <c r="AH331" s="496">
        <f ca="1">IF(Table2[[#This Row],[Start Date]]&gt;TODAY(),1,)</f>
        <v>0</v>
      </c>
      <c r="AI331" s="496">
        <f>IF(ISBLANK(Table2[[#This Row],[Primary Instructor]]),0,1)</f>
        <v>1</v>
      </c>
      <c r="AJ331" s="496">
        <f>IF(ISBLANK(Table2[[#This Row],[Instructor 2]]),0,1)</f>
        <v>0</v>
      </c>
      <c r="AK331" s="496">
        <f>Table2[[#This Row],[Course Length (Hours)]]/(Table2[[#This Row],[1 Instructor]]+Table2[[#This Row],[2 Instructors]])</f>
        <v>40</v>
      </c>
      <c r="AL331" s="318">
        <v>12</v>
      </c>
      <c r="AM331" s="496">
        <v>3</v>
      </c>
      <c r="AN331" s="496" t="str">
        <f>VLOOKUP(Table2[[#This Row],[Course Title]],'TSD-Data'!$A$1:$G$83,7,FALSE)</f>
        <v>N5</v>
      </c>
      <c r="AO331" s="500">
        <f>Table2[[#This Row],[Quotas]]-Table2[[#This Row],[Graduates]]-Table2[[#This Row],[Fail]]</f>
        <v>11</v>
      </c>
    </row>
    <row r="332" spans="2:41" s="202" customFormat="1" ht="15" customHeight="1" x14ac:dyDescent="0.25">
      <c r="B332" s="530"/>
      <c r="C332" s="530" t="s">
        <v>276</v>
      </c>
      <c r="D332" s="200" t="str">
        <f>VLOOKUP(Table2[[#This Row],[Course Title]],'TSD-Data'!$A$1:$E$83,2,FALSE)</f>
        <v>A-493-0103</v>
      </c>
      <c r="E332" s="200" t="str">
        <f>VLOOKUP(Table2[[#This Row],[Course Title]],'TSD-Data'!$A$1:$E$83,3,FALSE)</f>
        <v>12JY</v>
      </c>
      <c r="F332" s="530" t="s">
        <v>81</v>
      </c>
      <c r="G332" s="531">
        <v>46125</v>
      </c>
      <c r="H332" s="531">
        <v>46129</v>
      </c>
      <c r="I332" s="531" t="s">
        <v>42</v>
      </c>
      <c r="J332" s="532">
        <v>0.33333333333333331</v>
      </c>
      <c r="K332" s="532"/>
      <c r="L332" s="537"/>
      <c r="M332" s="537"/>
      <c r="N332" s="537"/>
      <c r="O332" s="537"/>
      <c r="P332" s="537"/>
      <c r="Q332" s="535" t="s">
        <v>280</v>
      </c>
      <c r="R332" s="535"/>
      <c r="S332" s="535"/>
      <c r="T332" s="200">
        <f>VLOOKUP(Table2[[#This Row],[Course Title]],'TSD-Data'!$A$1:$E$83,4,FALSE)</f>
        <v>25</v>
      </c>
      <c r="U332" s="200">
        <f>VLOOKUP(Table2[[#This Row],[Course Title]],'TSD-Data'!$A$1:$F$83,6,FALSE)</f>
        <v>40</v>
      </c>
      <c r="V332" s="201">
        <f>VLOOKUP(Table2[[#This Row],[Course Title]],'TSD-Data'!$A$1:$F$83,5,FALSE)</f>
        <v>5</v>
      </c>
      <c r="W332" s="201">
        <v>84</v>
      </c>
      <c r="X332" s="200">
        <f>Table2[[#This Row],[Quotas]]-Table2[[#This Row],[Open Quotas]]</f>
        <v>20</v>
      </c>
      <c r="Y332" s="200">
        <v>0</v>
      </c>
      <c r="Z332" s="201">
        <v>21</v>
      </c>
      <c r="AA332" s="201">
        <v>0</v>
      </c>
      <c r="AB332" s="200">
        <v>1</v>
      </c>
      <c r="AC332" s="200">
        <v>2</v>
      </c>
      <c r="AD332" s="200">
        <v>0</v>
      </c>
      <c r="AE332" s="200" t="s">
        <v>431</v>
      </c>
      <c r="AF332" s="495">
        <f ca="1">Table2[[#This Row],[End Date]]+2-TODAY()</f>
        <v>-113</v>
      </c>
      <c r="AG332" s="496">
        <f>IF(ISBLANK(Table2[[#This Row],[Roster Received by]]),1,0)</f>
        <v>0</v>
      </c>
      <c r="AH332" s="496">
        <f ca="1">IF(Table2[[#This Row],[Start Date]]&gt;TODAY(),1,)</f>
        <v>0</v>
      </c>
      <c r="AI332" s="496">
        <f>IF(ISBLANK(Table2[[#This Row],[Primary Instructor]]),0,1)</f>
        <v>1</v>
      </c>
      <c r="AJ332" s="496">
        <f>IF(ISBLANK(Table2[[#This Row],[Instructor 2]]),0,1)</f>
        <v>0</v>
      </c>
      <c r="AK332" s="496">
        <f>Table2[[#This Row],[Course Length (Hours)]]/(Table2[[#This Row],[1 Instructor]]+Table2[[#This Row],[2 Instructors]])</f>
        <v>40</v>
      </c>
      <c r="AL332" s="318">
        <v>5</v>
      </c>
      <c r="AM332" s="496">
        <v>3</v>
      </c>
      <c r="AN332" s="496" t="str">
        <f>VLOOKUP(Table2[[#This Row],[Course Title]],'TSD-Data'!$A$1:$G$83,7,FALSE)</f>
        <v>N5</v>
      </c>
      <c r="AO332" s="500">
        <f>Table2[[#This Row],[Quotas]]-Table2[[#This Row],[Graduates]]-Table2[[#This Row],[Fail]]</f>
        <v>4</v>
      </c>
    </row>
    <row r="333" spans="2:41" s="202" customFormat="1" ht="15" customHeight="1" x14ac:dyDescent="0.25">
      <c r="B333" s="530"/>
      <c r="C333" s="530" t="s">
        <v>157</v>
      </c>
      <c r="D333" s="200" t="str">
        <f>VLOOKUP(Table2[[#This Row],[Course Title]],'TSD-Data'!$A$1:$E$83,2,FALSE)</f>
        <v>A-493-0021</v>
      </c>
      <c r="E333" s="200" t="str">
        <f>VLOOKUP(Table2[[#This Row],[Course Title]],'TSD-Data'!$A$1:$E$83,3,FALSE)</f>
        <v>18BN</v>
      </c>
      <c r="F333" s="530" t="s">
        <v>130</v>
      </c>
      <c r="G333" s="531">
        <v>46125</v>
      </c>
      <c r="H333" s="531">
        <v>46129</v>
      </c>
      <c r="I333" s="531" t="s">
        <v>42</v>
      </c>
      <c r="J333" s="532">
        <v>0.33333333333333331</v>
      </c>
      <c r="K333" s="532"/>
      <c r="L333" s="531"/>
      <c r="M333" s="531"/>
      <c r="N333" s="531"/>
      <c r="O333" s="531"/>
      <c r="P333" s="531"/>
      <c r="Q333" s="535" t="s">
        <v>280</v>
      </c>
      <c r="R333" s="535"/>
      <c r="S333" s="535"/>
      <c r="T333" s="200">
        <f>VLOOKUP(Table2[[#This Row],[Course Title]],'TSD-Data'!$A$1:$E$83,4,FALSE)</f>
        <v>35</v>
      </c>
      <c r="U333" s="200">
        <f>VLOOKUP(Table2[[#This Row],[Course Title]],'TSD-Data'!$A$1:$F$83,6,FALSE)</f>
        <v>30</v>
      </c>
      <c r="V333" s="201">
        <f>VLOOKUP(Table2[[#This Row],[Course Title]],'TSD-Data'!$A$1:$F$83,5,FALSE)</f>
        <v>5</v>
      </c>
      <c r="W333" s="201">
        <v>33</v>
      </c>
      <c r="X333" s="200">
        <f>Table2[[#This Row],[Quotas]]-Table2[[#This Row],[Open Quotas]]</f>
        <v>18</v>
      </c>
      <c r="Y333" s="200">
        <v>0</v>
      </c>
      <c r="Z333" s="201">
        <v>17</v>
      </c>
      <c r="AA333" s="201">
        <v>0</v>
      </c>
      <c r="AB333" s="200">
        <v>1</v>
      </c>
      <c r="AC333" s="200">
        <v>0</v>
      </c>
      <c r="AD333" s="200">
        <v>0</v>
      </c>
      <c r="AE333" s="200" t="s">
        <v>431</v>
      </c>
      <c r="AF333" s="495">
        <f ca="1">Table2[[#This Row],[End Date]]+2-TODAY()</f>
        <v>-113</v>
      </c>
      <c r="AG333" s="496">
        <f>IF(ISBLANK(Table2[[#This Row],[Roster Received by]]),1,0)</f>
        <v>0</v>
      </c>
      <c r="AH333" s="496">
        <f ca="1">IF(Table2[[#This Row],[Start Date]]&gt;TODAY(),1,)</f>
        <v>0</v>
      </c>
      <c r="AI333" s="496">
        <f>IF(ISBLANK(Table2[[#This Row],[Primary Instructor]]),0,1)</f>
        <v>1</v>
      </c>
      <c r="AJ333" s="496">
        <f>IF(ISBLANK(Table2[[#This Row],[Instructor 2]]),0,1)</f>
        <v>0</v>
      </c>
      <c r="AK333" s="496">
        <f>Table2[[#This Row],[Course Length (Hours)]]/(Table2[[#This Row],[1 Instructor]]+Table2[[#This Row],[2 Instructors]])</f>
        <v>30</v>
      </c>
      <c r="AL333" s="318">
        <v>17</v>
      </c>
      <c r="AM333" s="496">
        <v>3</v>
      </c>
      <c r="AN333" s="496" t="str">
        <f>VLOOKUP(Table2[[#This Row],[Course Title]],'TSD-Data'!$A$1:$G$83,7,FALSE)</f>
        <v>N5</v>
      </c>
      <c r="AO333" s="500">
        <f>Table2[[#This Row],[Quotas]]-Table2[[#This Row],[Graduates]]-Table2[[#This Row],[Fail]]</f>
        <v>18</v>
      </c>
    </row>
    <row r="334" spans="2:41" s="202" customFormat="1" ht="15" customHeight="1" x14ac:dyDescent="0.25">
      <c r="B334" s="530"/>
      <c r="C334" s="530" t="s">
        <v>70</v>
      </c>
      <c r="D334" s="200" t="str">
        <f>VLOOKUP(Table2[[#This Row],[Course Title]],'TSD-Data'!$A$1:$E$83,2,FALSE)</f>
        <v>A-493-0077</v>
      </c>
      <c r="E334" s="200" t="str">
        <f>VLOOKUP(Table2[[#This Row],[Course Title]],'TSD-Data'!$A$1:$E$83,3,FALSE)</f>
        <v>0381</v>
      </c>
      <c r="F334" s="530" t="s">
        <v>183</v>
      </c>
      <c r="G334" s="531">
        <v>46125</v>
      </c>
      <c r="H334" s="531">
        <v>46127</v>
      </c>
      <c r="I334" s="129" t="s">
        <v>42</v>
      </c>
      <c r="J334" s="532">
        <v>0.33333333333333331</v>
      </c>
      <c r="K334" s="532"/>
      <c r="L334" s="531"/>
      <c r="M334" s="531"/>
      <c r="N334" s="531"/>
      <c r="O334" s="531"/>
      <c r="P334" s="531"/>
      <c r="Q334" s="535" t="s">
        <v>48</v>
      </c>
      <c r="R334" s="535"/>
      <c r="S334" s="535"/>
      <c r="T334" s="200">
        <f>VLOOKUP(Table2[[#This Row],[Course Title]],'TSD-Data'!$A$1:$E$83,4,FALSE)</f>
        <v>25</v>
      </c>
      <c r="U334" s="200">
        <f>VLOOKUP(Table2[[#This Row],[Course Title]],'TSD-Data'!$A$1:$F$83,6,FALSE)</f>
        <v>24</v>
      </c>
      <c r="V334" s="201">
        <f>VLOOKUP(Table2[[#This Row],[Course Title]],'TSD-Data'!$A$1:$F$83,5,FALSE)</f>
        <v>3</v>
      </c>
      <c r="W334" s="201">
        <v>32</v>
      </c>
      <c r="X334" s="200">
        <f>Table2[[#This Row],[Quotas]]-Table2[[#This Row],[Open Quotas]]</f>
        <v>19</v>
      </c>
      <c r="Y334" s="200">
        <v>0</v>
      </c>
      <c r="Z334" s="201">
        <v>18</v>
      </c>
      <c r="AA334" s="201">
        <v>0</v>
      </c>
      <c r="AB334" s="200">
        <v>5</v>
      </c>
      <c r="AC334" s="200">
        <v>4</v>
      </c>
      <c r="AD334" s="200">
        <v>0</v>
      </c>
      <c r="AE334" s="200" t="s">
        <v>428</v>
      </c>
      <c r="AF334" s="495">
        <f ca="1">Table2[[#This Row],[End Date]]+2-TODAY()</f>
        <v>-115</v>
      </c>
      <c r="AG334" s="496">
        <f>IF(ISBLANK(Table2[[#This Row],[Roster Received by]]),1,0)</f>
        <v>0</v>
      </c>
      <c r="AH334" s="496">
        <f ca="1">IF(Table2[[#This Row],[Start Date]]&gt;TODAY(),1,)</f>
        <v>0</v>
      </c>
      <c r="AI334" s="496">
        <f>IF(ISBLANK(Table2[[#This Row],[Primary Instructor]]),0,1)</f>
        <v>1</v>
      </c>
      <c r="AJ334" s="496">
        <f>IF(ISBLANK(Table2[[#This Row],[Instructor 2]]),0,1)</f>
        <v>0</v>
      </c>
      <c r="AK334" s="496">
        <f>Table2[[#This Row],[Course Length (Hours)]]/(Table2[[#This Row],[1 Instructor]]+Table2[[#This Row],[2 Instructors]])</f>
        <v>24</v>
      </c>
      <c r="AL334" s="318">
        <v>6</v>
      </c>
      <c r="AM334" s="496">
        <v>3</v>
      </c>
      <c r="AN334" s="496" t="str">
        <f>VLOOKUP(Table2[[#This Row],[Course Title]],'TSD-Data'!$A$1:$G$83,7,FALSE)</f>
        <v>N4</v>
      </c>
      <c r="AO334" s="500">
        <f>Table2[[#This Row],[Quotas]]-Table2[[#This Row],[Graduates]]-Table2[[#This Row],[Fail]]</f>
        <v>7</v>
      </c>
    </row>
    <row r="335" spans="2:41" ht="15" customHeight="1" x14ac:dyDescent="0.25">
      <c r="B335" s="530"/>
      <c r="C335" s="530" t="s">
        <v>70</v>
      </c>
      <c r="D335" s="200" t="str">
        <f>VLOOKUP(Table2[[#This Row],[Course Title]],'TSD-Data'!$A$1:$E$83,2,FALSE)</f>
        <v>A-493-0077</v>
      </c>
      <c r="E335" s="200" t="str">
        <f>VLOOKUP(Table2[[#This Row],[Course Title]],'TSD-Data'!$A$1:$E$83,3,FALSE)</f>
        <v>0381</v>
      </c>
      <c r="F335" s="530" t="s">
        <v>133</v>
      </c>
      <c r="G335" s="531">
        <v>46125</v>
      </c>
      <c r="H335" s="531">
        <v>46127</v>
      </c>
      <c r="I335" s="129" t="s">
        <v>42</v>
      </c>
      <c r="J335" s="532">
        <v>0.33333333333333331</v>
      </c>
      <c r="K335" s="532"/>
      <c r="L335" s="531"/>
      <c r="M335" s="531"/>
      <c r="N335" s="531"/>
      <c r="O335" s="531"/>
      <c r="P335" s="531"/>
      <c r="Q335" s="535" t="s">
        <v>48</v>
      </c>
      <c r="R335" s="535"/>
      <c r="S335" s="535"/>
      <c r="T335" s="200">
        <f>VLOOKUP(Table2[[#This Row],[Course Title]],'TSD-Data'!$A$1:$E$83,4,FALSE)</f>
        <v>25</v>
      </c>
      <c r="U335" s="200">
        <f>VLOOKUP(Table2[[#This Row],[Course Title]],'TSD-Data'!$A$1:$F$83,6,FALSE)</f>
        <v>24</v>
      </c>
      <c r="V335" s="201">
        <f>VLOOKUP(Table2[[#This Row],[Course Title]],'TSD-Data'!$A$1:$F$83,5,FALSE)</f>
        <v>3</v>
      </c>
      <c r="W335" s="201">
        <v>32</v>
      </c>
      <c r="X335" s="200">
        <f>Table2[[#This Row],[Quotas]]-Table2[[#This Row],[Open Quotas]]</f>
        <v>15</v>
      </c>
      <c r="Y335" s="200">
        <v>0</v>
      </c>
      <c r="Z335" s="201">
        <v>13</v>
      </c>
      <c r="AA335" s="201">
        <v>0</v>
      </c>
      <c r="AB335" s="200">
        <v>3</v>
      </c>
      <c r="AC335" s="200">
        <v>2</v>
      </c>
      <c r="AD335" s="200">
        <v>0</v>
      </c>
      <c r="AE335" s="200" t="s">
        <v>428</v>
      </c>
      <c r="AF335" s="495">
        <f ca="1">Table2[[#This Row],[End Date]]+2-TODAY()</f>
        <v>-115</v>
      </c>
      <c r="AG335" s="496">
        <f>IF(ISBLANK(Table2[[#This Row],[Roster Received by]]),1,0)</f>
        <v>0</v>
      </c>
      <c r="AH335" s="496">
        <f ca="1">IF(Table2[[#This Row],[Start Date]]&gt;TODAY(),1,)</f>
        <v>0</v>
      </c>
      <c r="AI335" s="496">
        <f>IF(ISBLANK(Table2[[#This Row],[Primary Instructor]]),0,1)</f>
        <v>1</v>
      </c>
      <c r="AJ335" s="496">
        <f>IF(ISBLANK(Table2[[#This Row],[Instructor 2]]),0,1)</f>
        <v>0</v>
      </c>
      <c r="AK335" s="496">
        <f>Table2[[#This Row],[Course Length (Hours)]]/(Table2[[#This Row],[1 Instructor]]+Table2[[#This Row],[2 Instructors]])</f>
        <v>24</v>
      </c>
      <c r="AL335" s="318">
        <v>10</v>
      </c>
      <c r="AM335" s="496">
        <v>3</v>
      </c>
      <c r="AN335" s="496" t="str">
        <f>VLOOKUP(Table2[[#This Row],[Course Title]],'TSD-Data'!$A$1:$G$83,7,FALSE)</f>
        <v>N4</v>
      </c>
      <c r="AO335" s="500">
        <f>Table2[[#This Row],[Quotas]]-Table2[[#This Row],[Graduates]]-Table2[[#This Row],[Fail]]</f>
        <v>12</v>
      </c>
    </row>
    <row r="336" spans="2:41" s="202" customFormat="1" ht="15" customHeight="1" x14ac:dyDescent="0.25">
      <c r="B336" s="530" t="s">
        <v>468</v>
      </c>
      <c r="C336" s="542" t="s">
        <v>205</v>
      </c>
      <c r="D336" s="200" t="str">
        <f>VLOOKUP(Table2[[#This Row],[Course Title]],'TSD-Data'!$A$1:$E$83,2,FALSE)</f>
        <v>Function</v>
      </c>
      <c r="E336" s="200" t="str">
        <f>VLOOKUP(Table2[[#This Row],[Course Title]],'TSD-Data'!$A$1:$E$83,3,FALSE)</f>
        <v>Function</v>
      </c>
      <c r="F336" s="530" t="s">
        <v>61</v>
      </c>
      <c r="G336" s="531">
        <v>46125</v>
      </c>
      <c r="H336" s="531">
        <v>46125</v>
      </c>
      <c r="I336" s="531" t="s">
        <v>434</v>
      </c>
      <c r="J336" s="532"/>
      <c r="K336" s="532"/>
      <c r="L336" s="532"/>
      <c r="M336" s="532"/>
      <c r="N336" s="532"/>
      <c r="O336" s="532"/>
      <c r="P336" s="532"/>
      <c r="Q336" s="535" t="s">
        <v>435</v>
      </c>
      <c r="R336" s="535"/>
      <c r="S336" s="542"/>
      <c r="T336" s="200">
        <f>VLOOKUP(Table2[[#This Row],[Course Title]],'TSD-Data'!$A$1:$E$83,4,FALSE)</f>
        <v>0</v>
      </c>
      <c r="U336" s="200">
        <f>VLOOKUP(Table2[[#This Row],[Course Title]],'TSD-Data'!$A$1:$F$83,6,FALSE)</f>
        <v>0</v>
      </c>
      <c r="V336" s="201">
        <f>VLOOKUP(Table2[[#This Row],[Course Title]],'TSD-Data'!$A$1:$F$83,5,FALSE)</f>
        <v>0</v>
      </c>
      <c r="W336" s="201">
        <v>0</v>
      </c>
      <c r="X336" s="200">
        <f>Table2[[#This Row],[Quotas]]-Table2[[#This Row],[Open Quotas]]</f>
        <v>0</v>
      </c>
      <c r="Y336" s="200">
        <v>0</v>
      </c>
      <c r="Z336" s="200">
        <v>0</v>
      </c>
      <c r="AA336" s="200">
        <v>0</v>
      </c>
      <c r="AB336" s="200">
        <v>0</v>
      </c>
      <c r="AC336" s="200">
        <v>0</v>
      </c>
      <c r="AD336" s="200">
        <v>0</v>
      </c>
      <c r="AE336" s="541" t="s">
        <v>436</v>
      </c>
      <c r="AF336" s="495">
        <f ca="1">Table2[[#This Row],[End Date]]+2-TODAY()</f>
        <v>-117</v>
      </c>
      <c r="AG336" s="496">
        <f>IF(ISBLANK(Table2[[#This Row],[Roster Received by]]),1,0)</f>
        <v>0</v>
      </c>
      <c r="AH336" s="496">
        <f ca="1">IF(Table2[[#This Row],[Start Date]]&gt;TODAY(),1,)</f>
        <v>0</v>
      </c>
      <c r="AI336" s="496">
        <f>IF(ISBLANK(Table2[[#This Row],[Primary Instructor]]),0,1)</f>
        <v>1</v>
      </c>
      <c r="AJ336" s="496">
        <f>IF(ISBLANK(Table2[[#This Row],[Instructor 2]]),0,1)</f>
        <v>0</v>
      </c>
      <c r="AK336" s="496">
        <f>Table2[[#This Row],[Course Length (Hours)]]/(Table2[[#This Row],[1 Instructor]]+Table2[[#This Row],[2 Instructors]])</f>
        <v>0</v>
      </c>
      <c r="AL336" s="318"/>
      <c r="AM336" s="496">
        <v>3</v>
      </c>
      <c r="AN336" s="496" t="str">
        <f>VLOOKUP(Table2[[#This Row],[Course Title]],'TSD-Data'!$A$1:$G$83,7,FALSE)</f>
        <v>TSD</v>
      </c>
      <c r="AO336" s="500">
        <f>Table2[[#This Row],[Quotas]]-Table2[[#This Row],[Graduates]]-Table2[[#This Row],[Fail]]</f>
        <v>0</v>
      </c>
    </row>
    <row r="337" spans="2:41" s="202" customFormat="1" ht="15" customHeight="1" x14ac:dyDescent="0.25">
      <c r="B337" s="530" t="s">
        <v>232</v>
      </c>
      <c r="C337" s="530" t="s">
        <v>233</v>
      </c>
      <c r="D337" s="200" t="str">
        <f>VLOOKUP(Table2[[#This Row],[Course Title]],'TSD-Data'!$A$1:$E$83,2,FALSE)</f>
        <v>PDS</v>
      </c>
      <c r="E337" s="200" t="str">
        <f>VLOOKUP(Table2[[#This Row],[Course Title]],'TSD-Data'!$A$1:$E$83,3,FALSE)</f>
        <v>PDS</v>
      </c>
      <c r="F337" s="530"/>
      <c r="G337" s="531">
        <v>46125</v>
      </c>
      <c r="H337" s="531">
        <v>46129</v>
      </c>
      <c r="I337" s="531" t="s">
        <v>42</v>
      </c>
      <c r="J337" s="532"/>
      <c r="K337" s="532"/>
      <c r="L337" s="531"/>
      <c r="M337" s="531"/>
      <c r="N337" s="531"/>
      <c r="O337" s="531"/>
      <c r="P337" s="531"/>
      <c r="Q337" s="535" t="s">
        <v>435</v>
      </c>
      <c r="R337" s="535"/>
      <c r="S337" s="535"/>
      <c r="T337" s="200">
        <f>VLOOKUP(Table2[[#This Row],[Course Title]],'TSD-Data'!$A$1:$E$83,4,FALSE)</f>
        <v>0</v>
      </c>
      <c r="U337" s="200">
        <f>VLOOKUP(Table2[[#This Row],[Course Title]],'TSD-Data'!$A$1:$F$83,6,FALSE)</f>
        <v>0</v>
      </c>
      <c r="V337" s="201">
        <f>VLOOKUP(Table2[[#This Row],[Course Title]],'TSD-Data'!$A$1:$F$83,5,FALSE)</f>
        <v>0</v>
      </c>
      <c r="W337" s="201">
        <v>0</v>
      </c>
      <c r="X337" s="200">
        <f>Table2[[#This Row],[Quotas]]-Table2[[#This Row],[Open Quotas]]</f>
        <v>0</v>
      </c>
      <c r="Y337" s="200">
        <v>0</v>
      </c>
      <c r="Z337" s="200">
        <v>0</v>
      </c>
      <c r="AA337" s="200">
        <v>0</v>
      </c>
      <c r="AB337" s="200">
        <v>0</v>
      </c>
      <c r="AC337" s="200">
        <v>0</v>
      </c>
      <c r="AD337" s="200">
        <v>0</v>
      </c>
      <c r="AE337" s="541" t="s">
        <v>436</v>
      </c>
      <c r="AF337" s="495">
        <f ca="1">Table2[[#This Row],[End Date]]+2-TODAY()</f>
        <v>-113</v>
      </c>
      <c r="AG337" s="496">
        <f>IF(ISBLANK(Table2[[#This Row],[Roster Received by]]),1,0)</f>
        <v>0</v>
      </c>
      <c r="AH337" s="496">
        <f ca="1">IF(Table2[[#This Row],[Start Date]]&gt;TODAY(),1,)</f>
        <v>0</v>
      </c>
      <c r="AI337" s="496">
        <f>IF(ISBLANK(Table2[[#This Row],[Primary Instructor]]),0,1)</f>
        <v>1</v>
      </c>
      <c r="AJ337" s="496">
        <f>IF(ISBLANK(Table2[[#This Row],[Instructor 2]]),0,1)</f>
        <v>0</v>
      </c>
      <c r="AK337" s="496">
        <f>Table2[[#This Row],[Course Length (Hours)]]/(Table2[[#This Row],[1 Instructor]]+Table2[[#This Row],[2 Instructors]])</f>
        <v>0</v>
      </c>
      <c r="AL337" s="318"/>
      <c r="AM337" s="496">
        <v>3</v>
      </c>
      <c r="AN337" s="496" t="str">
        <f>VLOOKUP(Table2[[#This Row],[Course Title]],'TSD-Data'!$A$1:$G$83,7,FALSE)</f>
        <v>TSD</v>
      </c>
      <c r="AO337" s="500">
        <f>Table2[[#This Row],[Quotas]]-Table2[[#This Row],[Graduates]]-Table2[[#This Row],[Fail]]</f>
        <v>0</v>
      </c>
    </row>
    <row r="338" spans="2:41" s="202" customFormat="1" ht="15" customHeight="1" x14ac:dyDescent="0.25">
      <c r="B338" s="530"/>
      <c r="C338" s="530" t="s">
        <v>401</v>
      </c>
      <c r="D338" s="200" t="str">
        <f>VLOOKUP(Table2[[#This Row],[Course Title]],'TSD-Data'!$A$1:$E$83,2,FALSE)</f>
        <v>A-493-3002</v>
      </c>
      <c r="E338" s="200" t="str">
        <f>VLOOKUP(Table2[[#This Row],[Course Title]],'TSD-Data'!$A$1:$E$83,3,FALSE)</f>
        <v>31V4</v>
      </c>
      <c r="F338" s="530" t="s">
        <v>54</v>
      </c>
      <c r="G338" s="531">
        <v>46125</v>
      </c>
      <c r="H338" s="531">
        <v>46125</v>
      </c>
      <c r="I338" s="531" t="s">
        <v>42</v>
      </c>
      <c r="J338" s="532"/>
      <c r="K338" s="532">
        <v>0.33333333333333331</v>
      </c>
      <c r="L338" s="532">
        <v>0.20833333333333334</v>
      </c>
      <c r="M338" s="532">
        <v>0.625</v>
      </c>
      <c r="N338" s="532">
        <v>0.58333333333333337</v>
      </c>
      <c r="O338" s="532">
        <v>0.125</v>
      </c>
      <c r="P338" s="532">
        <v>0.875</v>
      </c>
      <c r="Q338" s="535" t="s">
        <v>445</v>
      </c>
      <c r="R338" s="535"/>
      <c r="S338" s="535"/>
      <c r="T338" s="200">
        <f>VLOOKUP(Table2[[#This Row],[Course Title]],'TSD-Data'!$A$1:$E$83,4,FALSE)</f>
        <v>1000</v>
      </c>
      <c r="U338" s="200">
        <f>VLOOKUP(Table2[[#This Row],[Course Title]],'TSD-Data'!$A$1:$F$83,6,FALSE)</f>
        <v>8</v>
      </c>
      <c r="V338" s="201">
        <f>VLOOKUP(Table2[[#This Row],[Course Title]],'TSD-Data'!$A$1:$F$83,5,FALSE)</f>
        <v>1</v>
      </c>
      <c r="W338" s="201"/>
      <c r="X338" s="200">
        <f>Table2[[#This Row],[Quotas]]-Table2[[#This Row],[Open Quotas]]</f>
        <v>54</v>
      </c>
      <c r="Y338" s="200">
        <v>0</v>
      </c>
      <c r="Z338" s="201">
        <v>18</v>
      </c>
      <c r="AA338" s="201">
        <v>0</v>
      </c>
      <c r="AB338" s="200">
        <v>0</v>
      </c>
      <c r="AC338" s="200">
        <v>0</v>
      </c>
      <c r="AD338" s="200">
        <v>0</v>
      </c>
      <c r="AE338" s="200" t="s">
        <v>442</v>
      </c>
      <c r="AF338" s="495">
        <f ca="1">Table2[[#This Row],[End Date]]+2-TODAY()</f>
        <v>-117</v>
      </c>
      <c r="AG338" s="496">
        <f>IF(ISBLANK(Table2[[#This Row],[Roster Received by]]),1,0)</f>
        <v>0</v>
      </c>
      <c r="AH338" s="496">
        <f ca="1">IF(Table2[[#This Row],[Start Date]]&gt;TODAY(),1,)</f>
        <v>0</v>
      </c>
      <c r="AI338" s="496">
        <f>IF(ISBLANK(Table2[[#This Row],[Primary Instructor]]),0,1)</f>
        <v>1</v>
      </c>
      <c r="AJ338" s="496">
        <f>IF(ISBLANK(Table2[[#This Row],[Instructor 2]]),0,1)</f>
        <v>0</v>
      </c>
      <c r="AK338" s="496">
        <f>AJ672</f>
        <v>0</v>
      </c>
      <c r="AL338" s="318">
        <v>946</v>
      </c>
      <c r="AM338" s="501">
        <v>3</v>
      </c>
      <c r="AN338" s="496" t="str">
        <f>VLOOKUP(Table2[[#This Row],[Course Title]],'TSD-Data'!$A$1:$G$83,7,FALSE)</f>
        <v>N8-RMI</v>
      </c>
      <c r="AO338" s="500">
        <f>Table2[[#This Row],[Quotas]]-Table2[[#This Row],[Graduates]]-Table2[[#This Row],[Fail]]</f>
        <v>982</v>
      </c>
    </row>
    <row r="339" spans="2:41" s="202" customFormat="1" ht="15" customHeight="1" x14ac:dyDescent="0.25">
      <c r="B339" s="530"/>
      <c r="C339" s="530" t="s">
        <v>407</v>
      </c>
      <c r="D339" s="200" t="str">
        <f>VLOOKUP(Table2[[#This Row],[Course Title]],'TSD-Data'!$A$1:$E$83,2,FALSE)</f>
        <v>A-493-3003</v>
      </c>
      <c r="E339" s="200" t="str">
        <f>VLOOKUP(Table2[[#This Row],[Course Title]],'TSD-Data'!$A$1:$E$83,3,FALSE)</f>
        <v>31V5</v>
      </c>
      <c r="F339" s="530" t="s">
        <v>54</v>
      </c>
      <c r="G339" s="531">
        <v>46125</v>
      </c>
      <c r="H339" s="531">
        <v>46125</v>
      </c>
      <c r="I339" s="531" t="s">
        <v>42</v>
      </c>
      <c r="J339" s="532"/>
      <c r="K339" s="558">
        <v>0.58333333333333337</v>
      </c>
      <c r="L339" s="532">
        <v>0.41666666666666669</v>
      </c>
      <c r="M339" s="532">
        <v>0.83333333333333337</v>
      </c>
      <c r="N339" s="532">
        <v>0.79166666666666663</v>
      </c>
      <c r="O339" s="532">
        <v>0.33333333333333331</v>
      </c>
      <c r="P339" s="532">
        <v>8.3333333333333329E-2</v>
      </c>
      <c r="Q339" s="535" t="s">
        <v>445</v>
      </c>
      <c r="R339" s="535"/>
      <c r="S339" s="535"/>
      <c r="T339" s="200">
        <f>VLOOKUP(Table2[[#This Row],[Course Title]],'TSD-Data'!$A$1:$E$83,4,FALSE)</f>
        <v>1000</v>
      </c>
      <c r="U339" s="200">
        <f>VLOOKUP(Table2[[#This Row],[Course Title]],'TSD-Data'!$A$1:$F$83,6,FALSE)</f>
        <v>2</v>
      </c>
      <c r="V339" s="201">
        <f>VLOOKUP(Table2[[#This Row],[Course Title]],'TSD-Data'!$A$1:$F$83,5,FALSE)</f>
        <v>0.25</v>
      </c>
      <c r="W339" s="201"/>
      <c r="X339" s="200">
        <f>Table2[[#This Row],[Quotas]]-Table2[[#This Row],[Open Quotas]]</f>
        <v>54</v>
      </c>
      <c r="Y339" s="200">
        <v>0</v>
      </c>
      <c r="Z339" s="201">
        <v>13</v>
      </c>
      <c r="AA339" s="201">
        <v>0</v>
      </c>
      <c r="AB339" s="200">
        <v>0</v>
      </c>
      <c r="AC339" s="200">
        <v>0</v>
      </c>
      <c r="AD339" s="200">
        <v>0</v>
      </c>
      <c r="AE339" s="200" t="s">
        <v>442</v>
      </c>
      <c r="AF339" s="495">
        <f ca="1">Table2[[#This Row],[End Date]]+2-TODAY()</f>
        <v>-117</v>
      </c>
      <c r="AG339" s="496">
        <f>IF(ISBLANK(Table2[[#This Row],[Roster Received by]]),1,0)</f>
        <v>0</v>
      </c>
      <c r="AH339" s="496">
        <f ca="1">IF(Table2[[#This Row],[Start Date]]&gt;TODAY(),1,)</f>
        <v>0</v>
      </c>
      <c r="AI339" s="496">
        <f>IF(ISBLANK(Table2[[#This Row],[Primary Instructor]]),0,1)</f>
        <v>1</v>
      </c>
      <c r="AJ339" s="496">
        <f>IF(ISBLANK(Table2[[#This Row],[Instructor 2]]),0,1)</f>
        <v>0</v>
      </c>
      <c r="AK339" s="496">
        <f>AJ673</f>
        <v>0</v>
      </c>
      <c r="AL339" s="318">
        <v>946</v>
      </c>
      <c r="AM339" s="501">
        <v>3</v>
      </c>
      <c r="AN339" s="496" t="str">
        <f>VLOOKUP(Table2[[#This Row],[Course Title]],'TSD-Data'!$A$1:$G$83,7,FALSE)</f>
        <v>N8-RMI</v>
      </c>
      <c r="AO339" s="500">
        <f>Table2[[#This Row],[Quotas]]-Table2[[#This Row],[Graduates]]-Table2[[#This Row],[Fail]]</f>
        <v>987</v>
      </c>
    </row>
    <row r="340" spans="2:41" ht="15" customHeight="1" x14ac:dyDescent="0.25">
      <c r="B340" s="530"/>
      <c r="C340" s="530" t="s">
        <v>410</v>
      </c>
      <c r="D340" s="200" t="str">
        <f>VLOOKUP(Table2[[#This Row],[Course Title]],'TSD-Data'!$A$1:$E$83,2,FALSE)</f>
        <v>A-493-3006</v>
      </c>
      <c r="E340" s="200" t="str">
        <f>VLOOKUP(Table2[[#This Row],[Course Title]],'TSD-Data'!$A$1:$E$83,3,FALSE)</f>
        <v>31V8</v>
      </c>
      <c r="F340" s="530" t="s">
        <v>54</v>
      </c>
      <c r="G340" s="531">
        <v>46125</v>
      </c>
      <c r="H340" s="531">
        <v>46125</v>
      </c>
      <c r="I340" s="531" t="s">
        <v>42</v>
      </c>
      <c r="J340" s="532"/>
      <c r="K340" s="558">
        <v>0.54166666666666663</v>
      </c>
      <c r="L340" s="532">
        <v>0.45833333333333331</v>
      </c>
      <c r="M340" s="532">
        <v>0.875</v>
      </c>
      <c r="N340" s="532">
        <v>0.83333333333333337</v>
      </c>
      <c r="O340" s="532">
        <v>0.375</v>
      </c>
      <c r="P340" s="532">
        <v>0.125</v>
      </c>
      <c r="Q340" s="535" t="s">
        <v>445</v>
      </c>
      <c r="R340" s="535"/>
      <c r="S340" s="535"/>
      <c r="T340" s="200">
        <f>VLOOKUP(Table2[[#This Row],[Course Title]],'TSD-Data'!$A$1:$E$83,4,FALSE)</f>
        <v>1000</v>
      </c>
      <c r="U340" s="200">
        <f>VLOOKUP(Table2[[#This Row],[Course Title]],'TSD-Data'!$A$1:$F$83,6,FALSE)</f>
        <v>2</v>
      </c>
      <c r="V340" s="201">
        <f>VLOOKUP(Table2[[#This Row],[Course Title]],'TSD-Data'!$A$1:$F$83,5,FALSE)</f>
        <v>0.1</v>
      </c>
      <c r="W340" s="201"/>
      <c r="X340" s="200">
        <f>Table2[[#This Row],[Quotas]]-Table2[[#This Row],[Open Quotas]]</f>
        <v>54</v>
      </c>
      <c r="Y340" s="200">
        <v>0</v>
      </c>
      <c r="Z340" s="201">
        <v>21</v>
      </c>
      <c r="AA340" s="201">
        <v>0</v>
      </c>
      <c r="AB340" s="200">
        <v>0</v>
      </c>
      <c r="AC340" s="200">
        <v>0</v>
      </c>
      <c r="AD340" s="200">
        <v>0</v>
      </c>
      <c r="AE340" s="200" t="s">
        <v>442</v>
      </c>
      <c r="AF340" s="495">
        <f ca="1">Table2[[#This Row],[End Date]]+2-TODAY()</f>
        <v>-117</v>
      </c>
      <c r="AG340" s="496">
        <f>IF(ISBLANK(Table2[[#This Row],[Roster Received by]]),1,0)</f>
        <v>0</v>
      </c>
      <c r="AH340" s="496">
        <f ca="1">IF(Table2[[#This Row],[Start Date]]&gt;TODAY(),1,)</f>
        <v>0</v>
      </c>
      <c r="AI340" s="496">
        <f>IF(ISBLANK(Table2[[#This Row],[Primary Instructor]]),0,1)</f>
        <v>1</v>
      </c>
      <c r="AJ340" s="496">
        <f>IF(ISBLANK(Table2[[#This Row],[Instructor 2]]),0,1)</f>
        <v>0</v>
      </c>
      <c r="AK340" s="496">
        <f>AJ693</f>
        <v>0</v>
      </c>
      <c r="AL340" s="318">
        <v>946</v>
      </c>
      <c r="AM340" s="501">
        <v>3</v>
      </c>
      <c r="AN340" s="496" t="str">
        <f>VLOOKUP(Table2[[#This Row],[Course Title]],'TSD-Data'!$A$1:$G$83,7,FALSE)</f>
        <v>N8-RMI</v>
      </c>
      <c r="AO340" s="500">
        <f>Table2[[#This Row],[Quotas]]-Table2[[#This Row],[Graduates]]-Table2[[#This Row],[Fail]]</f>
        <v>979</v>
      </c>
    </row>
    <row r="341" spans="2:41" s="202" customFormat="1" ht="15" customHeight="1" x14ac:dyDescent="0.25">
      <c r="B341" s="530"/>
      <c r="C341" s="530" t="s">
        <v>413</v>
      </c>
      <c r="D341" s="200" t="str">
        <f>VLOOKUP(Table2[[#This Row],[Course Title]],'TSD-Data'!$A$1:$E$83,2,FALSE)</f>
        <v>A-493-3007</v>
      </c>
      <c r="E341" s="200" t="str">
        <f>VLOOKUP(Table2[[#This Row],[Course Title]],'TSD-Data'!$A$1:$E$83,3,FALSE)</f>
        <v>31V9</v>
      </c>
      <c r="F341" s="530" t="s">
        <v>54</v>
      </c>
      <c r="G341" s="531">
        <v>46125</v>
      </c>
      <c r="H341" s="531">
        <v>46125</v>
      </c>
      <c r="I341" s="531" t="s">
        <v>42</v>
      </c>
      <c r="J341" s="532"/>
      <c r="K341" s="563">
        <v>0.625</v>
      </c>
      <c r="L341" s="532">
        <v>0.5</v>
      </c>
      <c r="M341" s="532">
        <v>0.91666666666666663</v>
      </c>
      <c r="N341" s="532">
        <v>0.875</v>
      </c>
      <c r="O341" s="532">
        <v>0.41666666666666669</v>
      </c>
      <c r="P341" s="532">
        <v>0.16666666666666666</v>
      </c>
      <c r="Q341" s="535" t="s">
        <v>445</v>
      </c>
      <c r="R341" s="535"/>
      <c r="S341" s="535"/>
      <c r="T341" s="200">
        <f>VLOOKUP(Table2[[#This Row],[Course Title]],'TSD-Data'!$A$1:$E$83,4,FALSE)</f>
        <v>1000</v>
      </c>
      <c r="U341" s="200">
        <f>VLOOKUP(Table2[[#This Row],[Course Title]],'TSD-Data'!$A$1:$F$83,6,FALSE)</f>
        <v>2.5</v>
      </c>
      <c r="V341" s="201">
        <f>VLOOKUP(Table2[[#This Row],[Course Title]],'TSD-Data'!$A$1:$F$83,5,FALSE)</f>
        <v>0.3</v>
      </c>
      <c r="W341" s="201"/>
      <c r="X341" s="200">
        <f>Table2[[#This Row],[Quotas]]-Table2[[#This Row],[Open Quotas]]</f>
        <v>54</v>
      </c>
      <c r="Y341" s="200">
        <v>0</v>
      </c>
      <c r="Z341" s="201">
        <v>23</v>
      </c>
      <c r="AA341" s="201">
        <v>0</v>
      </c>
      <c r="AB341" s="200">
        <v>0</v>
      </c>
      <c r="AC341" s="200">
        <v>0</v>
      </c>
      <c r="AD341" s="200">
        <v>0</v>
      </c>
      <c r="AE341" s="200" t="s">
        <v>442</v>
      </c>
      <c r="AF341" s="495">
        <f ca="1">Table2[[#This Row],[End Date]]+2-TODAY()</f>
        <v>-117</v>
      </c>
      <c r="AG341" s="496">
        <f>IF(ISBLANK(Table2[[#This Row],[Roster Received by]]),1,0)</f>
        <v>0</v>
      </c>
      <c r="AH341" s="496">
        <f ca="1">IF(Table2[[#This Row],[Start Date]]&gt;TODAY(),1,)</f>
        <v>0</v>
      </c>
      <c r="AI341" s="496">
        <f>IF(ISBLANK(Table2[[#This Row],[Primary Instructor]]),0,1)</f>
        <v>1</v>
      </c>
      <c r="AJ341" s="496">
        <f>IF(ISBLANK(Table2[[#This Row],[Instructor 2]]),0,1)</f>
        <v>0</v>
      </c>
      <c r="AK341" s="496">
        <f>AJ684</f>
        <v>0</v>
      </c>
      <c r="AL341" s="318">
        <v>946</v>
      </c>
      <c r="AM341" s="501">
        <v>3</v>
      </c>
      <c r="AN341" s="496" t="str">
        <f>VLOOKUP(Table2[[#This Row],[Course Title]],'TSD-Data'!$A$1:$G$83,7,FALSE)</f>
        <v>N8-RMI</v>
      </c>
      <c r="AO341" s="500">
        <f>Table2[[#This Row],[Quotas]]-Table2[[#This Row],[Graduates]]-Table2[[#This Row],[Fail]]</f>
        <v>977</v>
      </c>
    </row>
    <row r="342" spans="2:41" s="202" customFormat="1" ht="15" customHeight="1" x14ac:dyDescent="0.25">
      <c r="B342" s="530"/>
      <c r="C342" s="530" t="s">
        <v>249</v>
      </c>
      <c r="D342" s="200" t="str">
        <f>VLOOKUP(Table2[[#This Row],[Course Title]],'TSD-Data'!$A$1:$E$83,2,FALSE)</f>
        <v>A-493-0331</v>
      </c>
      <c r="E342" s="200" t="str">
        <f>VLOOKUP(Table2[[#This Row],[Course Title]],'TSD-Data'!$A$1:$E$83,3,FALSE)</f>
        <v>10UG</v>
      </c>
      <c r="F342" s="530" t="s">
        <v>54</v>
      </c>
      <c r="G342" s="531">
        <v>46126</v>
      </c>
      <c r="H342" s="531">
        <v>46128</v>
      </c>
      <c r="I342" s="531" t="s">
        <v>42</v>
      </c>
      <c r="J342" s="532"/>
      <c r="K342" s="532">
        <v>0.5</v>
      </c>
      <c r="L342" s="536">
        <v>0.375</v>
      </c>
      <c r="M342" s="536">
        <v>0.79166666666666663</v>
      </c>
      <c r="N342" s="536">
        <v>0.75</v>
      </c>
      <c r="O342" s="536">
        <v>0.25</v>
      </c>
      <c r="P342" s="536">
        <v>4.1666666666666664E-2</v>
      </c>
      <c r="Q342" s="535" t="s">
        <v>295</v>
      </c>
      <c r="R342" s="535"/>
      <c r="S342" s="535"/>
      <c r="T342" s="200">
        <f>VLOOKUP(Table2[[#This Row],[Course Title]],'TSD-Data'!$A$1:$E$83,4,FALSE)</f>
        <v>45</v>
      </c>
      <c r="U342" s="200">
        <f>VLOOKUP(Table2[[#This Row],[Course Title]],'TSD-Data'!$A$1:$F$83,6,FALSE)</f>
        <v>24</v>
      </c>
      <c r="V342" s="201">
        <f>VLOOKUP(Table2[[#This Row],[Course Title]],'TSD-Data'!$A$1:$F$83,5,FALSE)</f>
        <v>3</v>
      </c>
      <c r="W342" s="201"/>
      <c r="X342" s="200">
        <f>Table2[[#This Row],[Quotas]]-Table2[[#This Row],[Open Quotas]]</f>
        <v>45</v>
      </c>
      <c r="Y342" s="200">
        <v>3</v>
      </c>
      <c r="Z342" s="201">
        <v>37</v>
      </c>
      <c r="AA342" s="201">
        <v>0</v>
      </c>
      <c r="AB342" s="200">
        <v>9</v>
      </c>
      <c r="AC342" s="200">
        <v>1</v>
      </c>
      <c r="AD342" s="200">
        <v>0</v>
      </c>
      <c r="AE342" s="200" t="s">
        <v>429</v>
      </c>
      <c r="AF342" s="495">
        <f ca="1">Table2[[#This Row],[End Date]]+2-TODAY()</f>
        <v>-114</v>
      </c>
      <c r="AG342" s="496">
        <f>IF(ISBLANK(Table2[[#This Row],[Roster Received by]]),1,0)</f>
        <v>0</v>
      </c>
      <c r="AH342" s="496">
        <f ca="1">IF(Table2[[#This Row],[Start Date]]&gt;TODAY(),1,)</f>
        <v>0</v>
      </c>
      <c r="AI342" s="496">
        <f>IF(ISBLANK(Table2[[#This Row],[Primary Instructor]]),0,1)</f>
        <v>1</v>
      </c>
      <c r="AJ342" s="496">
        <f>IF(ISBLANK(Table2[[#This Row],[Instructor 2]]),0,1)</f>
        <v>0</v>
      </c>
      <c r="AK342" s="496">
        <f>Table2[[#This Row],[Course Length (Hours)]]/(Table2[[#This Row],[1 Instructor]]+Table2[[#This Row],[2 Instructors]])</f>
        <v>24</v>
      </c>
      <c r="AL342" s="318">
        <v>0</v>
      </c>
      <c r="AM342" s="496">
        <v>3</v>
      </c>
      <c r="AN342" s="496" t="str">
        <f>VLOOKUP(Table2[[#This Row],[Course Title]],'TSD-Data'!$A$1:$G$83,7,FALSE)</f>
        <v>N3</v>
      </c>
      <c r="AO342" s="500">
        <f>Table2[[#This Row],[Quotas]]-Table2[[#This Row],[Graduates]]-Table2[[#This Row],[Fail]]</f>
        <v>8</v>
      </c>
    </row>
    <row r="343" spans="2:41" s="202" customFormat="1" ht="15" customHeight="1" x14ac:dyDescent="0.25">
      <c r="B343" s="530"/>
      <c r="C343" s="530" t="s">
        <v>399</v>
      </c>
      <c r="D343" s="200" t="str">
        <f>VLOOKUP(Table2[[#This Row],[Course Title]],'TSD-Data'!$A$1:$E$83,2,FALSE)</f>
        <v>A-493-3011</v>
      </c>
      <c r="E343" s="200" t="str">
        <f>VLOOKUP(Table2[[#This Row],[Course Title]],'TSD-Data'!$A$1:$E$83,3,FALSE)</f>
        <v>31VD</v>
      </c>
      <c r="F343" s="530" t="s">
        <v>54</v>
      </c>
      <c r="G343" s="531">
        <v>46126</v>
      </c>
      <c r="H343" s="531">
        <v>46126</v>
      </c>
      <c r="I343" s="531" t="s">
        <v>42</v>
      </c>
      <c r="J343" s="532"/>
      <c r="K343" s="563">
        <v>0.54166666666666663</v>
      </c>
      <c r="L343" s="532">
        <v>0.41666666666666669</v>
      </c>
      <c r="M343" s="532">
        <v>0.83333333333333337</v>
      </c>
      <c r="N343" s="532">
        <v>0.79166666666666663</v>
      </c>
      <c r="O343" s="532">
        <v>0.33333333333333331</v>
      </c>
      <c r="P343" s="532">
        <v>8.3333333333333329E-2</v>
      </c>
      <c r="Q343" s="535" t="s">
        <v>445</v>
      </c>
      <c r="R343" s="535"/>
      <c r="S343" s="535"/>
      <c r="T343" s="200">
        <f>VLOOKUP(Table2[[#This Row],[Course Title]],'TSD-Data'!$A$1:$E$83,4,FALSE)</f>
        <v>1000</v>
      </c>
      <c r="U343" s="200">
        <f>VLOOKUP(Table2[[#This Row],[Course Title]],'TSD-Data'!$A$1:$F$83,6,FALSE)</f>
        <v>2.5</v>
      </c>
      <c r="V343" s="201">
        <f>VLOOKUP(Table2[[#This Row],[Course Title]],'TSD-Data'!$A$1:$F$83,5,FALSE)</f>
        <v>0.3</v>
      </c>
      <c r="W343" s="201"/>
      <c r="X343" s="200">
        <f>Table2[[#This Row],[Quotas]]-Table2[[#This Row],[Open Quotas]]</f>
        <v>54</v>
      </c>
      <c r="Y343" s="200">
        <v>0</v>
      </c>
      <c r="Z343" s="201">
        <v>22</v>
      </c>
      <c r="AA343" s="201">
        <v>0</v>
      </c>
      <c r="AB343" s="200">
        <v>0</v>
      </c>
      <c r="AC343" s="200">
        <v>0</v>
      </c>
      <c r="AD343" s="200">
        <v>0</v>
      </c>
      <c r="AE343" s="200" t="s">
        <v>442</v>
      </c>
      <c r="AF343" s="495">
        <f ca="1">Table2[[#This Row],[End Date]]+2-TODAY()</f>
        <v>-116</v>
      </c>
      <c r="AG343" s="496">
        <f>IF(ISBLANK(Table2[[#This Row],[Roster Received by]]),1,0)</f>
        <v>0</v>
      </c>
      <c r="AH343" s="496">
        <f ca="1">IF(Table2[[#This Row],[Start Date]]&gt;TODAY(),1,)</f>
        <v>0</v>
      </c>
      <c r="AI343" s="496">
        <f>IF(ISBLANK(Table2[[#This Row],[Primary Instructor]]),0,1)</f>
        <v>1</v>
      </c>
      <c r="AJ343" s="496">
        <f>IF(ISBLANK(Table2[[#This Row],[Instructor 2]]),0,1)</f>
        <v>0</v>
      </c>
      <c r="AK343" s="496">
        <f>AJ677</f>
        <v>0</v>
      </c>
      <c r="AL343" s="318">
        <v>946</v>
      </c>
      <c r="AM343" s="501">
        <v>3</v>
      </c>
      <c r="AN343" s="496" t="str">
        <f>VLOOKUP(Table2[[#This Row],[Course Title]],'TSD-Data'!$A$1:$G$83,7,FALSE)</f>
        <v>N8-RMI</v>
      </c>
      <c r="AO343" s="500">
        <f>Table2[[#This Row],[Quotas]]-Table2[[#This Row],[Graduates]]-Table2[[#This Row],[Fail]]</f>
        <v>978</v>
      </c>
    </row>
    <row r="344" spans="2:41" s="202" customFormat="1" ht="15" customHeight="1" x14ac:dyDescent="0.25">
      <c r="B344" s="530"/>
      <c r="C344" s="530" t="s">
        <v>400</v>
      </c>
      <c r="D344" s="200" t="str">
        <f>VLOOKUP(Table2[[#This Row],[Course Title]],'TSD-Data'!$A$1:$E$83,2,FALSE)</f>
        <v>A-493-3010</v>
      </c>
      <c r="E344" s="200" t="str">
        <f>VLOOKUP(Table2[[#This Row],[Course Title]],'TSD-Data'!$A$1:$E$83,3,FALSE)</f>
        <v>31VC</v>
      </c>
      <c r="F344" s="530" t="s">
        <v>54</v>
      </c>
      <c r="G344" s="531">
        <v>46126</v>
      </c>
      <c r="H344" s="531">
        <v>46126</v>
      </c>
      <c r="I344" s="531" t="s">
        <v>42</v>
      </c>
      <c r="J344" s="532"/>
      <c r="K344" s="563">
        <v>0.33333333333333331</v>
      </c>
      <c r="L344" s="532">
        <v>0.20833333333333334</v>
      </c>
      <c r="M344" s="532">
        <v>0.625</v>
      </c>
      <c r="N344" s="532">
        <v>0.58333333333333337</v>
      </c>
      <c r="O344" s="532">
        <v>0.125</v>
      </c>
      <c r="P344" s="532">
        <v>0.875</v>
      </c>
      <c r="Q344" s="535" t="s">
        <v>445</v>
      </c>
      <c r="R344" s="535"/>
      <c r="S344" s="535"/>
      <c r="T344" s="200">
        <f>VLOOKUP(Table2[[#This Row],[Course Title]],'TSD-Data'!$A$1:$E$83,4,FALSE)</f>
        <v>1000</v>
      </c>
      <c r="U344" s="200">
        <f>VLOOKUP(Table2[[#This Row],[Course Title]],'TSD-Data'!$A$1:$F$83,6,FALSE)</f>
        <v>4</v>
      </c>
      <c r="V344" s="201">
        <f>VLOOKUP(Table2[[#This Row],[Course Title]],'TSD-Data'!$A$1:$F$83,5,FALSE)</f>
        <v>0.5</v>
      </c>
      <c r="W344" s="201"/>
      <c r="X344" s="200">
        <f>Table2[[#This Row],[Quotas]]-Table2[[#This Row],[Open Quotas]]</f>
        <v>54</v>
      </c>
      <c r="Y344" s="200">
        <v>0</v>
      </c>
      <c r="Z344" s="201">
        <v>23</v>
      </c>
      <c r="AA344" s="201">
        <v>0</v>
      </c>
      <c r="AB344" s="200">
        <v>0</v>
      </c>
      <c r="AC344" s="200">
        <v>0</v>
      </c>
      <c r="AD344" s="200">
        <v>0</v>
      </c>
      <c r="AE344" s="200" t="s">
        <v>442</v>
      </c>
      <c r="AF344" s="495">
        <f ca="1">Table2[[#This Row],[End Date]]+2-TODAY()</f>
        <v>-116</v>
      </c>
      <c r="AG344" s="496">
        <f>IF(ISBLANK(Table2[[#This Row],[Roster Received by]]),1,0)</f>
        <v>0</v>
      </c>
      <c r="AH344" s="496">
        <f ca="1">IF(Table2[[#This Row],[Start Date]]&gt;TODAY(),1,)</f>
        <v>0</v>
      </c>
      <c r="AI344" s="496">
        <f>IF(ISBLANK(Table2[[#This Row],[Primary Instructor]]),0,1)</f>
        <v>1</v>
      </c>
      <c r="AJ344" s="496">
        <f>IF(ISBLANK(Table2[[#This Row],[Instructor 2]]),0,1)</f>
        <v>0</v>
      </c>
      <c r="AK344" s="496">
        <f>AJ678</f>
        <v>0</v>
      </c>
      <c r="AL344" s="318">
        <v>946</v>
      </c>
      <c r="AM344" s="501">
        <v>3</v>
      </c>
      <c r="AN344" s="496" t="str">
        <f>VLOOKUP(Table2[[#This Row],[Course Title]],'TSD-Data'!$A$1:$G$83,7,FALSE)</f>
        <v>N8-RMI</v>
      </c>
      <c r="AO344" s="500">
        <f>Table2[[#This Row],[Quotas]]-Table2[[#This Row],[Graduates]]-Table2[[#This Row],[Fail]]</f>
        <v>977</v>
      </c>
    </row>
    <row r="345" spans="2:41" ht="15" customHeight="1" x14ac:dyDescent="0.25">
      <c r="B345" s="530"/>
      <c r="C345" s="530" t="s">
        <v>99</v>
      </c>
      <c r="D345" s="200" t="str">
        <f>VLOOKUP(Table2[[#This Row],[Course Title]],'TSD-Data'!$A$1:$E$83,2,FALSE)</f>
        <v>A-493-2501</v>
      </c>
      <c r="E345" s="200" t="str">
        <f>VLOOKUP(Table2[[#This Row],[Course Title]],'TSD-Data'!$A$1:$E$83,3,FALSE)</f>
        <v>05ZE</v>
      </c>
      <c r="F345" s="530" t="s">
        <v>115</v>
      </c>
      <c r="G345" s="531">
        <v>46126</v>
      </c>
      <c r="H345" s="531">
        <v>46126</v>
      </c>
      <c r="I345" s="129" t="s">
        <v>42</v>
      </c>
      <c r="J345" s="532">
        <v>0.33333333333333331</v>
      </c>
      <c r="K345" s="532"/>
      <c r="L345" s="531"/>
      <c r="M345" s="531"/>
      <c r="N345" s="531"/>
      <c r="O345" s="531"/>
      <c r="P345" s="531"/>
      <c r="Q345" s="535" t="s">
        <v>48</v>
      </c>
      <c r="R345" s="535"/>
      <c r="S345" s="535"/>
      <c r="T345" s="200">
        <f>VLOOKUP(Table2[[#This Row],[Course Title]],'TSD-Data'!$A$1:$E$83,4,FALSE)</f>
        <v>30</v>
      </c>
      <c r="U345" s="200">
        <f>VLOOKUP(Table2[[#This Row],[Course Title]],'TSD-Data'!$A$1:$F$83,6,FALSE)</f>
        <v>8</v>
      </c>
      <c r="V345" s="201">
        <f>VLOOKUP(Table2[[#This Row],[Course Title]],'TSD-Data'!$A$1:$F$83,5,FALSE)</f>
        <v>1</v>
      </c>
      <c r="W345" s="201">
        <v>16</v>
      </c>
      <c r="X345" s="200">
        <f>Table2[[#This Row],[Quotas]]-Table2[[#This Row],[Open Quotas]]</f>
        <v>25</v>
      </c>
      <c r="Y345" s="200">
        <v>0</v>
      </c>
      <c r="Z345" s="201">
        <v>23</v>
      </c>
      <c r="AA345" s="201">
        <v>0</v>
      </c>
      <c r="AB345" s="200">
        <v>4</v>
      </c>
      <c r="AC345" s="200">
        <v>2</v>
      </c>
      <c r="AD345" s="200">
        <v>0</v>
      </c>
      <c r="AE345" s="200" t="s">
        <v>428</v>
      </c>
      <c r="AF345" s="495">
        <f ca="1">Table2[[#This Row],[End Date]]+2-TODAY()</f>
        <v>-116</v>
      </c>
      <c r="AG345" s="496">
        <f>IF(ISBLANK(Table2[[#This Row],[Roster Received by]]),1,0)</f>
        <v>0</v>
      </c>
      <c r="AH345" s="496">
        <f ca="1">IF(Table2[[#This Row],[Start Date]]&gt;TODAY(),1,)</f>
        <v>0</v>
      </c>
      <c r="AI345" s="496">
        <f>IF(ISBLANK(Table2[[#This Row],[Primary Instructor]]),0,1)</f>
        <v>1</v>
      </c>
      <c r="AJ345" s="496">
        <f>IF(ISBLANK(Table2[[#This Row],[Instructor 2]]),0,1)</f>
        <v>0</v>
      </c>
      <c r="AK345" s="496">
        <f>Table2[[#This Row],[Course Length (Hours)]]/(Table2[[#This Row],[1 Instructor]]+Table2[[#This Row],[2 Instructors]])</f>
        <v>8</v>
      </c>
      <c r="AL345" s="318">
        <v>5</v>
      </c>
      <c r="AM345" s="496">
        <v>3</v>
      </c>
      <c r="AN345" s="496" t="str">
        <f>VLOOKUP(Table2[[#This Row],[Course Title]],'TSD-Data'!$A$1:$G$83,7,FALSE)</f>
        <v>N4</v>
      </c>
      <c r="AO345" s="500">
        <f>Table2[[#This Row],[Quotas]]-Table2[[#This Row],[Graduates]]-Table2[[#This Row],[Fail]]</f>
        <v>7</v>
      </c>
    </row>
    <row r="346" spans="2:41" s="202" customFormat="1" ht="15" customHeight="1" x14ac:dyDescent="0.25">
      <c r="B346" s="530"/>
      <c r="C346" s="530" t="s">
        <v>396</v>
      </c>
      <c r="D346" s="200" t="str">
        <f>VLOOKUP(Table2[[#This Row],[Course Title]],'TSD-Data'!$A$1:$E$83,2,FALSE)</f>
        <v>A-493-3018</v>
      </c>
      <c r="E346" s="200" t="str">
        <f>VLOOKUP(Table2[[#This Row],[Course Title]],'TSD-Data'!$A$1:$E$83,3,FALSE)</f>
        <v>31YM</v>
      </c>
      <c r="F346" s="530" t="s">
        <v>54</v>
      </c>
      <c r="G346" s="531">
        <v>46127</v>
      </c>
      <c r="H346" s="531">
        <v>46127</v>
      </c>
      <c r="I346" s="531" t="s">
        <v>42</v>
      </c>
      <c r="J346" s="532"/>
      <c r="K346" s="563">
        <v>0.60416666666666663</v>
      </c>
      <c r="L346" s="532">
        <v>0.47916666666666669</v>
      </c>
      <c r="M346" s="532">
        <v>0.89583333333333337</v>
      </c>
      <c r="N346" s="532">
        <v>0.85416666666666663</v>
      </c>
      <c r="O346" s="532">
        <v>0.39583333333333331</v>
      </c>
      <c r="P346" s="532">
        <v>0.125</v>
      </c>
      <c r="Q346" s="535" t="s">
        <v>445</v>
      </c>
      <c r="R346" s="535"/>
      <c r="S346" s="535"/>
      <c r="T346" s="200">
        <f>VLOOKUP(Table2[[#This Row],[Course Title]],'TSD-Data'!$A$1:$E$83,4,FALSE)</f>
        <v>1000</v>
      </c>
      <c r="U346" s="200">
        <f>VLOOKUP(Table2[[#This Row],[Course Title]],'TSD-Data'!$A$1:$F$83,6,FALSE)</f>
        <v>2</v>
      </c>
      <c r="V346" s="201">
        <f>VLOOKUP(Table2[[#This Row],[Course Title]],'TSD-Data'!$A$1:$F$83,5,FALSE)</f>
        <v>0.25</v>
      </c>
      <c r="W346" s="201"/>
      <c r="X346" s="200">
        <f>Table2[[#This Row],[Quotas]]-Table2[[#This Row],[Open Quotas]]</f>
        <v>54</v>
      </c>
      <c r="Y346" s="200">
        <v>0</v>
      </c>
      <c r="Z346" s="201">
        <v>11</v>
      </c>
      <c r="AA346" s="201">
        <v>0</v>
      </c>
      <c r="AB346" s="200">
        <v>0</v>
      </c>
      <c r="AC346" s="200">
        <v>0</v>
      </c>
      <c r="AD346" s="200">
        <v>0</v>
      </c>
      <c r="AE346" s="200" t="s">
        <v>442</v>
      </c>
      <c r="AF346" s="495">
        <f ca="1">Table2[[#This Row],[End Date]]+2-TODAY()</f>
        <v>-115</v>
      </c>
      <c r="AG346" s="496">
        <f>IF(ISBLANK(Table2[[#This Row],[Roster Received by]]),1,0)</f>
        <v>0</v>
      </c>
      <c r="AH346" s="496">
        <f ca="1">IF(Table2[[#This Row],[Start Date]]&gt;TODAY(),1,)</f>
        <v>0</v>
      </c>
      <c r="AI346" s="496">
        <f>IF(ISBLANK(Table2[[#This Row],[Primary Instructor]]),0,1)</f>
        <v>1</v>
      </c>
      <c r="AJ346" s="496">
        <f>IF(ISBLANK(Table2[[#This Row],[Instructor 2]]),0,1)</f>
        <v>0</v>
      </c>
      <c r="AK346" s="496">
        <f>AJ680</f>
        <v>0</v>
      </c>
      <c r="AL346" s="318">
        <v>946</v>
      </c>
      <c r="AM346" s="501">
        <v>3</v>
      </c>
      <c r="AN346" s="496" t="str">
        <f>VLOOKUP(Table2[[#This Row],[Course Title]],'TSD-Data'!$A$1:$G$83,7,FALSE)</f>
        <v>N8-RMI</v>
      </c>
      <c r="AO346" s="500">
        <f>Table2[[#This Row],[Quotas]]-Table2[[#This Row],[Graduates]]-Table2[[#This Row],[Fail]]</f>
        <v>989</v>
      </c>
    </row>
    <row r="347" spans="2:41" s="202" customFormat="1" ht="15" customHeight="1" x14ac:dyDescent="0.25">
      <c r="B347" s="530"/>
      <c r="C347" s="530" t="s">
        <v>398</v>
      </c>
      <c r="D347" s="200" t="str">
        <f>VLOOKUP(Table2[[#This Row],[Course Title]],'TSD-Data'!$A$1:$E$83,2,FALSE)</f>
        <v>A-493-3004</v>
      </c>
      <c r="E347" s="200" t="str">
        <f>VLOOKUP(Table2[[#This Row],[Course Title]],'TSD-Data'!$A$1:$E$83,3,FALSE)</f>
        <v>31V6</v>
      </c>
      <c r="F347" s="530" t="s">
        <v>54</v>
      </c>
      <c r="G347" s="531">
        <v>46127</v>
      </c>
      <c r="H347" s="531">
        <v>46127</v>
      </c>
      <c r="I347" s="531" t="s">
        <v>42</v>
      </c>
      <c r="J347" s="532"/>
      <c r="K347" s="563">
        <v>0.52083333333333337</v>
      </c>
      <c r="L347" s="532">
        <v>0.39583333333333331</v>
      </c>
      <c r="M347" s="532">
        <v>0.8125</v>
      </c>
      <c r="N347" s="532">
        <v>0.77083333333333337</v>
      </c>
      <c r="O347" s="532">
        <v>0.3125</v>
      </c>
      <c r="P347" s="532">
        <v>6.25E-2</v>
      </c>
      <c r="Q347" s="535" t="s">
        <v>445</v>
      </c>
      <c r="R347" s="535"/>
      <c r="S347" s="535"/>
      <c r="T347" s="200">
        <f>VLOOKUP(Table2[[#This Row],[Course Title]],'TSD-Data'!$A$1:$E$83,4,FALSE)</f>
        <v>1000</v>
      </c>
      <c r="U347" s="200">
        <f>VLOOKUP(Table2[[#This Row],[Course Title]],'TSD-Data'!$A$1:$F$83,6,FALSE)</f>
        <v>2</v>
      </c>
      <c r="V347" s="201">
        <f>VLOOKUP(Table2[[#This Row],[Course Title]],'TSD-Data'!$A$1:$F$83,5,FALSE)</f>
        <v>0.25</v>
      </c>
      <c r="W347" s="201"/>
      <c r="X347" s="200">
        <f>Table2[[#This Row],[Quotas]]-Table2[[#This Row],[Open Quotas]]</f>
        <v>54</v>
      </c>
      <c r="Y347" s="200">
        <v>0</v>
      </c>
      <c r="Z347" s="201">
        <v>20</v>
      </c>
      <c r="AA347" s="201">
        <v>0</v>
      </c>
      <c r="AB347" s="200">
        <v>0</v>
      </c>
      <c r="AC347" s="200">
        <v>0</v>
      </c>
      <c r="AD347" s="200">
        <v>0</v>
      </c>
      <c r="AE347" s="200" t="s">
        <v>442</v>
      </c>
      <c r="AF347" s="495">
        <f ca="1">Table2[[#This Row],[End Date]]+2-TODAY()</f>
        <v>-115</v>
      </c>
      <c r="AG347" s="496">
        <f>IF(ISBLANK(Table2[[#This Row],[Roster Received by]]),1,0)</f>
        <v>0</v>
      </c>
      <c r="AH347" s="496">
        <f ca="1">IF(Table2[[#This Row],[Start Date]]&gt;TODAY(),1,)</f>
        <v>0</v>
      </c>
      <c r="AI347" s="496">
        <f>IF(ISBLANK(Table2[[#This Row],[Primary Instructor]]),0,1)</f>
        <v>1</v>
      </c>
      <c r="AJ347" s="496">
        <f>IF(ISBLANK(Table2[[#This Row],[Instructor 2]]),0,1)</f>
        <v>0</v>
      </c>
      <c r="AK347" s="496">
        <f>AJ681</f>
        <v>0</v>
      </c>
      <c r="AL347" s="318">
        <v>946</v>
      </c>
      <c r="AM347" s="501">
        <v>3</v>
      </c>
      <c r="AN347" s="496" t="str">
        <f>VLOOKUP(Table2[[#This Row],[Course Title]],'TSD-Data'!$A$1:$G$83,7,FALSE)</f>
        <v>N8-RMI</v>
      </c>
      <c r="AO347" s="500">
        <f>Table2[[#This Row],[Quotas]]-Table2[[#This Row],[Graduates]]-Table2[[#This Row],[Fail]]</f>
        <v>980</v>
      </c>
    </row>
    <row r="348" spans="2:41" s="202" customFormat="1" ht="15" customHeight="1" x14ac:dyDescent="0.25">
      <c r="B348" s="530"/>
      <c r="C348" s="530" t="s">
        <v>409</v>
      </c>
      <c r="D348" s="200" t="str">
        <f>VLOOKUP(Table2[[#This Row],[Course Title]],'TSD-Data'!$A$1:$E$83,2,FALSE)</f>
        <v>A-493-3001</v>
      </c>
      <c r="E348" s="200" t="str">
        <f>VLOOKUP(Table2[[#This Row],[Course Title]],'TSD-Data'!$A$1:$E$83,3,FALSE)</f>
        <v>31V3</v>
      </c>
      <c r="F348" s="530" t="s">
        <v>54</v>
      </c>
      <c r="G348" s="531">
        <v>46127</v>
      </c>
      <c r="H348" s="531">
        <v>46127</v>
      </c>
      <c r="I348" s="531" t="s">
        <v>42</v>
      </c>
      <c r="J348" s="532"/>
      <c r="K348" s="563">
        <v>0.33333333333333331</v>
      </c>
      <c r="L348" s="532">
        <v>0.20833333333333334</v>
      </c>
      <c r="M348" s="532">
        <v>0.625</v>
      </c>
      <c r="N348" s="532">
        <v>0.58333333333333337</v>
      </c>
      <c r="O348" s="532">
        <v>0.125</v>
      </c>
      <c r="P348" s="532">
        <v>0.875</v>
      </c>
      <c r="Q348" s="535" t="s">
        <v>445</v>
      </c>
      <c r="R348" s="535"/>
      <c r="S348" s="535"/>
      <c r="T348" s="200">
        <f>VLOOKUP(Table2[[#This Row],[Course Title]],'TSD-Data'!$A$1:$E$83,4,FALSE)</f>
        <v>1000</v>
      </c>
      <c r="U348" s="200">
        <f>VLOOKUP(Table2[[#This Row],[Course Title]],'TSD-Data'!$A$1:$F$83,6,FALSE)</f>
        <v>2</v>
      </c>
      <c r="V348" s="201">
        <f>VLOOKUP(Table2[[#This Row],[Course Title]],'TSD-Data'!$A$1:$F$83,5,FALSE)</f>
        <v>0.25</v>
      </c>
      <c r="W348" s="201"/>
      <c r="X348" s="200">
        <f>Table2[[#This Row],[Quotas]]-Table2[[#This Row],[Open Quotas]]</f>
        <v>54</v>
      </c>
      <c r="Y348" s="200">
        <v>0</v>
      </c>
      <c r="Z348" s="201">
        <v>19</v>
      </c>
      <c r="AA348" s="201">
        <v>0</v>
      </c>
      <c r="AB348" s="200">
        <v>0</v>
      </c>
      <c r="AC348" s="200">
        <v>0</v>
      </c>
      <c r="AD348" s="200">
        <v>0</v>
      </c>
      <c r="AE348" s="200" t="s">
        <v>442</v>
      </c>
      <c r="AF348" s="495">
        <f ca="1">Table2[[#This Row],[End Date]]+2-TODAY()</f>
        <v>-115</v>
      </c>
      <c r="AG348" s="496">
        <f>IF(ISBLANK(Table2[[#This Row],[Roster Received by]]),1,0)</f>
        <v>0</v>
      </c>
      <c r="AH348" s="496">
        <f ca="1">IF(Table2[[#This Row],[Start Date]]&gt;TODAY(),1,)</f>
        <v>0</v>
      </c>
      <c r="AI348" s="496">
        <f>IF(ISBLANK(Table2[[#This Row],[Primary Instructor]]),0,1)</f>
        <v>1</v>
      </c>
      <c r="AJ348" s="496">
        <f>IF(ISBLANK(Table2[[#This Row],[Instructor 2]]),0,1)</f>
        <v>0</v>
      </c>
      <c r="AK348" s="496">
        <f>AJ682</f>
        <v>0</v>
      </c>
      <c r="AL348" s="318">
        <v>946</v>
      </c>
      <c r="AM348" s="501">
        <v>3</v>
      </c>
      <c r="AN348" s="496" t="str">
        <f>VLOOKUP(Table2[[#This Row],[Course Title]],'TSD-Data'!$A$1:$G$83,7,FALSE)</f>
        <v>N8-RMI</v>
      </c>
      <c r="AO348" s="500">
        <f>Table2[[#This Row],[Quotas]]-Table2[[#This Row],[Graduates]]-Table2[[#This Row],[Fail]]</f>
        <v>981</v>
      </c>
    </row>
    <row r="349" spans="2:41" s="202" customFormat="1" ht="15" customHeight="1" x14ac:dyDescent="0.25">
      <c r="B349" s="530"/>
      <c r="C349" s="530" t="s">
        <v>84</v>
      </c>
      <c r="D349" s="200" t="str">
        <f>VLOOKUP(Table2[[#This Row],[Course Title]],'TSD-Data'!$A$1:$E$83,2,FALSE)</f>
        <v>A-493-0083</v>
      </c>
      <c r="E349" s="200" t="str">
        <f>VLOOKUP(Table2[[#This Row],[Course Title]],'TSD-Data'!$A$1:$E$83,3,FALSE)</f>
        <v>339E</v>
      </c>
      <c r="F349" s="530" t="s">
        <v>183</v>
      </c>
      <c r="G349" s="531">
        <v>46128</v>
      </c>
      <c r="H349" s="531">
        <v>46128</v>
      </c>
      <c r="I349" s="129" t="s">
        <v>42</v>
      </c>
      <c r="J349" s="532">
        <v>0.33333333333333331</v>
      </c>
      <c r="K349" s="532"/>
      <c r="L349" s="531"/>
      <c r="M349" s="531"/>
      <c r="N349" s="531"/>
      <c r="O349" s="531"/>
      <c r="P349" s="531"/>
      <c r="Q349" s="535" t="s">
        <v>48</v>
      </c>
      <c r="R349" s="535"/>
      <c r="S349" s="535"/>
      <c r="T349" s="200">
        <f>VLOOKUP(Table2[[#This Row],[Course Title]],'TSD-Data'!$A$1:$E$83,4,FALSE)</f>
        <v>30</v>
      </c>
      <c r="U349" s="200">
        <f>VLOOKUP(Table2[[#This Row],[Course Title]],'TSD-Data'!$A$1:$F$83,6,FALSE)</f>
        <v>8</v>
      </c>
      <c r="V349" s="201">
        <f>VLOOKUP(Table2[[#This Row],[Course Title]],'TSD-Data'!$A$1:$F$83,5,FALSE)</f>
        <v>1</v>
      </c>
      <c r="W349" s="201">
        <v>22</v>
      </c>
      <c r="X349" s="200">
        <f>Table2[[#This Row],[Quotas]]-Table2[[#This Row],[Open Quotas]]</f>
        <v>1</v>
      </c>
      <c r="Y349" s="200">
        <v>0</v>
      </c>
      <c r="Z349" s="201">
        <v>1</v>
      </c>
      <c r="AA349" s="201">
        <v>0</v>
      </c>
      <c r="AB349" s="200">
        <v>0</v>
      </c>
      <c r="AC349" s="200">
        <v>0</v>
      </c>
      <c r="AD349" s="200">
        <v>0</v>
      </c>
      <c r="AE349" s="200" t="s">
        <v>428</v>
      </c>
      <c r="AF349" s="495">
        <f ca="1">Table2[[#This Row],[End Date]]+2-TODAY()</f>
        <v>-114</v>
      </c>
      <c r="AG349" s="496">
        <f>IF(ISBLANK(Table2[[#This Row],[Roster Received by]]),1,0)</f>
        <v>0</v>
      </c>
      <c r="AH349" s="496">
        <f ca="1">IF(Table2[[#This Row],[Start Date]]&gt;TODAY(),1,)</f>
        <v>0</v>
      </c>
      <c r="AI349" s="496">
        <f>IF(ISBLANK(Table2[[#This Row],[Primary Instructor]]),0,1)</f>
        <v>1</v>
      </c>
      <c r="AJ349" s="496">
        <f>IF(ISBLANK(Table2[[#This Row],[Instructor 2]]),0,1)</f>
        <v>0</v>
      </c>
      <c r="AK349" s="496">
        <f>Table2[[#This Row],[Course Length (Hours)]]/(Table2[[#This Row],[1 Instructor]]+Table2[[#This Row],[2 Instructors]])</f>
        <v>8</v>
      </c>
      <c r="AL349" s="318">
        <v>29</v>
      </c>
      <c r="AM349" s="496">
        <v>3</v>
      </c>
      <c r="AN349" s="496" t="str">
        <f>VLOOKUP(Table2[[#This Row],[Course Title]],'TSD-Data'!$A$1:$G$83,7,FALSE)</f>
        <v>N4</v>
      </c>
      <c r="AO349" s="500">
        <f>Table2[[#This Row],[Quotas]]-Table2[[#This Row],[Graduates]]-Table2[[#This Row],[Fail]]</f>
        <v>29</v>
      </c>
    </row>
    <row r="350" spans="2:41" s="202" customFormat="1" ht="15" customHeight="1" x14ac:dyDescent="0.25">
      <c r="B350" s="530"/>
      <c r="C350" s="530" t="s">
        <v>84</v>
      </c>
      <c r="D350" s="200" t="str">
        <f>VLOOKUP(Table2[[#This Row],[Course Title]],'TSD-Data'!$A$1:$E$83,2,FALSE)</f>
        <v>A-493-0083</v>
      </c>
      <c r="E350" s="200" t="str">
        <f>VLOOKUP(Table2[[#This Row],[Course Title]],'TSD-Data'!$A$1:$E$83,3,FALSE)</f>
        <v>339E</v>
      </c>
      <c r="F350" s="530" t="s">
        <v>133</v>
      </c>
      <c r="G350" s="531">
        <v>46128</v>
      </c>
      <c r="H350" s="531">
        <v>46128</v>
      </c>
      <c r="I350" s="129" t="s">
        <v>42</v>
      </c>
      <c r="J350" s="532">
        <v>0.33333333333333331</v>
      </c>
      <c r="K350" s="532"/>
      <c r="L350" s="531"/>
      <c r="M350" s="531"/>
      <c r="N350" s="531"/>
      <c r="O350" s="531"/>
      <c r="P350" s="531"/>
      <c r="Q350" s="535" t="s">
        <v>48</v>
      </c>
      <c r="R350" s="535"/>
      <c r="S350" s="535"/>
      <c r="T350" s="200">
        <f>VLOOKUP(Table2[[#This Row],[Course Title]],'TSD-Data'!$A$1:$E$83,4,FALSE)</f>
        <v>30</v>
      </c>
      <c r="U350" s="200">
        <f>VLOOKUP(Table2[[#This Row],[Course Title]],'TSD-Data'!$A$1:$F$83,6,FALSE)</f>
        <v>8</v>
      </c>
      <c r="V350" s="201">
        <f>VLOOKUP(Table2[[#This Row],[Course Title]],'TSD-Data'!$A$1:$F$83,5,FALSE)</f>
        <v>1</v>
      </c>
      <c r="W350" s="201">
        <v>32</v>
      </c>
      <c r="X350" s="200">
        <f>Table2[[#This Row],[Quotas]]-Table2[[#This Row],[Open Quotas]]</f>
        <v>6</v>
      </c>
      <c r="Y350" s="200">
        <v>0</v>
      </c>
      <c r="Z350" s="201">
        <v>5</v>
      </c>
      <c r="AA350" s="201">
        <v>0</v>
      </c>
      <c r="AB350" s="200">
        <v>2</v>
      </c>
      <c r="AC350" s="200">
        <v>1</v>
      </c>
      <c r="AD350" s="200">
        <v>0</v>
      </c>
      <c r="AE350" s="200" t="s">
        <v>428</v>
      </c>
      <c r="AF350" s="495">
        <f ca="1">Table2[[#This Row],[End Date]]+2-TODAY()</f>
        <v>-114</v>
      </c>
      <c r="AG350" s="496">
        <f>IF(ISBLANK(Table2[[#This Row],[Roster Received by]]),1,0)</f>
        <v>0</v>
      </c>
      <c r="AH350" s="496">
        <f ca="1">IF(Table2[[#This Row],[Start Date]]&gt;TODAY(),1,)</f>
        <v>0</v>
      </c>
      <c r="AI350" s="496">
        <f>IF(ISBLANK(Table2[[#This Row],[Primary Instructor]]),0,1)</f>
        <v>1</v>
      </c>
      <c r="AJ350" s="496">
        <f>IF(ISBLANK(Table2[[#This Row],[Instructor 2]]),0,1)</f>
        <v>0</v>
      </c>
      <c r="AK350" s="496">
        <f>Table2[[#This Row],[Course Length (Hours)]]/(Table2[[#This Row],[1 Instructor]]+Table2[[#This Row],[2 Instructors]])</f>
        <v>8</v>
      </c>
      <c r="AL350" s="318">
        <v>24</v>
      </c>
      <c r="AM350" s="496">
        <v>3</v>
      </c>
      <c r="AN350" s="496" t="str">
        <f>VLOOKUP(Table2[[#This Row],[Course Title]],'TSD-Data'!$A$1:$G$83,7,FALSE)</f>
        <v>N4</v>
      </c>
      <c r="AO350" s="500">
        <f>Table2[[#This Row],[Quotas]]-Table2[[#This Row],[Graduates]]-Table2[[#This Row],[Fail]]</f>
        <v>25</v>
      </c>
    </row>
    <row r="351" spans="2:41" s="202" customFormat="1" ht="15" customHeight="1" x14ac:dyDescent="0.25">
      <c r="B351" s="530"/>
      <c r="C351" s="530" t="s">
        <v>403</v>
      </c>
      <c r="D351" s="200" t="str">
        <f>VLOOKUP(Table2[[#This Row],[Course Title]],'TSD-Data'!$A$1:$E$83,2,FALSE)</f>
        <v>A-493-3013</v>
      </c>
      <c r="E351" s="200" t="str">
        <f>VLOOKUP(Table2[[#This Row],[Course Title]],'TSD-Data'!$A$1:$E$83,3,FALSE)</f>
        <v>31YG</v>
      </c>
      <c r="F351" s="530" t="s">
        <v>54</v>
      </c>
      <c r="G351" s="531">
        <v>46128</v>
      </c>
      <c r="H351" s="531">
        <v>46128</v>
      </c>
      <c r="I351" s="531" t="s">
        <v>42</v>
      </c>
      <c r="J351" s="532"/>
      <c r="K351" s="563">
        <v>0.4375</v>
      </c>
      <c r="L351" s="532">
        <v>0.3125</v>
      </c>
      <c r="M351" s="532">
        <v>0.72916666666666663</v>
      </c>
      <c r="N351" s="532">
        <v>0.6875</v>
      </c>
      <c r="O351" s="532">
        <v>0.22916666666666666</v>
      </c>
      <c r="P351" s="532">
        <v>0.97916666666666663</v>
      </c>
      <c r="Q351" s="535" t="s">
        <v>445</v>
      </c>
      <c r="R351" s="535"/>
      <c r="S351" s="535"/>
      <c r="T351" s="200">
        <f>VLOOKUP(Table2[[#This Row],[Course Title]],'TSD-Data'!$A$1:$E$83,4,FALSE)</f>
        <v>1000</v>
      </c>
      <c r="U351" s="200">
        <f>VLOOKUP(Table2[[#This Row],[Course Title]],'TSD-Data'!$A$1:$F$83,6,FALSE)</f>
        <v>2</v>
      </c>
      <c r="V351" s="201">
        <f>VLOOKUP(Table2[[#This Row],[Course Title]],'TSD-Data'!$A$1:$F$83,5,FALSE)</f>
        <v>0.25</v>
      </c>
      <c r="W351" s="201"/>
      <c r="X351" s="200">
        <f>Table2[[#This Row],[Quotas]]-Table2[[#This Row],[Open Quotas]]</f>
        <v>54</v>
      </c>
      <c r="Y351" s="200">
        <v>0</v>
      </c>
      <c r="Z351" s="201">
        <v>18</v>
      </c>
      <c r="AA351" s="201">
        <v>0</v>
      </c>
      <c r="AB351" s="200">
        <v>0</v>
      </c>
      <c r="AC351" s="200">
        <v>0</v>
      </c>
      <c r="AD351" s="200">
        <v>0</v>
      </c>
      <c r="AE351" s="200" t="s">
        <v>442</v>
      </c>
      <c r="AF351" s="495">
        <f ca="1">Table2[[#This Row],[End Date]]+2-TODAY()</f>
        <v>-114</v>
      </c>
      <c r="AG351" s="496">
        <f>IF(ISBLANK(Table2[[#This Row],[Roster Received by]]),1,0)</f>
        <v>0</v>
      </c>
      <c r="AH351" s="496">
        <f ca="1">IF(Table2[[#This Row],[Start Date]]&gt;TODAY(),1,)</f>
        <v>0</v>
      </c>
      <c r="AI351" s="496">
        <f>IF(ISBLANK(Table2[[#This Row],[Primary Instructor]]),0,1)</f>
        <v>1</v>
      </c>
      <c r="AJ351" s="496">
        <f>IF(ISBLANK(Table2[[#This Row],[Instructor 2]]),0,1)</f>
        <v>0</v>
      </c>
      <c r="AK351" s="496">
        <f>AJ685</f>
        <v>0</v>
      </c>
      <c r="AL351" s="318">
        <v>946</v>
      </c>
      <c r="AM351" s="501">
        <v>3</v>
      </c>
      <c r="AN351" s="496" t="str">
        <f>VLOOKUP(Table2[[#This Row],[Course Title]],'TSD-Data'!$A$1:$G$83,7,FALSE)</f>
        <v>N8-RMI</v>
      </c>
      <c r="AO351" s="500">
        <f>Table2[[#This Row],[Quotas]]-Table2[[#This Row],[Graduates]]-Table2[[#This Row],[Fail]]</f>
        <v>982</v>
      </c>
    </row>
    <row r="352" spans="2:41" s="202" customFormat="1" ht="15" customHeight="1" x14ac:dyDescent="0.25">
      <c r="B352" s="530"/>
      <c r="C352" s="530" t="s">
        <v>404</v>
      </c>
      <c r="D352" s="200" t="str">
        <f>VLOOKUP(Table2[[#This Row],[Course Title]],'TSD-Data'!$A$1:$E$83,2,FALSE)</f>
        <v>A-493-3014</v>
      </c>
      <c r="E352" s="200" t="str">
        <f>VLOOKUP(Table2[[#This Row],[Course Title]],'TSD-Data'!$A$1:$E$83,3,FALSE)</f>
        <v>31Yh</v>
      </c>
      <c r="F352" s="530" t="s">
        <v>54</v>
      </c>
      <c r="G352" s="531">
        <v>46128</v>
      </c>
      <c r="H352" s="531">
        <v>46128</v>
      </c>
      <c r="I352" s="531" t="s">
        <v>42</v>
      </c>
      <c r="J352" s="532"/>
      <c r="K352" s="563">
        <v>0.52083333333333337</v>
      </c>
      <c r="L352" s="532">
        <v>0.39583333333333331</v>
      </c>
      <c r="M352" s="532">
        <v>0.8125</v>
      </c>
      <c r="N352" s="532">
        <v>0.77083333333333337</v>
      </c>
      <c r="O352" s="532">
        <v>0.3125</v>
      </c>
      <c r="P352" s="532">
        <v>6.25E-2</v>
      </c>
      <c r="Q352" s="535" t="s">
        <v>445</v>
      </c>
      <c r="R352" s="535"/>
      <c r="S352" s="535"/>
      <c r="T352" s="200">
        <f>VLOOKUP(Table2[[#This Row],[Course Title]],'TSD-Data'!$A$1:$E$83,4,FALSE)</f>
        <v>1000</v>
      </c>
      <c r="U352" s="200">
        <f>VLOOKUP(Table2[[#This Row],[Course Title]],'TSD-Data'!$A$1:$F$83,6,FALSE)</f>
        <v>1.5</v>
      </c>
      <c r="V352" s="201">
        <f>VLOOKUP(Table2[[#This Row],[Course Title]],'TSD-Data'!$A$1:$F$83,5,FALSE)</f>
        <v>0.1</v>
      </c>
      <c r="W352" s="201"/>
      <c r="X352" s="200">
        <f>Table2[[#This Row],[Quotas]]-Table2[[#This Row],[Open Quotas]]</f>
        <v>54</v>
      </c>
      <c r="Y352" s="200">
        <v>0</v>
      </c>
      <c r="Z352" s="201">
        <v>14</v>
      </c>
      <c r="AA352" s="201">
        <v>0</v>
      </c>
      <c r="AB352" s="200">
        <v>0</v>
      </c>
      <c r="AC352" s="200">
        <v>0</v>
      </c>
      <c r="AD352" s="200">
        <v>0</v>
      </c>
      <c r="AE352" s="200" t="s">
        <v>442</v>
      </c>
      <c r="AF352" s="495">
        <f ca="1">Table2[[#This Row],[End Date]]+2-TODAY()</f>
        <v>-114</v>
      </c>
      <c r="AG352" s="496">
        <f>IF(ISBLANK(Table2[[#This Row],[Roster Received by]]),1,0)</f>
        <v>0</v>
      </c>
      <c r="AH352" s="496">
        <f ca="1">IF(Table2[[#This Row],[Start Date]]&gt;TODAY(),1,)</f>
        <v>0</v>
      </c>
      <c r="AI352" s="496">
        <f>IF(ISBLANK(Table2[[#This Row],[Primary Instructor]]),0,1)</f>
        <v>1</v>
      </c>
      <c r="AJ352" s="496">
        <f>IF(ISBLANK(Table2[[#This Row],[Instructor 2]]),0,1)</f>
        <v>0</v>
      </c>
      <c r="AK352" s="496">
        <f>AJ686</f>
        <v>0</v>
      </c>
      <c r="AL352" s="318">
        <v>946</v>
      </c>
      <c r="AM352" s="501">
        <v>3</v>
      </c>
      <c r="AN352" s="496" t="str">
        <f>VLOOKUP(Table2[[#This Row],[Course Title]],'TSD-Data'!$A$1:$G$83,7,FALSE)</f>
        <v>N8-RMI</v>
      </c>
      <c r="AO352" s="500">
        <f>Table2[[#This Row],[Quotas]]-Table2[[#This Row],[Graduates]]-Table2[[#This Row],[Fail]]</f>
        <v>986</v>
      </c>
    </row>
    <row r="353" spans="2:41" s="202" customFormat="1" ht="15" customHeight="1" x14ac:dyDescent="0.25">
      <c r="B353" s="530"/>
      <c r="C353" s="530" t="s">
        <v>405</v>
      </c>
      <c r="D353" s="200" t="str">
        <f>VLOOKUP(Table2[[#This Row],[Course Title]],'TSD-Data'!$A$1:$E$83,2,FALSE)</f>
        <v>A-493-3015</v>
      </c>
      <c r="E353" s="200" t="str">
        <f>VLOOKUP(Table2[[#This Row],[Course Title]],'TSD-Data'!$A$1:$E$83,3,FALSE)</f>
        <v>31YJ</v>
      </c>
      <c r="F353" s="530" t="s">
        <v>54</v>
      </c>
      <c r="G353" s="531">
        <v>46128</v>
      </c>
      <c r="H353" s="531">
        <v>46128</v>
      </c>
      <c r="I353" s="531" t="s">
        <v>42</v>
      </c>
      <c r="J353" s="532"/>
      <c r="K353" s="563">
        <v>0.33333333333333331</v>
      </c>
      <c r="L353" s="532">
        <v>0.20833333333333334</v>
      </c>
      <c r="M353" s="532">
        <v>0.625</v>
      </c>
      <c r="N353" s="532">
        <v>0.58333333333333337</v>
      </c>
      <c r="O353" s="532">
        <v>0.125</v>
      </c>
      <c r="P353" s="532">
        <v>0.875</v>
      </c>
      <c r="Q353" s="535" t="s">
        <v>445</v>
      </c>
      <c r="R353" s="535"/>
      <c r="S353" s="535"/>
      <c r="T353" s="200">
        <f>VLOOKUP(Table2[[#This Row],[Course Title]],'TSD-Data'!$A$1:$E$83,4,FALSE)</f>
        <v>1000</v>
      </c>
      <c r="U353" s="200">
        <f>VLOOKUP(Table2[[#This Row],[Course Title]],'TSD-Data'!$A$1:$F$83,6,FALSE)</f>
        <v>1.5</v>
      </c>
      <c r="V353" s="201">
        <f>VLOOKUP(Table2[[#This Row],[Course Title]],'TSD-Data'!$A$1:$F$83,5,FALSE)</f>
        <v>0.1</v>
      </c>
      <c r="W353" s="201"/>
      <c r="X353" s="200">
        <f>Table2[[#This Row],[Quotas]]-Table2[[#This Row],[Open Quotas]]</f>
        <v>54</v>
      </c>
      <c r="Y353" s="200">
        <v>0</v>
      </c>
      <c r="Z353" s="201">
        <v>18</v>
      </c>
      <c r="AA353" s="201">
        <v>0</v>
      </c>
      <c r="AB353" s="200">
        <v>0</v>
      </c>
      <c r="AC353" s="200">
        <v>0</v>
      </c>
      <c r="AD353" s="200">
        <v>0</v>
      </c>
      <c r="AE353" s="200" t="s">
        <v>442</v>
      </c>
      <c r="AF353" s="495">
        <f ca="1">Table2[[#This Row],[End Date]]+2-TODAY()</f>
        <v>-114</v>
      </c>
      <c r="AG353" s="496">
        <f>IF(ISBLANK(Table2[[#This Row],[Roster Received by]]),1,0)</f>
        <v>0</v>
      </c>
      <c r="AH353" s="496">
        <f ca="1">IF(Table2[[#This Row],[Start Date]]&gt;TODAY(),1,)</f>
        <v>0</v>
      </c>
      <c r="AI353" s="496">
        <f>IF(ISBLANK(Table2[[#This Row],[Primary Instructor]]),0,1)</f>
        <v>1</v>
      </c>
      <c r="AJ353" s="496">
        <f>IF(ISBLANK(Table2[[#This Row],[Instructor 2]]),0,1)</f>
        <v>0</v>
      </c>
      <c r="AK353" s="496">
        <f>AJ687</f>
        <v>0</v>
      </c>
      <c r="AL353" s="318">
        <v>946</v>
      </c>
      <c r="AM353" s="501">
        <v>3</v>
      </c>
      <c r="AN353" s="496" t="str">
        <f>VLOOKUP(Table2[[#This Row],[Course Title]],'TSD-Data'!$A$1:$G$83,7,FALSE)</f>
        <v>N8-RMI</v>
      </c>
      <c r="AO353" s="500">
        <f>Table2[[#This Row],[Quotas]]-Table2[[#This Row],[Graduates]]-Table2[[#This Row],[Fail]]</f>
        <v>982</v>
      </c>
    </row>
    <row r="354" spans="2:41" s="202" customFormat="1" ht="15" customHeight="1" x14ac:dyDescent="0.25">
      <c r="B354" s="530"/>
      <c r="C354" s="530" t="s">
        <v>406</v>
      </c>
      <c r="D354" s="200" t="str">
        <f>VLOOKUP(Table2[[#This Row],[Course Title]],'TSD-Data'!$A$1:$E$83,2,FALSE)</f>
        <v>A-493-3016</v>
      </c>
      <c r="E354" s="200" t="str">
        <f>VLOOKUP(Table2[[#This Row],[Course Title]],'TSD-Data'!$A$1:$E$83,3,FALSE)</f>
        <v>31Yk</v>
      </c>
      <c r="F354" s="530" t="s">
        <v>54</v>
      </c>
      <c r="G354" s="531">
        <v>46128</v>
      </c>
      <c r="H354" s="531">
        <v>46128</v>
      </c>
      <c r="I354" s="531" t="s">
        <v>42</v>
      </c>
      <c r="J354" s="532"/>
      <c r="K354" s="563">
        <v>0.60416666666666663</v>
      </c>
      <c r="L354" s="532">
        <v>0.47916666666666669</v>
      </c>
      <c r="M354" s="532">
        <v>0.89583333333333337</v>
      </c>
      <c r="N354" s="532">
        <v>0.85416666666666663</v>
      </c>
      <c r="O354" s="532">
        <v>0.39583333333333331</v>
      </c>
      <c r="P354" s="532">
        <v>0.125</v>
      </c>
      <c r="Q354" s="535" t="s">
        <v>445</v>
      </c>
      <c r="R354" s="535"/>
      <c r="S354" s="535"/>
      <c r="T354" s="200">
        <f>VLOOKUP(Table2[[#This Row],[Course Title]],'TSD-Data'!$A$1:$E$83,4,FALSE)</f>
        <v>1000</v>
      </c>
      <c r="U354" s="200">
        <f>VLOOKUP(Table2[[#This Row],[Course Title]],'TSD-Data'!$A$1:$F$83,6,FALSE)</f>
        <v>1.5</v>
      </c>
      <c r="V354" s="201">
        <f>VLOOKUP(Table2[[#This Row],[Course Title]],'TSD-Data'!$A$1:$F$83,5,FALSE)</f>
        <v>0.1</v>
      </c>
      <c r="W354" s="201"/>
      <c r="X354" s="200">
        <f>Table2[[#This Row],[Quotas]]-Table2[[#This Row],[Open Quotas]]</f>
        <v>54</v>
      </c>
      <c r="Y354" s="200">
        <v>0</v>
      </c>
      <c r="Z354" s="201">
        <v>17</v>
      </c>
      <c r="AA354" s="201">
        <v>0</v>
      </c>
      <c r="AB354" s="200">
        <v>0</v>
      </c>
      <c r="AC354" s="200">
        <v>0</v>
      </c>
      <c r="AD354" s="200">
        <v>0</v>
      </c>
      <c r="AE354" s="200" t="s">
        <v>442</v>
      </c>
      <c r="AF354" s="495">
        <f ca="1">Table2[[#This Row],[End Date]]+2-TODAY()</f>
        <v>-114</v>
      </c>
      <c r="AG354" s="496">
        <f>IF(ISBLANK(Table2[[#This Row],[Roster Received by]]),1,0)</f>
        <v>0</v>
      </c>
      <c r="AH354" s="496">
        <f ca="1">IF(Table2[[#This Row],[Start Date]]&gt;TODAY(),1,)</f>
        <v>0</v>
      </c>
      <c r="AI354" s="496">
        <f>IF(ISBLANK(Table2[[#This Row],[Primary Instructor]]),0,1)</f>
        <v>1</v>
      </c>
      <c r="AJ354" s="496">
        <f>IF(ISBLANK(Table2[[#This Row],[Instructor 2]]),0,1)</f>
        <v>0</v>
      </c>
      <c r="AK354" s="496">
        <f>AJ691</f>
        <v>0</v>
      </c>
      <c r="AL354" s="318">
        <v>946</v>
      </c>
      <c r="AM354" s="501">
        <v>3</v>
      </c>
      <c r="AN354" s="496" t="str">
        <f>VLOOKUP(Table2[[#This Row],[Course Title]],'TSD-Data'!$A$1:$G$83,7,FALSE)</f>
        <v>N8-RMI</v>
      </c>
      <c r="AO354" s="500">
        <f>Table2[[#This Row],[Quotas]]-Table2[[#This Row],[Graduates]]-Table2[[#This Row],[Fail]]</f>
        <v>983</v>
      </c>
    </row>
    <row r="355" spans="2:41" s="202" customFormat="1" ht="15" customHeight="1" x14ac:dyDescent="0.25">
      <c r="B355" s="530"/>
      <c r="C355" s="530" t="s">
        <v>397</v>
      </c>
      <c r="D355" s="200" t="str">
        <f>VLOOKUP(Table2[[#This Row],[Course Title]],'TSD-Data'!$A$1:$E$83,2,FALSE)</f>
        <v>A-493-3005</v>
      </c>
      <c r="E355" s="200" t="str">
        <f>VLOOKUP(Table2[[#This Row],[Course Title]],'TSD-Data'!$A$1:$E$83,3,FALSE)</f>
        <v>31V7</v>
      </c>
      <c r="F355" s="530" t="s">
        <v>54</v>
      </c>
      <c r="G355" s="531">
        <v>46129</v>
      </c>
      <c r="H355" s="531">
        <v>46129</v>
      </c>
      <c r="I355" s="531" t="s">
        <v>42</v>
      </c>
      <c r="J355" s="532"/>
      <c r="K355" s="563">
        <v>0.48958333333333331</v>
      </c>
      <c r="L355" s="532">
        <v>0.36458333333333331</v>
      </c>
      <c r="M355" s="532">
        <v>0.78125</v>
      </c>
      <c r="N355" s="532">
        <v>0.73958333333333337</v>
      </c>
      <c r="O355" s="532">
        <v>0.28125</v>
      </c>
      <c r="P355" s="532">
        <v>3.125E-2</v>
      </c>
      <c r="Q355" s="535" t="s">
        <v>445</v>
      </c>
      <c r="R355" s="535"/>
      <c r="S355" s="535"/>
      <c r="T355" s="200">
        <f>VLOOKUP(Table2[[#This Row],[Course Title]],'TSD-Data'!$A$1:$E$83,4,FALSE)</f>
        <v>1000</v>
      </c>
      <c r="U355" s="200">
        <f>VLOOKUP(Table2[[#This Row],[Course Title]],'TSD-Data'!$A$1:$F$83,6,FALSE)</f>
        <v>2</v>
      </c>
      <c r="V355" s="201">
        <f>VLOOKUP(Table2[[#This Row],[Course Title]],'TSD-Data'!$A$1:$F$83,5,FALSE)</f>
        <v>0.25</v>
      </c>
      <c r="W355" s="201"/>
      <c r="X355" s="200">
        <f>Table2[[#This Row],[Quotas]]-Table2[[#This Row],[Open Quotas]]</f>
        <v>54</v>
      </c>
      <c r="Y355" s="200">
        <v>0</v>
      </c>
      <c r="Z355" s="201">
        <v>20</v>
      </c>
      <c r="AA355" s="201">
        <v>0</v>
      </c>
      <c r="AB355" s="200">
        <v>0</v>
      </c>
      <c r="AC355" s="200">
        <v>0</v>
      </c>
      <c r="AD355" s="200">
        <v>0</v>
      </c>
      <c r="AE355" s="200" t="s">
        <v>442</v>
      </c>
      <c r="AF355" s="495">
        <f ca="1">Table2[[#This Row],[End Date]]+2-TODAY()</f>
        <v>-113</v>
      </c>
      <c r="AG355" s="496">
        <f>IF(ISBLANK(Table2[[#This Row],[Roster Received by]]),1,0)</f>
        <v>0</v>
      </c>
      <c r="AH355" s="496">
        <f ca="1">IF(Table2[[#This Row],[Start Date]]&gt;TODAY(),1,)</f>
        <v>0</v>
      </c>
      <c r="AI355" s="496">
        <f>IF(ISBLANK(Table2[[#This Row],[Primary Instructor]]),0,1)</f>
        <v>1</v>
      </c>
      <c r="AJ355" s="496">
        <f>IF(ISBLANK(Table2[[#This Row],[Instructor 2]]),0,1)</f>
        <v>0</v>
      </c>
      <c r="AK355" s="496">
        <f>AJ685</f>
        <v>0</v>
      </c>
      <c r="AL355" s="318">
        <v>946</v>
      </c>
      <c r="AM355" s="501">
        <v>3</v>
      </c>
      <c r="AN355" s="496" t="str">
        <f>VLOOKUP(Table2[[#This Row],[Course Title]],'TSD-Data'!$A$1:$G$83,7,FALSE)</f>
        <v>N8-RMI</v>
      </c>
      <c r="AO355" s="500">
        <f>Table2[[#This Row],[Quotas]]-Table2[[#This Row],[Graduates]]-Table2[[#This Row],[Fail]]</f>
        <v>980</v>
      </c>
    </row>
    <row r="356" spans="2:41" s="202" customFormat="1" ht="15" customHeight="1" x14ac:dyDescent="0.25">
      <c r="B356" s="530"/>
      <c r="C356" s="530" t="s">
        <v>402</v>
      </c>
      <c r="D356" s="200" t="str">
        <f>VLOOKUP(Table2[[#This Row],[Course Title]],'TSD-Data'!$A$1:$E$83,2,FALSE)</f>
        <v>A-493-3017</v>
      </c>
      <c r="E356" s="200" t="str">
        <f>VLOOKUP(Table2[[#This Row],[Course Title]],'TSD-Data'!$A$1:$E$83,3,FALSE)</f>
        <v>31YL</v>
      </c>
      <c r="F356" s="530" t="s">
        <v>54</v>
      </c>
      <c r="G356" s="531">
        <v>46129</v>
      </c>
      <c r="H356" s="531">
        <v>46129</v>
      </c>
      <c r="I356" s="531" t="s">
        <v>42</v>
      </c>
      <c r="J356" s="532"/>
      <c r="K356" s="563">
        <v>0.53125</v>
      </c>
      <c r="L356" s="532">
        <v>0.40625</v>
      </c>
      <c r="M356" s="532">
        <v>0.82291666666666663</v>
      </c>
      <c r="N356" s="532">
        <v>0.78125</v>
      </c>
      <c r="O356" s="532">
        <v>0.32291666666666669</v>
      </c>
      <c r="P356" s="532">
        <v>7.2916666666666671E-2</v>
      </c>
      <c r="Q356" s="535" t="s">
        <v>445</v>
      </c>
      <c r="R356" s="535"/>
      <c r="S356" s="535"/>
      <c r="T356" s="200">
        <f>VLOOKUP(Table2[[#This Row],[Course Title]],'TSD-Data'!$A$1:$E$83,4,FALSE)</f>
        <v>1000</v>
      </c>
      <c r="U356" s="200">
        <f>VLOOKUP(Table2[[#This Row],[Course Title]],'TSD-Data'!$A$1:$F$83,6,FALSE)</f>
        <v>1.5</v>
      </c>
      <c r="V356" s="201">
        <f>VLOOKUP(Table2[[#This Row],[Course Title]],'TSD-Data'!$A$1:$F$83,5,FALSE)</f>
        <v>0.1</v>
      </c>
      <c r="W356" s="201"/>
      <c r="X356" s="200">
        <f>Table2[[#This Row],[Quotas]]-Table2[[#This Row],[Open Quotas]]</f>
        <v>54</v>
      </c>
      <c r="Y356" s="200">
        <v>0</v>
      </c>
      <c r="Z356" s="201">
        <v>17</v>
      </c>
      <c r="AA356" s="201">
        <v>0</v>
      </c>
      <c r="AB356" s="200">
        <v>0</v>
      </c>
      <c r="AC356" s="200">
        <v>0</v>
      </c>
      <c r="AD356" s="200">
        <v>0</v>
      </c>
      <c r="AE356" s="200" t="s">
        <v>442</v>
      </c>
      <c r="AF356" s="495">
        <f ca="1">Table2[[#This Row],[End Date]]+2-TODAY()</f>
        <v>-113</v>
      </c>
      <c r="AG356" s="496">
        <f>IF(ISBLANK(Table2[[#This Row],[Roster Received by]]),1,0)</f>
        <v>0</v>
      </c>
      <c r="AH356" s="496">
        <f ca="1">IF(Table2[[#This Row],[Start Date]]&gt;TODAY(),1,)</f>
        <v>0</v>
      </c>
      <c r="AI356" s="496">
        <f>IF(ISBLANK(Table2[[#This Row],[Primary Instructor]]),0,1)</f>
        <v>1</v>
      </c>
      <c r="AJ356" s="496">
        <f>IF(ISBLANK(Table2[[#This Row],[Instructor 2]]),0,1)</f>
        <v>0</v>
      </c>
      <c r="AK356" s="496">
        <f>AJ686</f>
        <v>0</v>
      </c>
      <c r="AL356" s="318">
        <v>946</v>
      </c>
      <c r="AM356" s="501">
        <v>3</v>
      </c>
      <c r="AN356" s="496" t="str">
        <f>VLOOKUP(Table2[[#This Row],[Course Title]],'TSD-Data'!$A$1:$G$83,7,FALSE)</f>
        <v>N8-RMI</v>
      </c>
      <c r="AO356" s="500">
        <f>Table2[[#This Row],[Quotas]]-Table2[[#This Row],[Graduates]]-Table2[[#This Row],[Fail]]</f>
        <v>983</v>
      </c>
    </row>
    <row r="357" spans="2:41" s="202" customFormat="1" ht="15" customHeight="1" x14ac:dyDescent="0.25">
      <c r="B357" s="530"/>
      <c r="C357" s="530" t="s">
        <v>408</v>
      </c>
      <c r="D357" s="200" t="str">
        <f>VLOOKUP(Table2[[#This Row],[Course Title]],'TSD-Data'!$A$1:$E$83,2,FALSE)</f>
        <v>A-493-3008</v>
      </c>
      <c r="E357" s="200" t="str">
        <f>VLOOKUP(Table2[[#This Row],[Course Title]],'TSD-Data'!$A$1:$E$83,3,FALSE)</f>
        <v>31VA</v>
      </c>
      <c r="F357" s="530" t="s">
        <v>54</v>
      </c>
      <c r="G357" s="531">
        <v>46129</v>
      </c>
      <c r="H357" s="531">
        <v>46129</v>
      </c>
      <c r="I357" s="531" t="s">
        <v>42</v>
      </c>
      <c r="J357" s="532"/>
      <c r="K357" s="563">
        <v>0.375</v>
      </c>
      <c r="L357" s="532">
        <v>0.25</v>
      </c>
      <c r="M357" s="532">
        <v>0.66666666666666663</v>
      </c>
      <c r="N357" s="532">
        <v>0.625</v>
      </c>
      <c r="O357" s="532">
        <v>0.16666666666666666</v>
      </c>
      <c r="P357" s="532">
        <v>0.91666666666666663</v>
      </c>
      <c r="Q357" s="535" t="s">
        <v>445</v>
      </c>
      <c r="R357" s="535"/>
      <c r="S357" s="535"/>
      <c r="T357" s="200">
        <f>VLOOKUP(Table2[[#This Row],[Course Title]],'TSD-Data'!$A$1:$E$83,4,FALSE)</f>
        <v>1000</v>
      </c>
      <c r="U357" s="200">
        <f>VLOOKUP(Table2[[#This Row],[Course Title]],'TSD-Data'!$A$1:$F$83,6,FALSE)</f>
        <v>1.5</v>
      </c>
      <c r="V357" s="201">
        <f>VLOOKUP(Table2[[#This Row],[Course Title]],'TSD-Data'!$A$1:$F$83,5,FALSE)</f>
        <v>0.1</v>
      </c>
      <c r="W357" s="201"/>
      <c r="X357" s="200">
        <f>Table2[[#This Row],[Quotas]]-Table2[[#This Row],[Open Quotas]]</f>
        <v>54</v>
      </c>
      <c r="Y357" s="200">
        <v>0</v>
      </c>
      <c r="Z357" s="201">
        <v>18</v>
      </c>
      <c r="AA357" s="201">
        <v>0</v>
      </c>
      <c r="AB357" s="200">
        <v>0</v>
      </c>
      <c r="AC357" s="200">
        <v>0</v>
      </c>
      <c r="AD357" s="200">
        <v>0</v>
      </c>
      <c r="AE357" s="200" t="s">
        <v>442</v>
      </c>
      <c r="AF357" s="495">
        <f ca="1">Table2[[#This Row],[End Date]]+2-TODAY()</f>
        <v>-113</v>
      </c>
      <c r="AG357" s="496">
        <f>IF(ISBLANK(Table2[[#This Row],[Roster Received by]]),1,0)</f>
        <v>0</v>
      </c>
      <c r="AH357" s="496">
        <f ca="1">IF(Table2[[#This Row],[Start Date]]&gt;TODAY(),1,)</f>
        <v>0</v>
      </c>
      <c r="AI357" s="496">
        <f>IF(ISBLANK(Table2[[#This Row],[Primary Instructor]]),0,1)</f>
        <v>1</v>
      </c>
      <c r="AJ357" s="496">
        <f>IF(ISBLANK(Table2[[#This Row],[Instructor 2]]),0,1)</f>
        <v>0</v>
      </c>
      <c r="AK357" s="496">
        <f>AJ687</f>
        <v>0</v>
      </c>
      <c r="AL357" s="318">
        <v>946</v>
      </c>
      <c r="AM357" s="501">
        <v>3</v>
      </c>
      <c r="AN357" s="496" t="str">
        <f>VLOOKUP(Table2[[#This Row],[Course Title]],'TSD-Data'!$A$1:$G$83,7,FALSE)</f>
        <v>N8-RMI</v>
      </c>
      <c r="AO357" s="500">
        <f>Table2[[#This Row],[Quotas]]-Table2[[#This Row],[Graduates]]-Table2[[#This Row],[Fail]]</f>
        <v>982</v>
      </c>
    </row>
    <row r="358" spans="2:41" s="202" customFormat="1" ht="15" customHeight="1" x14ac:dyDescent="0.25">
      <c r="B358" s="530"/>
      <c r="C358" s="530" t="s">
        <v>411</v>
      </c>
      <c r="D358" s="200" t="str">
        <f>VLOOKUP(Table2[[#This Row],[Course Title]],'TSD-Data'!$A$1:$E$83,2,FALSE)</f>
        <v>A-493-3012</v>
      </c>
      <c r="E358" s="200" t="str">
        <f>VLOOKUP(Table2[[#This Row],[Course Title]],'TSD-Data'!$A$1:$E$83,3,FALSE)</f>
        <v>31YF</v>
      </c>
      <c r="F358" s="530" t="s">
        <v>54</v>
      </c>
      <c r="G358" s="531">
        <v>46129</v>
      </c>
      <c r="H358" s="531">
        <v>46129</v>
      </c>
      <c r="I358" s="531" t="s">
        <v>42</v>
      </c>
      <c r="J358" s="532"/>
      <c r="K358" s="563">
        <v>0.33333333333333331</v>
      </c>
      <c r="L358" s="532">
        <v>0.20833333333333334</v>
      </c>
      <c r="M358" s="532">
        <v>0.625</v>
      </c>
      <c r="N358" s="532">
        <v>0.58333333333333337</v>
      </c>
      <c r="O358" s="532">
        <v>0.125</v>
      </c>
      <c r="P358" s="532">
        <v>0.875</v>
      </c>
      <c r="Q358" s="535" t="s">
        <v>445</v>
      </c>
      <c r="R358" s="535"/>
      <c r="S358" s="535"/>
      <c r="T358" s="200">
        <f>VLOOKUP(Table2[[#This Row],[Course Title]],'TSD-Data'!$A$1:$E$83,4,FALSE)</f>
        <v>1000</v>
      </c>
      <c r="U358" s="200">
        <f>VLOOKUP(Table2[[#This Row],[Course Title]],'TSD-Data'!$A$1:$F$83,6,FALSE)</f>
        <v>1</v>
      </c>
      <c r="V358" s="201">
        <f>VLOOKUP(Table2[[#This Row],[Course Title]],'TSD-Data'!$A$1:$F$83,5,FALSE)</f>
        <v>0.1</v>
      </c>
      <c r="W358" s="201"/>
      <c r="X358" s="200">
        <f>Table2[[#This Row],[Quotas]]-Table2[[#This Row],[Open Quotas]]</f>
        <v>54</v>
      </c>
      <c r="Y358" s="200">
        <v>0</v>
      </c>
      <c r="Z358" s="201">
        <v>17</v>
      </c>
      <c r="AA358" s="201">
        <v>0</v>
      </c>
      <c r="AB358" s="200">
        <v>0</v>
      </c>
      <c r="AC358" s="200">
        <v>0</v>
      </c>
      <c r="AD358" s="200">
        <v>0</v>
      </c>
      <c r="AE358" s="200" t="s">
        <v>442</v>
      </c>
      <c r="AF358" s="495">
        <f ca="1">Table2[[#This Row],[End Date]]+2-TODAY()</f>
        <v>-113</v>
      </c>
      <c r="AG358" s="496">
        <f>IF(ISBLANK(Table2[[#This Row],[Roster Received by]]),1,0)</f>
        <v>0</v>
      </c>
      <c r="AH358" s="496">
        <f ca="1">IF(Table2[[#This Row],[Start Date]]&gt;TODAY(),1,)</f>
        <v>0</v>
      </c>
      <c r="AI358" s="496">
        <f>IF(ISBLANK(Table2[[#This Row],[Primary Instructor]]),0,1)</f>
        <v>1</v>
      </c>
      <c r="AJ358" s="496">
        <f>IF(ISBLANK(Table2[[#This Row],[Instructor 2]]),0,1)</f>
        <v>0</v>
      </c>
      <c r="AK358" s="496">
        <f>AJ688</f>
        <v>0</v>
      </c>
      <c r="AL358" s="318">
        <v>946</v>
      </c>
      <c r="AM358" s="501">
        <v>3</v>
      </c>
      <c r="AN358" s="496" t="str">
        <f>VLOOKUP(Table2[[#This Row],[Course Title]],'TSD-Data'!$A$1:$G$83,7,FALSE)</f>
        <v>N8-RMI</v>
      </c>
      <c r="AO358" s="500">
        <f>Table2[[#This Row],[Quotas]]-Table2[[#This Row],[Graduates]]-Table2[[#This Row],[Fail]]</f>
        <v>983</v>
      </c>
    </row>
    <row r="359" spans="2:41" s="202" customFormat="1" ht="15" customHeight="1" x14ac:dyDescent="0.25">
      <c r="B359" s="530"/>
      <c r="C359" s="530" t="s">
        <v>412</v>
      </c>
      <c r="D359" s="200" t="str">
        <f>VLOOKUP(Table2[[#This Row],[Course Title]],'TSD-Data'!$A$1:$E$83,2,FALSE)</f>
        <v>A-493-3009</v>
      </c>
      <c r="E359" s="200" t="str">
        <f>VLOOKUP(Table2[[#This Row],[Course Title]],'TSD-Data'!$A$1:$E$83,3,FALSE)</f>
        <v>31VB</v>
      </c>
      <c r="F359" s="530" t="s">
        <v>54</v>
      </c>
      <c r="G359" s="531">
        <v>46129</v>
      </c>
      <c r="H359" s="531">
        <v>46129</v>
      </c>
      <c r="I359" s="531" t="s">
        <v>42</v>
      </c>
      <c r="J359" s="532"/>
      <c r="K359" s="563">
        <v>0.4375</v>
      </c>
      <c r="L359" s="532">
        <v>0.3125</v>
      </c>
      <c r="M359" s="532">
        <v>0.72916666666666663</v>
      </c>
      <c r="N359" s="532">
        <v>0.6875</v>
      </c>
      <c r="O359" s="532">
        <v>0.22916666666666666</v>
      </c>
      <c r="P359" s="532">
        <v>0.97916666666666663</v>
      </c>
      <c r="Q359" s="535" t="s">
        <v>445</v>
      </c>
      <c r="R359" s="535"/>
      <c r="S359" s="535"/>
      <c r="T359" s="200">
        <f>VLOOKUP(Table2[[#This Row],[Course Title]],'TSD-Data'!$A$1:$E$83,4,FALSE)</f>
        <v>1000</v>
      </c>
      <c r="U359" s="200">
        <f>VLOOKUP(Table2[[#This Row],[Course Title]],'TSD-Data'!$A$1:$F$83,6,FALSE)</f>
        <v>1.5</v>
      </c>
      <c r="V359" s="201">
        <f>VLOOKUP(Table2[[#This Row],[Course Title]],'TSD-Data'!$A$1:$F$83,5,FALSE)</f>
        <v>0.1</v>
      </c>
      <c r="W359" s="201"/>
      <c r="X359" s="200">
        <f>Table2[[#This Row],[Quotas]]-Table2[[#This Row],[Open Quotas]]</f>
        <v>54</v>
      </c>
      <c r="Y359" s="200">
        <v>0</v>
      </c>
      <c r="Z359" s="201">
        <v>16</v>
      </c>
      <c r="AA359" s="201">
        <v>0</v>
      </c>
      <c r="AB359" s="200">
        <v>0</v>
      </c>
      <c r="AC359" s="200">
        <v>0</v>
      </c>
      <c r="AD359" s="200">
        <v>0</v>
      </c>
      <c r="AE359" s="200" t="s">
        <v>442</v>
      </c>
      <c r="AF359" s="495">
        <f ca="1">Table2[[#This Row],[End Date]]+2-TODAY()</f>
        <v>-113</v>
      </c>
      <c r="AG359" s="496">
        <f>IF(ISBLANK(Table2[[#This Row],[Roster Received by]]),1,0)</f>
        <v>0</v>
      </c>
      <c r="AH359" s="496">
        <f ca="1">IF(Table2[[#This Row],[Start Date]]&gt;TODAY(),1,)</f>
        <v>0</v>
      </c>
      <c r="AI359" s="496">
        <f>IF(ISBLANK(Table2[[#This Row],[Primary Instructor]]),0,1)</f>
        <v>1</v>
      </c>
      <c r="AJ359" s="496">
        <f>IF(ISBLANK(Table2[[#This Row],[Instructor 2]]),0,1)</f>
        <v>0</v>
      </c>
      <c r="AK359" s="496">
        <f>AJ689</f>
        <v>0</v>
      </c>
      <c r="AL359" s="318">
        <v>946</v>
      </c>
      <c r="AM359" s="501">
        <v>3</v>
      </c>
      <c r="AN359" s="496" t="str">
        <f>VLOOKUP(Table2[[#This Row],[Course Title]],'TSD-Data'!$A$1:$G$83,7,FALSE)</f>
        <v>N8-RMI</v>
      </c>
      <c r="AO359" s="500">
        <f>Table2[[#This Row],[Quotas]]-Table2[[#This Row],[Graduates]]-Table2[[#This Row],[Fail]]</f>
        <v>984</v>
      </c>
    </row>
    <row r="360" spans="2:41" s="202" customFormat="1" ht="15" customHeight="1" x14ac:dyDescent="0.25">
      <c r="B360" s="530"/>
      <c r="C360" s="530" t="s">
        <v>99</v>
      </c>
      <c r="D360" s="200" t="str">
        <f>VLOOKUP(Table2[[#This Row],[Course Title]],'TSD-Data'!$A$1:$E$83,2,FALSE)</f>
        <v>A-493-2501</v>
      </c>
      <c r="E360" s="200" t="str">
        <f>VLOOKUP(Table2[[#This Row],[Course Title]],'TSD-Data'!$A$1:$E$83,3,FALSE)</f>
        <v>05ZE</v>
      </c>
      <c r="F360" s="530" t="s">
        <v>78</v>
      </c>
      <c r="G360" s="531">
        <v>46129</v>
      </c>
      <c r="H360" s="531">
        <v>46129</v>
      </c>
      <c r="I360" s="129" t="s">
        <v>42</v>
      </c>
      <c r="J360" s="532">
        <v>0.33333333333333331</v>
      </c>
      <c r="K360" s="532"/>
      <c r="L360" s="531"/>
      <c r="M360" s="531"/>
      <c r="N360" s="531"/>
      <c r="O360" s="531"/>
      <c r="P360" s="531"/>
      <c r="Q360" s="535" t="s">
        <v>48</v>
      </c>
      <c r="R360" s="535"/>
      <c r="S360" s="535"/>
      <c r="T360" s="200">
        <f>VLOOKUP(Table2[[#This Row],[Course Title]],'TSD-Data'!$A$1:$E$83,4,FALSE)</f>
        <v>30</v>
      </c>
      <c r="U360" s="200">
        <f>VLOOKUP(Table2[[#This Row],[Course Title]],'TSD-Data'!$A$1:$F$83,6,FALSE)</f>
        <v>8</v>
      </c>
      <c r="V360" s="201">
        <f>VLOOKUP(Table2[[#This Row],[Course Title]],'TSD-Data'!$A$1:$F$83,5,FALSE)</f>
        <v>1</v>
      </c>
      <c r="W360" s="201">
        <v>34</v>
      </c>
      <c r="X360" s="200">
        <f>Table2[[#This Row],[Quotas]]-Table2[[#This Row],[Open Quotas]]</f>
        <v>12</v>
      </c>
      <c r="Y360" s="200">
        <v>0</v>
      </c>
      <c r="Z360" s="201">
        <v>8</v>
      </c>
      <c r="AA360" s="201">
        <v>0</v>
      </c>
      <c r="AB360" s="200">
        <v>6</v>
      </c>
      <c r="AC360" s="200">
        <v>0</v>
      </c>
      <c r="AD360" s="200">
        <v>0</v>
      </c>
      <c r="AE360" s="200" t="s">
        <v>428</v>
      </c>
      <c r="AF360" s="495">
        <f ca="1">Table2[[#This Row],[End Date]]+2-TODAY()</f>
        <v>-113</v>
      </c>
      <c r="AG360" s="496">
        <f>IF(ISBLANK(Table2[[#This Row],[Roster Received by]]),1,0)</f>
        <v>0</v>
      </c>
      <c r="AH360" s="496">
        <f ca="1">IF(Table2[[#This Row],[Start Date]]&gt;TODAY(),1,)</f>
        <v>0</v>
      </c>
      <c r="AI360" s="496">
        <f>IF(ISBLANK(Table2[[#This Row],[Primary Instructor]]),0,1)</f>
        <v>1</v>
      </c>
      <c r="AJ360" s="496">
        <f>IF(ISBLANK(Table2[[#This Row],[Instructor 2]]),0,1)</f>
        <v>0</v>
      </c>
      <c r="AK360" s="496">
        <f>Table2[[#This Row],[Course Length (Hours)]]/(Table2[[#This Row],[1 Instructor]]+Table2[[#This Row],[2 Instructors]])</f>
        <v>8</v>
      </c>
      <c r="AL360" s="318">
        <v>18</v>
      </c>
      <c r="AM360" s="496">
        <v>3</v>
      </c>
      <c r="AN360" s="496" t="str">
        <f>VLOOKUP(Table2[[#This Row],[Course Title]],'TSD-Data'!$A$1:$G$83,7,FALSE)</f>
        <v>N4</v>
      </c>
      <c r="AO360" s="500">
        <f>Table2[[#This Row],[Quotas]]-Table2[[#This Row],[Graduates]]-Table2[[#This Row],[Fail]]</f>
        <v>22</v>
      </c>
    </row>
    <row r="361" spans="2:41" s="202" customFormat="1" ht="15" customHeight="1" x14ac:dyDescent="0.25">
      <c r="B361" s="530"/>
      <c r="C361" s="530" t="s">
        <v>276</v>
      </c>
      <c r="D361" s="200" t="str">
        <f>VLOOKUP(Table2[[#This Row],[Course Title]],'TSD-Data'!$A$1:$E$83,2,FALSE)</f>
        <v>A-493-0103</v>
      </c>
      <c r="E361" s="200" t="str">
        <f>VLOOKUP(Table2[[#This Row],[Course Title]],'TSD-Data'!$A$1:$E$83,3,FALSE)</f>
        <v>12JY</v>
      </c>
      <c r="F361" s="530" t="s">
        <v>257</v>
      </c>
      <c r="G361" s="531">
        <v>46132</v>
      </c>
      <c r="H361" s="531">
        <v>45771</v>
      </c>
      <c r="I361" s="531" t="s">
        <v>42</v>
      </c>
      <c r="J361" s="532">
        <v>0.33333333333333331</v>
      </c>
      <c r="K361" s="532"/>
      <c r="L361" s="531"/>
      <c r="M361" s="531"/>
      <c r="N361" s="531"/>
      <c r="O361" s="531"/>
      <c r="P361" s="531"/>
      <c r="Q361" s="535" t="s">
        <v>280</v>
      </c>
      <c r="R361" s="535"/>
      <c r="S361" s="535"/>
      <c r="T361" s="200">
        <f>VLOOKUP(Table2[[#This Row],[Course Title]],'TSD-Data'!$A$1:$E$83,4,FALSE)</f>
        <v>25</v>
      </c>
      <c r="U361" s="200">
        <f>VLOOKUP(Table2[[#This Row],[Course Title]],'TSD-Data'!$A$1:$F$83,6,FALSE)</f>
        <v>40</v>
      </c>
      <c r="V361" s="201">
        <f>VLOOKUP(Table2[[#This Row],[Course Title]],'TSD-Data'!$A$1:$F$83,5,FALSE)</f>
        <v>5</v>
      </c>
      <c r="W361" s="201">
        <v>75</v>
      </c>
      <c r="X361" s="200">
        <f>Table2[[#This Row],[Quotas]]-Table2[[#This Row],[Open Quotas]]</f>
        <v>25</v>
      </c>
      <c r="Y361" s="200">
        <v>0</v>
      </c>
      <c r="Z361" s="201">
        <v>23</v>
      </c>
      <c r="AA361" s="201">
        <v>0</v>
      </c>
      <c r="AB361" s="200">
        <v>2</v>
      </c>
      <c r="AC361" s="200">
        <v>0</v>
      </c>
      <c r="AD361" s="200">
        <v>0</v>
      </c>
      <c r="AE361" s="200" t="s">
        <v>431</v>
      </c>
      <c r="AF361" s="495">
        <f ca="1">Table2[[#This Row],[End Date]]+2-TODAY()</f>
        <v>-471</v>
      </c>
      <c r="AG361" s="496">
        <f>IF(ISBLANK(Table2[[#This Row],[Roster Received by]]),1,0)</f>
        <v>0</v>
      </c>
      <c r="AH361" s="496">
        <f ca="1">IF(Table2[[#This Row],[Start Date]]&gt;TODAY(),1,)</f>
        <v>0</v>
      </c>
      <c r="AI361" s="496">
        <f>IF(ISBLANK(Table2[[#This Row],[Primary Instructor]]),0,1)</f>
        <v>1</v>
      </c>
      <c r="AJ361" s="496">
        <f>IF(ISBLANK(Table2[[#This Row],[Instructor 2]]),0,1)</f>
        <v>0</v>
      </c>
      <c r="AK361" s="496">
        <f>Table2[[#This Row],[Course Length (Hours)]]/(Table2[[#This Row],[1 Instructor]]+Table2[[#This Row],[2 Instructors]])</f>
        <v>40</v>
      </c>
      <c r="AL361" s="318">
        <v>0</v>
      </c>
      <c r="AM361" s="496">
        <v>3</v>
      </c>
      <c r="AN361" s="496" t="str">
        <f>VLOOKUP(Table2[[#This Row],[Course Title]],'TSD-Data'!$A$1:$G$83,7,FALSE)</f>
        <v>N5</v>
      </c>
      <c r="AO361" s="500">
        <f>Table2[[#This Row],[Quotas]]-Table2[[#This Row],[Graduates]]-Table2[[#This Row],[Fail]]</f>
        <v>2</v>
      </c>
    </row>
    <row r="362" spans="2:41" s="202" customFormat="1" ht="15" customHeight="1" x14ac:dyDescent="0.25">
      <c r="B362" s="530" t="s">
        <v>235</v>
      </c>
      <c r="C362" s="530" t="s">
        <v>233</v>
      </c>
      <c r="D362" s="200" t="str">
        <f>VLOOKUP(Table2[[#This Row],[Course Title]],'TSD-Data'!$A$1:$E$83,2,FALSE)</f>
        <v>PDS</v>
      </c>
      <c r="E362" s="200" t="str">
        <f>VLOOKUP(Table2[[#This Row],[Course Title]],'TSD-Data'!$A$1:$E$83,3,FALSE)</f>
        <v>PDS</v>
      </c>
      <c r="F362" s="530"/>
      <c r="G362" s="531">
        <v>46132</v>
      </c>
      <c r="H362" s="531">
        <v>46136</v>
      </c>
      <c r="I362" s="531" t="s">
        <v>42</v>
      </c>
      <c r="J362" s="532"/>
      <c r="K362" s="532"/>
      <c r="L362" s="531"/>
      <c r="M362" s="531"/>
      <c r="N362" s="531"/>
      <c r="O362" s="531"/>
      <c r="P362" s="531"/>
      <c r="Q362" s="535" t="s">
        <v>435</v>
      </c>
      <c r="R362" s="535"/>
      <c r="S362" s="535"/>
      <c r="T362" s="200">
        <f>VLOOKUP(Table2[[#This Row],[Course Title]],'TSD-Data'!$A$1:$E$83,4,FALSE)</f>
        <v>0</v>
      </c>
      <c r="U362" s="200">
        <f>VLOOKUP(Table2[[#This Row],[Course Title]],'TSD-Data'!$A$1:$F$83,6,FALSE)</f>
        <v>0</v>
      </c>
      <c r="V362" s="201">
        <f>VLOOKUP(Table2[[#This Row],[Course Title]],'TSD-Data'!$A$1:$F$83,5,FALSE)</f>
        <v>0</v>
      </c>
      <c r="W362" s="201">
        <v>0</v>
      </c>
      <c r="X362" s="200">
        <f>Table2[[#This Row],[Quotas]]-Table2[[#This Row],[Open Quotas]]</f>
        <v>0</v>
      </c>
      <c r="Y362" s="200">
        <v>0</v>
      </c>
      <c r="Z362" s="200">
        <v>0</v>
      </c>
      <c r="AA362" s="200">
        <v>0</v>
      </c>
      <c r="AB362" s="200">
        <v>0</v>
      </c>
      <c r="AC362" s="200">
        <v>0</v>
      </c>
      <c r="AD362" s="200">
        <v>0</v>
      </c>
      <c r="AE362" s="541" t="s">
        <v>436</v>
      </c>
      <c r="AF362" s="495">
        <f ca="1">Table2[[#This Row],[End Date]]+2-TODAY()</f>
        <v>-106</v>
      </c>
      <c r="AG362" s="496">
        <f>IF(ISBLANK(Table2[[#This Row],[Roster Received by]]),1,0)</f>
        <v>0</v>
      </c>
      <c r="AH362" s="496">
        <f ca="1">IF(Table2[[#This Row],[Start Date]]&gt;TODAY(),1,)</f>
        <v>0</v>
      </c>
      <c r="AI362" s="496">
        <f>IF(ISBLANK(Table2[[#This Row],[Primary Instructor]]),0,1)</f>
        <v>1</v>
      </c>
      <c r="AJ362" s="496">
        <f>IF(ISBLANK(Table2[[#This Row],[Instructor 2]]),0,1)</f>
        <v>0</v>
      </c>
      <c r="AK362" s="496">
        <f>Table2[[#This Row],[Course Length (Hours)]]/(Table2[[#This Row],[1 Instructor]]+Table2[[#This Row],[2 Instructors]])</f>
        <v>0</v>
      </c>
      <c r="AL362" s="318"/>
      <c r="AM362" s="496">
        <v>3</v>
      </c>
      <c r="AN362" s="496" t="str">
        <f>VLOOKUP(Table2[[#This Row],[Course Title]],'TSD-Data'!$A$1:$G$83,7,FALSE)</f>
        <v>TSD</v>
      </c>
      <c r="AO362" s="500">
        <f>Table2[[#This Row],[Quotas]]-Table2[[#This Row],[Graduates]]-Table2[[#This Row],[Fail]]</f>
        <v>0</v>
      </c>
    </row>
    <row r="363" spans="2:41" s="202" customFormat="1" ht="15" customHeight="1" x14ac:dyDescent="0.25">
      <c r="B363" s="155" t="s">
        <v>318</v>
      </c>
      <c r="C363" s="321" t="s">
        <v>45</v>
      </c>
      <c r="D363" s="200" t="str">
        <f>VLOOKUP(Table2[[#This Row],[Course Title]],'TSD-Data'!$A$1:$E$83,2,FALSE)</f>
        <v>A-493-0013</v>
      </c>
      <c r="E363" s="200">
        <f>VLOOKUP(Table2[[#This Row],[Course Title]],'TSD-Data'!$A$1:$E$83,3,FALSE)</f>
        <v>3683</v>
      </c>
      <c r="F363" s="321" t="s">
        <v>183</v>
      </c>
      <c r="G363" s="129">
        <v>46134</v>
      </c>
      <c r="H363" s="129">
        <v>46136</v>
      </c>
      <c r="I363" s="129" t="s">
        <v>42</v>
      </c>
      <c r="J363" s="532">
        <v>0.33333333333333331</v>
      </c>
      <c r="K363" s="532"/>
      <c r="L363" s="531"/>
      <c r="M363" s="531"/>
      <c r="N363" s="531"/>
      <c r="O363" s="531"/>
      <c r="P363" s="531"/>
      <c r="Q363" s="535" t="s">
        <v>450</v>
      </c>
      <c r="R363" s="535"/>
      <c r="S363" s="535"/>
      <c r="T363" s="200">
        <f>VLOOKUP(Table2[[#This Row],[Course Title]],'TSD-Data'!$A$1:$E$83,4,FALSE)</f>
        <v>40</v>
      </c>
      <c r="U363" s="200">
        <f>VLOOKUP(Table2[[#This Row],[Course Title]],'TSD-Data'!$A$1:$F$83,6,FALSE)</f>
        <v>24</v>
      </c>
      <c r="V363" s="201">
        <f>VLOOKUP(Table2[[#This Row],[Course Title]],'TSD-Data'!$A$1:$F$83,5,FALSE)</f>
        <v>3</v>
      </c>
      <c r="W363" s="200">
        <v>28</v>
      </c>
      <c r="X363" s="200">
        <f>Table2[[#This Row],[Quotas]]-Table2[[#This Row],[Open Quotas]]</f>
        <v>10</v>
      </c>
      <c r="Y363" s="200">
        <v>0</v>
      </c>
      <c r="Z363" s="201">
        <v>8</v>
      </c>
      <c r="AA363" s="201">
        <v>0</v>
      </c>
      <c r="AB363" s="200">
        <v>6</v>
      </c>
      <c r="AC363" s="200">
        <v>3</v>
      </c>
      <c r="AD363" s="200">
        <v>0</v>
      </c>
      <c r="AE363" s="200" t="s">
        <v>428</v>
      </c>
      <c r="AF363" s="495">
        <f ca="1">Table2[[#This Row],[End Date]]+2-TODAY()</f>
        <v>-106</v>
      </c>
      <c r="AG363" s="496">
        <f>IF(ISBLANK(Table2[[#This Row],[Roster Received by]]),1,0)</f>
        <v>0</v>
      </c>
      <c r="AH363" s="496">
        <f ca="1">IF(Table2[[#This Row],[Start Date]]&gt;TODAY(),1,)</f>
        <v>0</v>
      </c>
      <c r="AI363" s="496">
        <f>IF(ISBLANK(Table2[[#This Row],[Primary Instructor]]),0,1)</f>
        <v>1</v>
      </c>
      <c r="AJ363" s="496">
        <f>IF(ISBLANK(Table2[[#This Row],[Instructor 2]]),0,1)</f>
        <v>0</v>
      </c>
      <c r="AK363" s="496">
        <f>Table2[[#This Row],[Course Length (Hours)]]/(Table2[[#This Row],[1 Instructor]]+Table2[[#This Row],[2 Instructors]])</f>
        <v>24</v>
      </c>
      <c r="AL363" s="318">
        <v>30</v>
      </c>
      <c r="AM363" s="496">
        <v>32</v>
      </c>
      <c r="AN363" s="496" t="str">
        <f>VLOOKUP(Table2[[#This Row],[Course Title]],'TSD-Data'!$A$1:$G$83,7,FALSE)</f>
        <v>N4</v>
      </c>
      <c r="AO363" s="500">
        <f>Table2[[#This Row],[Quotas]]-Table2[[#This Row],[Graduates]]-Table2[[#This Row],[Fail]]</f>
        <v>32</v>
      </c>
    </row>
    <row r="364" spans="2:41" s="202" customFormat="1" ht="15" customHeight="1" x14ac:dyDescent="0.25">
      <c r="B364" s="530"/>
      <c r="C364" s="530" t="s">
        <v>213</v>
      </c>
      <c r="D364" s="200" t="str">
        <f>VLOOKUP(Table2[[#This Row],[Course Title]],'TSD-Data'!$A$1:$E$83,2,FALSE)</f>
        <v>A-322-2604</v>
      </c>
      <c r="E364" s="200" t="str">
        <f>VLOOKUP(Table2[[#This Row],[Course Title]],'TSD-Data'!$A$1:$E$83,3,FALSE)</f>
        <v>10ZZ</v>
      </c>
      <c r="F364" s="530" t="s">
        <v>54</v>
      </c>
      <c r="G364" s="531">
        <v>46139</v>
      </c>
      <c r="H364" s="531">
        <v>46141</v>
      </c>
      <c r="I364" s="531" t="s">
        <v>42</v>
      </c>
      <c r="J364" s="532"/>
      <c r="K364" s="532">
        <v>0.33333333333333331</v>
      </c>
      <c r="L364" s="532">
        <v>0.20833333333333334</v>
      </c>
      <c r="M364" s="532">
        <v>0.625</v>
      </c>
      <c r="N364" s="532">
        <v>0.54166666666666663</v>
      </c>
      <c r="O364" s="532">
        <v>8.3333333333333329E-2</v>
      </c>
      <c r="P364" s="532">
        <v>0.875</v>
      </c>
      <c r="Q364" s="535" t="s">
        <v>432</v>
      </c>
      <c r="R364" s="535"/>
      <c r="S364" s="535"/>
      <c r="T364" s="200">
        <f>VLOOKUP(Table2[[#This Row],[Course Title]],'TSD-Data'!$A$1:$E$83,4,FALSE)</f>
        <v>45</v>
      </c>
      <c r="U364" s="200">
        <f>VLOOKUP(Table2[[#This Row],[Course Title]],'TSD-Data'!$A$1:$F$83,6,FALSE)</f>
        <v>24</v>
      </c>
      <c r="V364" s="201">
        <f>VLOOKUP(Table2[[#This Row],[Course Title]],'TSD-Data'!$A$1:$F$83,5,FALSE)</f>
        <v>3</v>
      </c>
      <c r="W364" s="201">
        <v>316</v>
      </c>
      <c r="X364" s="200">
        <f>Table2[[#This Row],[Quotas]]-Table2[[#This Row],[Open Quotas]]</f>
        <v>45</v>
      </c>
      <c r="Y364" s="200">
        <v>4</v>
      </c>
      <c r="Z364" s="201">
        <v>40</v>
      </c>
      <c r="AA364" s="201">
        <v>0</v>
      </c>
      <c r="AB364" s="200">
        <v>6</v>
      </c>
      <c r="AC364" s="200">
        <v>1</v>
      </c>
      <c r="AD364" s="200">
        <v>0</v>
      </c>
      <c r="AE364" s="200" t="s">
        <v>431</v>
      </c>
      <c r="AF364" s="495">
        <f ca="1">Table2[[#This Row],[End Date]]+2-TODAY()</f>
        <v>-101</v>
      </c>
      <c r="AG364" s="496">
        <f>IF(ISBLANK(Table2[[#This Row],[Roster Received by]]),1,0)</f>
        <v>0</v>
      </c>
      <c r="AH364" s="496">
        <f ca="1">IF(Table2[[#This Row],[Start Date]]&gt;TODAY(),1,)</f>
        <v>0</v>
      </c>
      <c r="AI364" s="496">
        <f>IF(ISBLANK(Table2[[#This Row],[Primary Instructor]]),0,1)</f>
        <v>1</v>
      </c>
      <c r="AJ364" s="496">
        <f>IF(ISBLANK(Table2[[#This Row],[Instructor 2]]),0,1)</f>
        <v>0</v>
      </c>
      <c r="AK364" s="496">
        <f>Table2[[#This Row],[Course Length (Hours)]]/(Table2[[#This Row],[1 Instructor]]+Table2[[#This Row],[2 Instructors]])</f>
        <v>24</v>
      </c>
      <c r="AL364" s="318">
        <v>0</v>
      </c>
      <c r="AM364" s="496">
        <v>3</v>
      </c>
      <c r="AN364" s="496" t="str">
        <f>VLOOKUP(Table2[[#This Row],[Course Title]],'TSD-Data'!$A$1:$G$83,7,FALSE)</f>
        <v>N8</v>
      </c>
      <c r="AO364" s="500">
        <f>Table2[[#This Row],[Quotas]]-Table2[[#This Row],[Graduates]]-Table2[[#This Row],[Fail]]</f>
        <v>5</v>
      </c>
    </row>
    <row r="365" spans="2:41" s="202" customFormat="1" ht="15" customHeight="1" x14ac:dyDescent="0.25">
      <c r="B365" s="155" t="s">
        <v>469</v>
      </c>
      <c r="C365" s="321" t="s">
        <v>49</v>
      </c>
      <c r="D365" s="200" t="str">
        <f>VLOOKUP(Table2[[#This Row],[Course Title]],'TSD-Data'!$A$1:$E$83,2,FALSE)</f>
        <v>A-493-0012</v>
      </c>
      <c r="E365" s="200">
        <f>VLOOKUP(Table2[[#This Row],[Course Title]],'TSD-Data'!$A$1:$E$83,3,FALSE)</f>
        <v>3682</v>
      </c>
      <c r="F365" s="321" t="s">
        <v>51</v>
      </c>
      <c r="G365" s="129">
        <v>46139</v>
      </c>
      <c r="H365" s="129">
        <v>46143</v>
      </c>
      <c r="I365" s="129" t="s">
        <v>42</v>
      </c>
      <c r="J365" s="532">
        <v>0.33333333333333331</v>
      </c>
      <c r="K365" s="532"/>
      <c r="L365" s="531"/>
      <c r="M365" s="531"/>
      <c r="N365" s="531"/>
      <c r="O365" s="531"/>
      <c r="P365" s="531"/>
      <c r="Q365" s="535" t="s">
        <v>450</v>
      </c>
      <c r="R365" s="535"/>
      <c r="S365" s="535"/>
      <c r="T365" s="200">
        <f>VLOOKUP(Table2[[#This Row],[Course Title]],'TSD-Data'!$A$1:$E$83,4,FALSE)</f>
        <v>40</v>
      </c>
      <c r="U365" s="200">
        <f>VLOOKUP(Table2[[#This Row],[Course Title]],'TSD-Data'!$A$1:$F$83,6,FALSE)</f>
        <v>40</v>
      </c>
      <c r="V365" s="201">
        <f>VLOOKUP(Table2[[#This Row],[Course Title]],'TSD-Data'!$A$1:$F$83,5,FALSE)</f>
        <v>5</v>
      </c>
      <c r="W365" s="200">
        <v>28</v>
      </c>
      <c r="X365" s="200">
        <f>Table2[[#This Row],[Quotas]]-Table2[[#This Row],[Open Quotas]]</f>
        <v>24</v>
      </c>
      <c r="Y365" s="200">
        <v>0</v>
      </c>
      <c r="Z365" s="201">
        <v>26</v>
      </c>
      <c r="AA365" s="201">
        <v>0</v>
      </c>
      <c r="AB365" s="200">
        <v>1</v>
      </c>
      <c r="AC365" s="200">
        <v>3</v>
      </c>
      <c r="AD365" s="200">
        <v>0</v>
      </c>
      <c r="AE365" s="200" t="s">
        <v>428</v>
      </c>
      <c r="AF365" s="495">
        <f ca="1">Table2[[#This Row],[End Date]]+2-TODAY()</f>
        <v>-99</v>
      </c>
      <c r="AG365" s="496">
        <f>IF(ISBLANK(Table2[[#This Row],[Roster Received by]]),1,0)</f>
        <v>0</v>
      </c>
      <c r="AH365" s="496">
        <f ca="1">IF(Table2[[#This Row],[Start Date]]&gt;TODAY(),1,)</f>
        <v>0</v>
      </c>
      <c r="AI365" s="496">
        <f>IF(ISBLANK(Table2[[#This Row],[Primary Instructor]]),0,1)</f>
        <v>1</v>
      </c>
      <c r="AJ365" s="496">
        <f>IF(ISBLANK(Table2[[#This Row],[Instructor 2]]),0,1)</f>
        <v>0</v>
      </c>
      <c r="AK365" s="496">
        <f>Table2[[#This Row],[Course Length (Hours)]]/(Table2[[#This Row],[1 Instructor]]+Table2[[#This Row],[2 Instructors]])</f>
        <v>40</v>
      </c>
      <c r="AL365" s="318">
        <v>16</v>
      </c>
      <c r="AM365" s="496">
        <v>3</v>
      </c>
      <c r="AN365" s="496" t="str">
        <f>VLOOKUP(Table2[[#This Row],[Course Title]],'TSD-Data'!$A$1:$G$83,7,FALSE)</f>
        <v>N4</v>
      </c>
      <c r="AO365" s="500">
        <f>Table2[[#This Row],[Quotas]]-Table2[[#This Row],[Graduates]]-Table2[[#This Row],[Fail]]</f>
        <v>14</v>
      </c>
    </row>
    <row r="366" spans="2:41" s="202" customFormat="1" ht="15" customHeight="1" x14ac:dyDescent="0.25">
      <c r="B366" s="530"/>
      <c r="C366" s="530" t="s">
        <v>56</v>
      </c>
      <c r="D366" s="200" t="str">
        <f>VLOOKUP(Table2[[#This Row],[Course Title]],'TSD-Data'!$A$1:$E$83,2,FALSE)</f>
        <v>A-493-0550</v>
      </c>
      <c r="E366" s="200" t="str">
        <f>VLOOKUP(Table2[[#This Row],[Course Title]],'TSD-Data'!$A$1:$E$83,3,FALSE)</f>
        <v>09K5</v>
      </c>
      <c r="F366" s="530" t="s">
        <v>54</v>
      </c>
      <c r="G366" s="531">
        <v>46139</v>
      </c>
      <c r="H366" s="531">
        <v>46142</v>
      </c>
      <c r="I366" s="531" t="s">
        <v>42</v>
      </c>
      <c r="J366" s="532"/>
      <c r="K366" s="532">
        <v>0.5</v>
      </c>
      <c r="L366" s="536">
        <v>0.375</v>
      </c>
      <c r="M366" s="536">
        <v>0.79166666666666663</v>
      </c>
      <c r="N366" s="536">
        <v>0.75</v>
      </c>
      <c r="O366" s="536">
        <v>0.25</v>
      </c>
      <c r="P366" s="536">
        <v>4.1666666666666664E-2</v>
      </c>
      <c r="Q366" s="535" t="s">
        <v>427</v>
      </c>
      <c r="R366" s="535"/>
      <c r="S366" s="535"/>
      <c r="T366" s="200">
        <f>VLOOKUP(Table2[[#This Row],[Course Title]],'TSD-Data'!$A$1:$E$83,4,FALSE)</f>
        <v>45</v>
      </c>
      <c r="U366" s="200">
        <f>VLOOKUP(Table2[[#This Row],[Course Title]],'TSD-Data'!$A$1:$F$83,6,FALSE)</f>
        <v>32</v>
      </c>
      <c r="V366" s="201">
        <f>VLOOKUP(Table2[[#This Row],[Course Title]],'TSD-Data'!$A$1:$F$83,5,FALSE)</f>
        <v>4</v>
      </c>
      <c r="W366" s="201">
        <v>864</v>
      </c>
      <c r="X366" s="200">
        <f>Table2[[#This Row],[Quotas]]-Table2[[#This Row],[Open Quotas]]</f>
        <v>42</v>
      </c>
      <c r="Y366" s="200">
        <v>2</v>
      </c>
      <c r="Z366" s="201">
        <v>37</v>
      </c>
      <c r="AA366" s="201">
        <v>0</v>
      </c>
      <c r="AB366" s="200">
        <v>9</v>
      </c>
      <c r="AC366" s="200">
        <v>1</v>
      </c>
      <c r="AD366" s="200">
        <v>0</v>
      </c>
      <c r="AE366" s="200" t="s">
        <v>431</v>
      </c>
      <c r="AF366" s="495">
        <f ca="1">Table2[[#This Row],[End Date]]+2-TODAY()</f>
        <v>-100</v>
      </c>
      <c r="AG366" s="496">
        <f>IF(ISBLANK(Table2[[#This Row],[Roster Received by]]),1,0)</f>
        <v>0</v>
      </c>
      <c r="AH366" s="496">
        <f ca="1">IF(Table2[[#This Row],[Start Date]]&gt;TODAY(),1,)</f>
        <v>0</v>
      </c>
      <c r="AI366" s="496">
        <f>IF(ISBLANK(Table2[[#This Row],[Primary Instructor]]),0,1)</f>
        <v>1</v>
      </c>
      <c r="AJ366" s="496">
        <f>IF(ISBLANK(Table2[[#This Row],[Instructor 2]]),0,1)</f>
        <v>0</v>
      </c>
      <c r="AK366" s="496">
        <f>Table2[[#This Row],[Course Length (Hours)]]/(Table2[[#This Row],[1 Instructor]]+Table2[[#This Row],[2 Instructors]])</f>
        <v>32</v>
      </c>
      <c r="AL366" s="318">
        <v>3</v>
      </c>
      <c r="AM366" s="496">
        <v>3</v>
      </c>
      <c r="AN366" s="496" t="str">
        <f>VLOOKUP(Table2[[#This Row],[Course Title]],'TSD-Data'!$A$1:$G$83,7,FALSE)</f>
        <v>N5</v>
      </c>
      <c r="AO366" s="500">
        <f>Table2[[#This Row],[Quotas]]-Table2[[#This Row],[Graduates]]-Table2[[#This Row],[Fail]]</f>
        <v>8</v>
      </c>
    </row>
    <row r="367" spans="2:41" s="202" customFormat="1" ht="15" customHeight="1" x14ac:dyDescent="0.25">
      <c r="B367" s="530" t="s">
        <v>470</v>
      </c>
      <c r="C367" s="530" t="s">
        <v>85</v>
      </c>
      <c r="D367" s="200" t="str">
        <f>VLOOKUP(Table2[[#This Row],[Course Title]],'TSD-Data'!$A$1:$E$83,2,FALSE)</f>
        <v>A-493-2017</v>
      </c>
      <c r="E367" s="200" t="str">
        <f>VLOOKUP(Table2[[#This Row],[Course Title]],'TSD-Data'!$A$1:$E$83,3,FALSE)</f>
        <v>12x3</v>
      </c>
      <c r="F367" s="530" t="s">
        <v>471</v>
      </c>
      <c r="G367" s="531">
        <v>46139</v>
      </c>
      <c r="H367" s="531">
        <v>46143</v>
      </c>
      <c r="I367" s="531" t="s">
        <v>472</v>
      </c>
      <c r="J367" s="532"/>
      <c r="K367" s="532"/>
      <c r="L367" s="531"/>
      <c r="M367" s="531"/>
      <c r="N367" s="531"/>
      <c r="O367" s="531"/>
      <c r="P367" s="531"/>
      <c r="Q367" s="535" t="s">
        <v>48</v>
      </c>
      <c r="R367" s="535"/>
      <c r="S367" s="535"/>
      <c r="T367" s="200">
        <f>VLOOKUP(Table2[[#This Row],[Course Title]],'TSD-Data'!$A$1:$E$83,4,FALSE)</f>
        <v>25</v>
      </c>
      <c r="U367" s="200">
        <f>VLOOKUP(Table2[[#This Row],[Course Title]],'TSD-Data'!$A$1:$F$83,6,FALSE)</f>
        <v>40</v>
      </c>
      <c r="V367" s="201">
        <f>VLOOKUP(Table2[[#This Row],[Course Title]],'TSD-Data'!$A$1:$F$83,5,FALSE)</f>
        <v>5</v>
      </c>
      <c r="W367" s="201"/>
      <c r="X367" s="200">
        <f>Table2[[#This Row],[Quotas]]-Table2[[#This Row],[Open Quotas]]</f>
        <v>25</v>
      </c>
      <c r="Y367" s="200">
        <v>0</v>
      </c>
      <c r="Z367" s="201">
        <v>22</v>
      </c>
      <c r="AA367" s="201">
        <v>0</v>
      </c>
      <c r="AB367" s="200">
        <v>1</v>
      </c>
      <c r="AC367" s="200">
        <v>2</v>
      </c>
      <c r="AD367" s="200">
        <v>0</v>
      </c>
      <c r="AE367" s="200" t="s">
        <v>428</v>
      </c>
      <c r="AF367" s="495">
        <f ca="1">Table2[[#This Row],[End Date]]+2-TODAY()</f>
        <v>-99</v>
      </c>
      <c r="AG367" s="496">
        <f>IF(ISBLANK(Table2[[#This Row],[Roster Received by]]),1,0)</f>
        <v>0</v>
      </c>
      <c r="AH367" s="496">
        <f ca="1">IF(Table2[[#This Row],[Start Date]]&gt;TODAY(),1,)</f>
        <v>0</v>
      </c>
      <c r="AI367" s="496">
        <f>IF(ISBLANK(Table2[[#This Row],[Primary Instructor]]),0,1)</f>
        <v>1</v>
      </c>
      <c r="AJ367" s="496">
        <f>IF(ISBLANK(Table2[[#This Row],[Instructor 2]]),0,1)</f>
        <v>0</v>
      </c>
      <c r="AK367" s="496">
        <f>Table2[[#This Row],[Course Length (Hours)]]/(Table2[[#This Row],[1 Instructor]]+Table2[[#This Row],[2 Instructors]])</f>
        <v>40</v>
      </c>
      <c r="AL367" s="318">
        <v>0</v>
      </c>
      <c r="AM367" s="496">
        <v>3</v>
      </c>
      <c r="AN367" s="496" t="str">
        <f>VLOOKUP(Table2[[#This Row],[Course Title]],'TSD-Data'!$A$1:$G$83,7,FALSE)</f>
        <v>N4</v>
      </c>
      <c r="AO367" s="500">
        <f>Table2[[#This Row],[Quotas]]-Table2[[#This Row],[Graduates]]-Table2[[#This Row],[Fail]]</f>
        <v>3</v>
      </c>
    </row>
    <row r="368" spans="2:41" s="202" customFormat="1" ht="15" customHeight="1" x14ac:dyDescent="0.25">
      <c r="B368" s="530"/>
      <c r="C368" s="530" t="s">
        <v>275</v>
      </c>
      <c r="D368" s="200" t="str">
        <f>VLOOKUP(Table2[[#This Row],[Course Title]],'TSD-Data'!$A$1:$E$83,2,FALSE)</f>
        <v>A-493-0099</v>
      </c>
      <c r="E368" s="200" t="str">
        <f>VLOOKUP(Table2[[#This Row],[Course Title]],'TSD-Data'!$A$1:$E$83,3,FALSE)</f>
        <v>12JW</v>
      </c>
      <c r="F368" s="530" t="s">
        <v>54</v>
      </c>
      <c r="G368" s="531">
        <v>46140</v>
      </c>
      <c r="H368" s="531">
        <v>46142</v>
      </c>
      <c r="I368" s="531" t="s">
        <v>42</v>
      </c>
      <c r="J368" s="532"/>
      <c r="K368" s="532">
        <v>0.33333333333333331</v>
      </c>
      <c r="L368" s="532">
        <v>0.20833333333333334</v>
      </c>
      <c r="M368" s="532">
        <v>0.625</v>
      </c>
      <c r="N368" s="532">
        <v>0.54166666666666663</v>
      </c>
      <c r="O368" s="532">
        <v>8.3333333333333329E-2</v>
      </c>
      <c r="P368" s="532">
        <v>0.875</v>
      </c>
      <c r="Q368" s="535" t="s">
        <v>274</v>
      </c>
      <c r="R368" s="535"/>
      <c r="S368" s="535"/>
      <c r="T368" s="200">
        <f>VLOOKUP(Table2[[#This Row],[Course Title]],'TSD-Data'!$A$1:$E$83,4,FALSE)</f>
        <v>45</v>
      </c>
      <c r="U368" s="200">
        <f>VLOOKUP(Table2[[#This Row],[Course Title]],'TSD-Data'!$A$1:$F$83,6,FALSE)</f>
        <v>24</v>
      </c>
      <c r="V368" s="201">
        <f>VLOOKUP(Table2[[#This Row],[Course Title]],'TSD-Data'!$A$1:$F$83,5,FALSE)</f>
        <v>3</v>
      </c>
      <c r="W368" s="201">
        <v>334</v>
      </c>
      <c r="X368" s="200">
        <f>Table2[[#This Row],[Quotas]]-Table2[[#This Row],[Open Quotas]]</f>
        <v>19</v>
      </c>
      <c r="Y368" s="200">
        <v>0</v>
      </c>
      <c r="Z368" s="201">
        <v>32</v>
      </c>
      <c r="AA368" s="201">
        <v>0</v>
      </c>
      <c r="AB368" s="200">
        <v>3</v>
      </c>
      <c r="AC368" s="200">
        <v>1</v>
      </c>
      <c r="AD368" s="200">
        <v>0</v>
      </c>
      <c r="AE368" s="200" t="s">
        <v>431</v>
      </c>
      <c r="AF368" s="495">
        <f ca="1">Table2[[#This Row],[End Date]]+2-TODAY()</f>
        <v>-100</v>
      </c>
      <c r="AG368" s="496">
        <f>IF(ISBLANK(Table2[[#This Row],[Roster Received by]]),1,0)</f>
        <v>0</v>
      </c>
      <c r="AH368" s="496">
        <f ca="1">IF(Table2[[#This Row],[Start Date]]&gt;TODAY(),1,)</f>
        <v>0</v>
      </c>
      <c r="AI368" s="496">
        <f>IF(ISBLANK(Table2[[#This Row],[Primary Instructor]]),0,1)</f>
        <v>1</v>
      </c>
      <c r="AJ368" s="496">
        <f>IF(ISBLANK(Table2[[#This Row],[Instructor 2]]),0,1)</f>
        <v>0</v>
      </c>
      <c r="AK368" s="496">
        <f>Table2[[#This Row],[Course Length (Hours)]]/(Table2[[#This Row],[1 Instructor]]+Table2[[#This Row],[2 Instructors]])</f>
        <v>24</v>
      </c>
      <c r="AL368" s="318">
        <v>26</v>
      </c>
      <c r="AM368" s="496">
        <v>3</v>
      </c>
      <c r="AN368" s="496" t="str">
        <f>VLOOKUP(Table2[[#This Row],[Course Title]],'TSD-Data'!$A$1:$G$83,7,FALSE)</f>
        <v>N5</v>
      </c>
      <c r="AO368" s="500">
        <f>Table2[[#This Row],[Quotas]]-Table2[[#This Row],[Graduates]]-Table2[[#This Row],[Fail]]</f>
        <v>13</v>
      </c>
    </row>
    <row r="369" spans="1:41" ht="15" customHeight="1" x14ac:dyDescent="0.25">
      <c r="A369" s="202"/>
      <c r="B369" s="530"/>
      <c r="C369" s="542" t="s">
        <v>249</v>
      </c>
      <c r="D369" s="200" t="str">
        <f>VLOOKUP(Table2[[#This Row],[Course Title]],'TSD-Data'!$A$1:$E$83,2,FALSE)</f>
        <v>A-493-0331</v>
      </c>
      <c r="E369" s="200" t="str">
        <f>VLOOKUP(Table2[[#This Row],[Course Title]],'TSD-Data'!$A$1:$E$83,3,FALSE)</f>
        <v>10UG</v>
      </c>
      <c r="F369" s="530" t="s">
        <v>54</v>
      </c>
      <c r="G369" s="531">
        <v>46140</v>
      </c>
      <c r="H369" s="531">
        <v>46142</v>
      </c>
      <c r="I369" s="531" t="s">
        <v>42</v>
      </c>
      <c r="J369" s="532"/>
      <c r="K369" s="532">
        <v>0.5</v>
      </c>
      <c r="L369" s="536">
        <v>0.375</v>
      </c>
      <c r="M369" s="536">
        <v>0.79166666666666663</v>
      </c>
      <c r="N369" s="536">
        <v>0.75</v>
      </c>
      <c r="O369" s="536">
        <v>0.25</v>
      </c>
      <c r="P369" s="536">
        <v>4.1666666666666664E-2</v>
      </c>
      <c r="Q369" s="535" t="s">
        <v>437</v>
      </c>
      <c r="R369" s="535"/>
      <c r="S369" s="535"/>
      <c r="T369" s="200">
        <f>VLOOKUP(Table2[[#This Row],[Course Title]],'TSD-Data'!$A$1:$E$83,4,FALSE)</f>
        <v>45</v>
      </c>
      <c r="U369" s="200">
        <f>VLOOKUP(Table2[[#This Row],[Course Title]],'TSD-Data'!$A$1:$F$83,6,FALSE)</f>
        <v>24</v>
      </c>
      <c r="V369" s="201">
        <f>VLOOKUP(Table2[[#This Row],[Course Title]],'TSD-Data'!$A$1:$F$83,5,FALSE)</f>
        <v>3</v>
      </c>
      <c r="W369" s="201">
        <v>844</v>
      </c>
      <c r="X369" s="200">
        <f>Table2[[#This Row],[Quotas]]-Table2[[#This Row],[Open Quotas]]</f>
        <v>45</v>
      </c>
      <c r="Y369" s="200">
        <v>4</v>
      </c>
      <c r="Z369" s="201">
        <v>36</v>
      </c>
      <c r="AA369" s="201">
        <v>0</v>
      </c>
      <c r="AB369" s="200">
        <v>11</v>
      </c>
      <c r="AC369" s="200">
        <v>0</v>
      </c>
      <c r="AD369" s="200">
        <v>0</v>
      </c>
      <c r="AE369" s="200" t="s">
        <v>429</v>
      </c>
      <c r="AF369" s="495">
        <f ca="1">Table2[[#This Row],[End Date]]+2-TODAY()</f>
        <v>-100</v>
      </c>
      <c r="AG369" s="496">
        <f>IF(ISBLANK(Table2[[#This Row],[Roster Received by]]),1,0)</f>
        <v>0</v>
      </c>
      <c r="AH369" s="496">
        <f ca="1">IF(Table2[[#This Row],[Start Date]]&gt;TODAY(),1,)</f>
        <v>0</v>
      </c>
      <c r="AI369" s="496">
        <f>IF(ISBLANK(Table2[[#This Row],[Primary Instructor]]),0,1)</f>
        <v>1</v>
      </c>
      <c r="AJ369" s="496">
        <f>IF(ISBLANK(Table2[[#This Row],[Instructor 2]]),0,1)</f>
        <v>0</v>
      </c>
      <c r="AK369" s="496">
        <f>Table2[[#This Row],[Course Length (Hours)]]/(Table2[[#This Row],[1 Instructor]]+Table2[[#This Row],[2 Instructors]])</f>
        <v>24</v>
      </c>
      <c r="AL369" s="318">
        <v>0</v>
      </c>
      <c r="AM369" s="496">
        <v>3</v>
      </c>
      <c r="AN369" s="496" t="str">
        <f>VLOOKUP(Table2[[#This Row],[Course Title]],'TSD-Data'!$A$1:$G$83,7,FALSE)</f>
        <v>N3</v>
      </c>
      <c r="AO369" s="500">
        <f>Table2[[#This Row],[Quotas]]-Table2[[#This Row],[Graduates]]-Table2[[#This Row],[Fail]]</f>
        <v>9</v>
      </c>
    </row>
    <row r="370" spans="1:41" s="202" customFormat="1" ht="15" customHeight="1" x14ac:dyDescent="0.25">
      <c r="A370" s="196"/>
      <c r="B370" s="530" t="s">
        <v>473</v>
      </c>
      <c r="C370" s="530" t="s">
        <v>453</v>
      </c>
      <c r="D370" s="200" t="str">
        <f>VLOOKUP(Table2[[#This Row],[Course Title]],'TSD-Data'!$A$1:$E$83,2,FALSE)</f>
        <v>Reserved</v>
      </c>
      <c r="E370" s="200" t="str">
        <f>VLOOKUP(Table2[[#This Row],[Course Title]],'TSD-Data'!$A$1:$E$83,3,FALSE)</f>
        <v xml:space="preserve">Reserved </v>
      </c>
      <c r="F370" s="530" t="s">
        <v>130</v>
      </c>
      <c r="G370" s="531">
        <v>46140</v>
      </c>
      <c r="H370" s="531">
        <v>46142</v>
      </c>
      <c r="I370" s="531" t="s">
        <v>434</v>
      </c>
      <c r="J370" s="532"/>
      <c r="K370" s="532"/>
      <c r="L370" s="531"/>
      <c r="M370" s="531"/>
      <c r="N370" s="531"/>
      <c r="O370" s="531"/>
      <c r="P370" s="531"/>
      <c r="Q370" s="535"/>
      <c r="R370" s="535"/>
      <c r="S370" s="535"/>
      <c r="T370" s="200">
        <f>VLOOKUP(Table2[[#This Row],[Course Title]],'TSD-Data'!$A$1:$E$83,4,FALSE)</f>
        <v>0</v>
      </c>
      <c r="U370" s="200">
        <f>VLOOKUP(Table2[[#This Row],[Course Title]],'TSD-Data'!$A$1:$F$83,6,FALSE)</f>
        <v>0</v>
      </c>
      <c r="V370" s="201">
        <f>VLOOKUP(Table2[[#This Row],[Course Title]],'TSD-Data'!$A$1:$F$83,5,FALSE)</f>
        <v>0</v>
      </c>
      <c r="W370" s="201"/>
      <c r="X370" s="200"/>
      <c r="Y370" s="200"/>
      <c r="Z370" s="201"/>
      <c r="AA370" s="201"/>
      <c r="AB370" s="200"/>
      <c r="AC370" s="200"/>
      <c r="AD370" s="200"/>
      <c r="AE370" s="541" t="s">
        <v>436</v>
      </c>
      <c r="AF370" s="495">
        <f ca="1">Table2[[#This Row],[End Date]]+2-TODAY()</f>
        <v>-100</v>
      </c>
      <c r="AG370" s="496">
        <f>IF(ISBLANK(Table2[[#This Row],[Roster Received by]]),1,0)</f>
        <v>0</v>
      </c>
      <c r="AH370" s="496">
        <f ca="1">IF(Table2[[#This Row],[Start Date]]&gt;TODAY(),1,)</f>
        <v>0</v>
      </c>
      <c r="AI370" s="496">
        <f>IF(ISBLANK(Table2[[#This Row],[Primary Instructor]]),0,1)</f>
        <v>0</v>
      </c>
      <c r="AJ370" s="496">
        <f>IF(ISBLANK(Table2[[#This Row],[Instructor 2]]),0,1)</f>
        <v>0</v>
      </c>
      <c r="AK370" s="496" t="e">
        <f>Table2[[#This Row],[Course Length (Hours)]]/(Table2[[#This Row],[1 Instructor]]+Table2[[#This Row],[2 Instructors]])</f>
        <v>#DIV/0!</v>
      </c>
      <c r="AL370" s="318"/>
      <c r="AM370" s="496"/>
      <c r="AN370" s="496" t="str">
        <f>VLOOKUP(Table2[[#This Row],[Course Title]],'TSD-Data'!$A$1:$G$83,7,FALSE)</f>
        <v>TSD</v>
      </c>
      <c r="AO370" s="500">
        <f>Table2[[#This Row],[Quotas]]-Table2[[#This Row],[Graduates]]-Table2[[#This Row],[Fail]]</f>
        <v>0</v>
      </c>
    </row>
    <row r="371" spans="1:41" s="202" customFormat="1" ht="15" customHeight="1" x14ac:dyDescent="0.25">
      <c r="B371" s="530"/>
      <c r="C371" s="530" t="s">
        <v>395</v>
      </c>
      <c r="D371" s="200" t="str">
        <f>VLOOKUP(Table2[[#This Row],[Course Title]],'TSD-Data'!$A$1:$E$83,2,FALSE)</f>
        <v>A-493-0030</v>
      </c>
      <c r="E371" s="200" t="str">
        <f>VLOOKUP(Table2[[#This Row],[Course Title]],'TSD-Data'!$A$1:$E$83,3,FALSE)</f>
        <v>286X</v>
      </c>
      <c r="F371" s="530" t="s">
        <v>54</v>
      </c>
      <c r="G371" s="531">
        <v>46146</v>
      </c>
      <c r="H371" s="531">
        <v>46150</v>
      </c>
      <c r="I371" s="531" t="s">
        <v>42</v>
      </c>
      <c r="J371" s="545"/>
      <c r="K371" s="532">
        <v>0.33333333333333331</v>
      </c>
      <c r="L371" s="532">
        <v>0.20833333333333334</v>
      </c>
      <c r="M371" s="532">
        <v>0.625</v>
      </c>
      <c r="N371" s="532">
        <v>0.54166666666666663</v>
      </c>
      <c r="O371" s="532">
        <v>8.3333333333333329E-2</v>
      </c>
      <c r="P371" s="532">
        <v>0.875</v>
      </c>
      <c r="Q371" s="535" t="s">
        <v>438</v>
      </c>
      <c r="R371" s="535"/>
      <c r="S371" s="535"/>
      <c r="T371" s="200">
        <f>VLOOKUP(Table2[[#This Row],[Course Title]],'TSD-Data'!$A$1:$E$83,4,FALSE)</f>
        <v>25</v>
      </c>
      <c r="U371" s="200">
        <f>VLOOKUP(Table2[[#This Row],[Course Title]],'TSD-Data'!$A$1:$F$83,6,FALSE)</f>
        <v>40</v>
      </c>
      <c r="V371" s="201">
        <f>VLOOKUP(Table2[[#This Row],[Course Title]],'TSD-Data'!$A$1:$F$83,5,FALSE)</f>
        <v>5</v>
      </c>
      <c r="W371" s="201">
        <v>0</v>
      </c>
      <c r="X371" s="200">
        <f>Table2[[#This Row],[Quotas]]-Table2[[#This Row],[Open Quotas]]</f>
        <v>24</v>
      </c>
      <c r="Y371" s="200">
        <v>0</v>
      </c>
      <c r="Z371" s="201">
        <v>16</v>
      </c>
      <c r="AA371" s="201">
        <v>1</v>
      </c>
      <c r="AB371" s="200">
        <v>10</v>
      </c>
      <c r="AC371" s="200">
        <v>0</v>
      </c>
      <c r="AD371" s="200">
        <v>0</v>
      </c>
      <c r="AE371" s="200" t="s">
        <v>429</v>
      </c>
      <c r="AF371" s="495">
        <f ca="1">Table2[[#This Row],[End Date]]+2-TODAY()</f>
        <v>-92</v>
      </c>
      <c r="AG371" s="496">
        <f>IF(ISBLANK(Table2[[#This Row],[Roster Received by]]),1,0)</f>
        <v>0</v>
      </c>
      <c r="AH371" s="496">
        <f ca="1">IF(Table2[[#This Row],[Start Date]]&gt;TODAY(),1,)</f>
        <v>0</v>
      </c>
      <c r="AI371" s="496">
        <f>IF(ISBLANK(Table2[[#This Row],[Primary Instructor]]),0,1)</f>
        <v>1</v>
      </c>
      <c r="AJ371" s="496">
        <f>IF(ISBLANK(Table2[[#This Row],[Instructor 2]]),0,1)</f>
        <v>0</v>
      </c>
      <c r="AK371" s="496">
        <f>Table2[[#This Row],[Course Length (Hours)]]/(Table2[[#This Row],[1 Instructor]]+Table2[[#This Row],[2 Instructors]])</f>
        <v>40</v>
      </c>
      <c r="AL371" s="318">
        <v>1</v>
      </c>
      <c r="AM371" s="496">
        <v>3</v>
      </c>
      <c r="AN371" s="496" t="str">
        <f>VLOOKUP(Table2[[#This Row],[Course Title]],'TSD-Data'!$A$1:$G$83,7,FALSE)</f>
        <v>N3</v>
      </c>
      <c r="AO371" s="500">
        <f>Table2[[#This Row],[Quotas]]-Table2[[#This Row],[Graduates]]-Table2[[#This Row],[Fail]]</f>
        <v>8</v>
      </c>
    </row>
    <row r="372" spans="1:41" ht="15" customHeight="1" x14ac:dyDescent="0.25">
      <c r="A372" s="202"/>
      <c r="B372" s="530"/>
      <c r="C372" s="530" t="s">
        <v>213</v>
      </c>
      <c r="D372" s="200" t="str">
        <f>VLOOKUP(Table2[[#This Row],[Course Title]],'TSD-Data'!$A$1:$E$83,2,FALSE)</f>
        <v>A-322-2604</v>
      </c>
      <c r="E372" s="200" t="str">
        <f>VLOOKUP(Table2[[#This Row],[Course Title]],'TSD-Data'!$A$1:$E$83,3,FALSE)</f>
        <v>10ZZ</v>
      </c>
      <c r="F372" s="530" t="s">
        <v>54</v>
      </c>
      <c r="G372" s="531">
        <v>46146</v>
      </c>
      <c r="H372" s="531">
        <v>46148</v>
      </c>
      <c r="I372" s="531" t="s">
        <v>42</v>
      </c>
      <c r="J372" s="532"/>
      <c r="K372" s="558">
        <v>0.5</v>
      </c>
      <c r="L372" s="536">
        <v>0.375</v>
      </c>
      <c r="M372" s="536">
        <v>0.79166666666666663</v>
      </c>
      <c r="N372" s="536">
        <v>0.75</v>
      </c>
      <c r="O372" s="536">
        <v>0.25</v>
      </c>
      <c r="P372" s="536">
        <v>4.1666666666666664E-2</v>
      </c>
      <c r="Q372" s="535" t="s">
        <v>432</v>
      </c>
      <c r="R372" s="535"/>
      <c r="S372" s="535"/>
      <c r="T372" s="200">
        <f>VLOOKUP(Table2[[#This Row],[Course Title]],'TSD-Data'!$A$1:$E$83,4,FALSE)</f>
        <v>45</v>
      </c>
      <c r="U372" s="200">
        <f>VLOOKUP(Table2[[#This Row],[Course Title]],'TSD-Data'!$A$1:$F$83,6,FALSE)</f>
        <v>24</v>
      </c>
      <c r="V372" s="201">
        <f>VLOOKUP(Table2[[#This Row],[Course Title]],'TSD-Data'!$A$1:$F$83,5,FALSE)</f>
        <v>3</v>
      </c>
      <c r="W372" s="201">
        <v>621</v>
      </c>
      <c r="X372" s="200">
        <f>Table2[[#This Row],[Quotas]]-Table2[[#This Row],[Open Quotas]]</f>
        <v>45</v>
      </c>
      <c r="Y372" s="200">
        <v>0</v>
      </c>
      <c r="Z372" s="201">
        <v>33</v>
      </c>
      <c r="AA372" s="201">
        <v>3</v>
      </c>
      <c r="AB372" s="200">
        <v>10</v>
      </c>
      <c r="AC372" s="200">
        <v>0</v>
      </c>
      <c r="AD372" s="200">
        <v>0</v>
      </c>
      <c r="AE372" s="200" t="s">
        <v>431</v>
      </c>
      <c r="AF372" s="495">
        <f ca="1">Table2[[#This Row],[End Date]]+2-TODAY()</f>
        <v>-94</v>
      </c>
      <c r="AG372" s="496">
        <f>IF(ISBLANK(Table2[[#This Row],[Roster Received by]]),1,0)</f>
        <v>0</v>
      </c>
      <c r="AH372" s="496">
        <f ca="1">IF(Table2[[#This Row],[Start Date]]&gt;TODAY(),1,)</f>
        <v>0</v>
      </c>
      <c r="AI372" s="496">
        <f>IF(ISBLANK(Table2[[#This Row],[Primary Instructor]]),0,1)</f>
        <v>1</v>
      </c>
      <c r="AJ372" s="496">
        <f>IF(ISBLANK(Table2[[#This Row],[Instructor 2]]),0,1)</f>
        <v>0</v>
      </c>
      <c r="AK372" s="496">
        <f>Table2[[#This Row],[Course Length (Hours)]]/(Table2[[#This Row],[1 Instructor]]+Table2[[#This Row],[2 Instructors]])</f>
        <v>24</v>
      </c>
      <c r="AL372" s="318">
        <v>0</v>
      </c>
      <c r="AM372" s="496">
        <v>3</v>
      </c>
      <c r="AN372" s="496" t="str">
        <f>VLOOKUP(Table2[[#This Row],[Course Title]],'TSD-Data'!$A$1:$G$83,7,FALSE)</f>
        <v>N8</v>
      </c>
      <c r="AO372" s="500">
        <f>Table2[[#This Row],[Quotas]]-Table2[[#This Row],[Graduates]]-Table2[[#This Row],[Fail]]</f>
        <v>9</v>
      </c>
    </row>
    <row r="373" spans="1:41" ht="15" customHeight="1" x14ac:dyDescent="0.25">
      <c r="B373" s="155" t="s">
        <v>474</v>
      </c>
      <c r="C373" s="321" t="s">
        <v>49</v>
      </c>
      <c r="D373" s="200" t="str">
        <f>VLOOKUP(Table2[[#This Row],[Course Title]],'TSD-Data'!$A$1:$E$83,2,FALSE)</f>
        <v>A-493-0012</v>
      </c>
      <c r="E373" s="200">
        <f>VLOOKUP(Table2[[#This Row],[Course Title]],'TSD-Data'!$A$1:$E$83,3,FALSE)</f>
        <v>3682</v>
      </c>
      <c r="F373" s="321" t="s">
        <v>97</v>
      </c>
      <c r="G373" s="129">
        <v>46146</v>
      </c>
      <c r="H373" s="129">
        <v>46150</v>
      </c>
      <c r="I373" s="129" t="s">
        <v>42</v>
      </c>
      <c r="J373" s="532">
        <v>0.33333333333333331</v>
      </c>
      <c r="K373" s="532"/>
      <c r="L373" s="531"/>
      <c r="M373" s="531"/>
      <c r="N373" s="531"/>
      <c r="O373" s="531"/>
      <c r="P373" s="531"/>
      <c r="Q373" s="535" t="s">
        <v>439</v>
      </c>
      <c r="R373" s="535"/>
      <c r="S373" s="535"/>
      <c r="T373" s="200">
        <f>VLOOKUP(Table2[[#This Row],[Course Title]],'TSD-Data'!$A$1:$E$83,4,FALSE)</f>
        <v>40</v>
      </c>
      <c r="U373" s="200">
        <f>VLOOKUP(Table2[[#This Row],[Course Title]],'TSD-Data'!$A$1:$F$83,6,FALSE)</f>
        <v>40</v>
      </c>
      <c r="V373" s="201">
        <f>VLOOKUP(Table2[[#This Row],[Course Title]],'TSD-Data'!$A$1:$F$83,5,FALSE)</f>
        <v>5</v>
      </c>
      <c r="W373" s="200">
        <v>30</v>
      </c>
      <c r="X373" s="200">
        <f>Table2[[#This Row],[Quotas]]-Table2[[#This Row],[Open Quotas]]</f>
        <v>27</v>
      </c>
      <c r="Y373" s="200">
        <v>0</v>
      </c>
      <c r="Z373" s="201">
        <v>40</v>
      </c>
      <c r="AA373" s="201">
        <v>0</v>
      </c>
      <c r="AB373" s="200">
        <v>3</v>
      </c>
      <c r="AC373" s="200">
        <v>16</v>
      </c>
      <c r="AD373" s="200">
        <v>0</v>
      </c>
      <c r="AE373" s="200" t="s">
        <v>428</v>
      </c>
      <c r="AF373" s="495">
        <f ca="1">Table2[[#This Row],[End Date]]+2-TODAY()</f>
        <v>-92</v>
      </c>
      <c r="AG373" s="496">
        <f>IF(ISBLANK(Table2[[#This Row],[Roster Received by]]),1,0)</f>
        <v>0</v>
      </c>
      <c r="AH373" s="496">
        <f ca="1">IF(Table2[[#This Row],[Start Date]]&gt;TODAY(),1,)</f>
        <v>0</v>
      </c>
      <c r="AI373" s="496">
        <f>IF(ISBLANK(Table2[[#This Row],[Primary Instructor]]),0,1)</f>
        <v>1</v>
      </c>
      <c r="AJ373" s="496">
        <f>IF(ISBLANK(Table2[[#This Row],[Instructor 2]]),0,1)</f>
        <v>0</v>
      </c>
      <c r="AK373" s="496">
        <f>Table2[[#This Row],[Course Length (Hours)]]/(Table2[[#This Row],[1 Instructor]]+Table2[[#This Row],[2 Instructors]])</f>
        <v>40</v>
      </c>
      <c r="AL373" s="318">
        <v>13</v>
      </c>
      <c r="AM373" s="496">
        <v>3</v>
      </c>
      <c r="AN373" s="496" t="str">
        <f>VLOOKUP(Table2[[#This Row],[Course Title]],'TSD-Data'!$A$1:$G$83,7,FALSE)</f>
        <v>N4</v>
      </c>
      <c r="AO373" s="500">
        <f>Table2[[#This Row],[Quotas]]-Table2[[#This Row],[Graduates]]-Table2[[#This Row],[Fail]]</f>
        <v>0</v>
      </c>
    </row>
    <row r="374" spans="1:41" s="202" customFormat="1" ht="15" customHeight="1" x14ac:dyDescent="0.25">
      <c r="A374" s="196"/>
      <c r="B374" s="530" t="s">
        <v>475</v>
      </c>
      <c r="C374" s="530" t="s">
        <v>56</v>
      </c>
      <c r="D374" s="200" t="str">
        <f>VLOOKUP(Table2[[#This Row],[Course Title]],'TSD-Data'!$A$1:$E$83,2,FALSE)</f>
        <v>A-493-0550</v>
      </c>
      <c r="E374" s="200" t="str">
        <f>VLOOKUP(Table2[[#This Row],[Course Title]],'TSD-Data'!$A$1:$E$83,3,FALSE)</f>
        <v>09K5</v>
      </c>
      <c r="F374" s="530" t="s">
        <v>54</v>
      </c>
      <c r="G374" s="531">
        <v>46146</v>
      </c>
      <c r="H374" s="531">
        <v>46149</v>
      </c>
      <c r="I374" s="531" t="s">
        <v>42</v>
      </c>
      <c r="J374" s="532"/>
      <c r="K374" s="532">
        <v>0.33333333333333331</v>
      </c>
      <c r="L374" s="532">
        <v>0.20833333333333334</v>
      </c>
      <c r="M374" s="532">
        <v>0.625</v>
      </c>
      <c r="N374" s="532">
        <v>0.54166666666666663</v>
      </c>
      <c r="O374" s="532">
        <v>8.3333333333333329E-2</v>
      </c>
      <c r="P374" s="532">
        <v>0.875</v>
      </c>
      <c r="Q374" s="535" t="s">
        <v>427</v>
      </c>
      <c r="R374" s="535"/>
      <c r="S374" s="535"/>
      <c r="T374" s="200">
        <f>VLOOKUP(Table2[[#This Row],[Course Title]],'TSD-Data'!$A$1:$E$83,4,FALSE)</f>
        <v>45</v>
      </c>
      <c r="U374" s="200">
        <f>VLOOKUP(Table2[[#This Row],[Course Title]],'TSD-Data'!$A$1:$F$83,6,FALSE)</f>
        <v>32</v>
      </c>
      <c r="V374" s="201">
        <f>VLOOKUP(Table2[[#This Row],[Course Title]],'TSD-Data'!$A$1:$F$83,5,FALSE)</f>
        <v>4</v>
      </c>
      <c r="W374" s="201"/>
      <c r="X374" s="200"/>
      <c r="Y374" s="200">
        <v>0</v>
      </c>
      <c r="Z374" s="201">
        <v>12</v>
      </c>
      <c r="AA374" s="201">
        <v>0</v>
      </c>
      <c r="AB374" s="200">
        <v>1</v>
      </c>
      <c r="AC374" s="200">
        <v>0</v>
      </c>
      <c r="AD374" s="200">
        <v>0</v>
      </c>
      <c r="AE374" s="200" t="s">
        <v>431</v>
      </c>
      <c r="AF374" s="495">
        <f ca="1">Table2[[#This Row],[End Date]]+2-TODAY()</f>
        <v>-93</v>
      </c>
      <c r="AG374" s="496">
        <f>IF(ISBLANK(Table2[[#This Row],[Roster Received by]]),1,0)</f>
        <v>0</v>
      </c>
      <c r="AH374" s="496">
        <f ca="1">IF(Table2[[#This Row],[Start Date]]&gt;TODAY(),1,)</f>
        <v>0</v>
      </c>
      <c r="AI374" s="496">
        <f>IF(ISBLANK(Table2[[#This Row],[Primary Instructor]]),0,1)</f>
        <v>1</v>
      </c>
      <c r="AJ374" s="496">
        <f>IF(ISBLANK(Table2[[#This Row],[Instructor 2]]),0,1)</f>
        <v>0</v>
      </c>
      <c r="AK374" s="496">
        <f>AJ729</f>
        <v>0</v>
      </c>
      <c r="AL374" s="318">
        <v>0</v>
      </c>
      <c r="AM374" s="496"/>
      <c r="AN374" s="496" t="str">
        <f>VLOOKUP(Table2[[#This Row],[Course Title]],'TSD-Data'!$A$1:$G$83,7,FALSE)</f>
        <v>N5</v>
      </c>
      <c r="AO374" s="500">
        <f>Table2[[#This Row],[Quotas]]-Table2[[#This Row],[Graduates]]-Table2[[#This Row],[Fail]]</f>
        <v>33</v>
      </c>
    </row>
    <row r="375" spans="1:41" ht="15" customHeight="1" x14ac:dyDescent="0.25">
      <c r="A375" s="202"/>
      <c r="B375" s="530" t="s">
        <v>476</v>
      </c>
      <c r="C375" s="530" t="s">
        <v>45</v>
      </c>
      <c r="D375" s="200" t="str">
        <f>VLOOKUP(Table2[[#This Row],[Course Title]],'TSD-Data'!$A$1:$E$83,2,FALSE)</f>
        <v>A-493-0013</v>
      </c>
      <c r="E375" s="200">
        <f>VLOOKUP(Table2[[#This Row],[Course Title]],'TSD-Data'!$A$1:$E$83,3,FALSE)</f>
        <v>3683</v>
      </c>
      <c r="F375" s="530" t="s">
        <v>315</v>
      </c>
      <c r="G375" s="531">
        <v>46146</v>
      </c>
      <c r="H375" s="531">
        <v>46148</v>
      </c>
      <c r="I375" s="129" t="s">
        <v>42</v>
      </c>
      <c r="J375" s="532">
        <v>0.33333333333333331</v>
      </c>
      <c r="K375" s="532"/>
      <c r="L375" s="531"/>
      <c r="M375" s="531"/>
      <c r="N375" s="531"/>
      <c r="O375" s="531"/>
      <c r="P375" s="531"/>
      <c r="Q375" s="535" t="s">
        <v>450</v>
      </c>
      <c r="R375" s="535"/>
      <c r="S375" s="535"/>
      <c r="T375" s="200">
        <f>VLOOKUP(Table2[[#This Row],[Course Title]],'TSD-Data'!$A$1:$E$83,4,FALSE)</f>
        <v>40</v>
      </c>
      <c r="U375" s="200">
        <f>VLOOKUP(Table2[[#This Row],[Course Title]],'TSD-Data'!$A$1:$F$83,6,FALSE)</f>
        <v>24</v>
      </c>
      <c r="V375" s="201">
        <f>VLOOKUP(Table2[[#This Row],[Course Title]],'TSD-Data'!$A$1:$F$83,5,FALSE)</f>
        <v>3</v>
      </c>
      <c r="W375" s="201">
        <v>30</v>
      </c>
      <c r="X375" s="200">
        <f>Table2[[#This Row],[Quotas]]-Table2[[#This Row],[Open Quotas]]</f>
        <v>11</v>
      </c>
      <c r="Y375" s="200">
        <v>0</v>
      </c>
      <c r="Z375" s="201">
        <v>31</v>
      </c>
      <c r="AA375" s="201">
        <v>0</v>
      </c>
      <c r="AB375" s="200">
        <v>1</v>
      </c>
      <c r="AC375" s="200">
        <v>23</v>
      </c>
      <c r="AD375" s="200">
        <v>0</v>
      </c>
      <c r="AE375" s="200" t="s">
        <v>428</v>
      </c>
      <c r="AF375" s="495">
        <f ca="1">Table2[[#This Row],[End Date]]+2-TODAY()</f>
        <v>-94</v>
      </c>
      <c r="AG375" s="496">
        <f>IF(ISBLANK(Table2[[#This Row],[Roster Received by]]),1,0)</f>
        <v>0</v>
      </c>
      <c r="AH375" s="496">
        <f ca="1">IF(Table2[[#This Row],[Start Date]]&gt;TODAY(),1,)</f>
        <v>0</v>
      </c>
      <c r="AI375" s="496">
        <f>IF(ISBLANK(Table2[[#This Row],[Primary Instructor]]),0,1)</f>
        <v>1</v>
      </c>
      <c r="AJ375" s="496">
        <f>IF(ISBLANK(Table2[[#This Row],[Instructor 2]]),0,1)</f>
        <v>0</v>
      </c>
      <c r="AK375" s="496">
        <f>Table2[[#This Row],[Course Length (Hours)]]/(Table2[[#This Row],[1 Instructor]]+Table2[[#This Row],[2 Instructors]])</f>
        <v>24</v>
      </c>
      <c r="AL375" s="318">
        <v>29</v>
      </c>
      <c r="AM375" s="496">
        <v>3</v>
      </c>
      <c r="AN375" s="496" t="str">
        <f>VLOOKUP(Table2[[#This Row],[Course Title]],'TSD-Data'!$A$1:$G$83,7,FALSE)</f>
        <v>N4</v>
      </c>
      <c r="AO375" s="500">
        <f>Table2[[#This Row],[Quotas]]-Table2[[#This Row],[Graduates]]-Table2[[#This Row],[Fail]]</f>
        <v>9</v>
      </c>
    </row>
    <row r="376" spans="1:41" ht="15" customHeight="1" x14ac:dyDescent="0.25">
      <c r="B376" s="530" t="s">
        <v>80</v>
      </c>
      <c r="C376" s="530" t="s">
        <v>77</v>
      </c>
      <c r="D376" s="200" t="str">
        <f>VLOOKUP(Table2[[#This Row],[Course Title]],'TSD-Data'!$A$1:$E$83,2,FALSE)</f>
        <v>A-493-0072</v>
      </c>
      <c r="E376" s="200" t="str">
        <f>VLOOKUP(Table2[[#This Row],[Course Title]],'TSD-Data'!$A$1:$E$83,3,FALSE)</f>
        <v>713U</v>
      </c>
      <c r="F376" s="530" t="s">
        <v>477</v>
      </c>
      <c r="G376" s="531">
        <v>46146</v>
      </c>
      <c r="H376" s="531">
        <v>46150</v>
      </c>
      <c r="I376" s="531" t="s">
        <v>42</v>
      </c>
      <c r="J376" s="532">
        <v>0.33333333333333331</v>
      </c>
      <c r="K376" s="532"/>
      <c r="L376" s="531"/>
      <c r="M376" s="531"/>
      <c r="N376" s="531"/>
      <c r="O376" s="531"/>
      <c r="P376" s="531"/>
      <c r="Q376" s="535" t="s">
        <v>62</v>
      </c>
      <c r="R376" s="535"/>
      <c r="S376" s="535" t="s">
        <v>79</v>
      </c>
      <c r="T376" s="200">
        <f>VLOOKUP(Table2[[#This Row],[Course Title]],'TSD-Data'!$A$1:$E$83,4,FALSE)</f>
        <v>30</v>
      </c>
      <c r="U376" s="200">
        <f>VLOOKUP(Table2[[#This Row],[Course Title]],'TSD-Data'!$A$1:$F$83,6,FALSE)</f>
        <v>40</v>
      </c>
      <c r="V376" s="201">
        <f>VLOOKUP(Table2[[#This Row],[Course Title]],'TSD-Data'!$A$1:$F$83,5,FALSE)</f>
        <v>5</v>
      </c>
      <c r="W376" s="201">
        <v>15</v>
      </c>
      <c r="X376" s="200">
        <f>Table2[[#This Row],[Quotas]]-Table2[[#This Row],[Open Quotas]]</f>
        <v>30</v>
      </c>
      <c r="Y376" s="200">
        <v>0</v>
      </c>
      <c r="Z376" s="201">
        <v>24</v>
      </c>
      <c r="AA376" s="201">
        <v>0</v>
      </c>
      <c r="AB376" s="200">
        <v>0</v>
      </c>
      <c r="AC376" s="200">
        <v>0</v>
      </c>
      <c r="AD376" s="200">
        <v>0</v>
      </c>
      <c r="AE376" s="200" t="s">
        <v>429</v>
      </c>
      <c r="AF376" s="495">
        <f ca="1">Table2[[#This Row],[End Date]]+2-TODAY()</f>
        <v>-92</v>
      </c>
      <c r="AG376" s="496">
        <f>IF(ISBLANK(Table2[[#This Row],[Roster Received by]]),1,0)</f>
        <v>0</v>
      </c>
      <c r="AH376" s="496">
        <f ca="1">IF(Table2[[#This Row],[Start Date]]&gt;TODAY(),1,)</f>
        <v>0</v>
      </c>
      <c r="AI376" s="496">
        <f>IF(ISBLANK(Table2[[#This Row],[Primary Instructor]]),0,1)</f>
        <v>1</v>
      </c>
      <c r="AJ376" s="496">
        <f>IF(ISBLANK(Table2[[#This Row],[Instructor 2]]),0,1)</f>
        <v>0</v>
      </c>
      <c r="AK376" s="496">
        <f>Table2[[#This Row],[Course Length (Hours)]]/(Table2[[#This Row],[1 Instructor]]+Table2[[#This Row],[2 Instructors]])</f>
        <v>40</v>
      </c>
      <c r="AL376" s="318">
        <v>0</v>
      </c>
      <c r="AM376" s="496">
        <v>3</v>
      </c>
      <c r="AN376" s="496" t="str">
        <f>VLOOKUP(Table2[[#This Row],[Course Title]],'TSD-Data'!$A$1:$G$83,7,FALSE)</f>
        <v>N3</v>
      </c>
      <c r="AO376" s="500">
        <f>Table2[[#This Row],[Quotas]]-Table2[[#This Row],[Graduates]]-Table2[[#This Row],[Fail]]</f>
        <v>6</v>
      </c>
    </row>
    <row r="377" spans="1:41" ht="15" customHeight="1" x14ac:dyDescent="0.25">
      <c r="B377" s="530"/>
      <c r="C377" s="530" t="s">
        <v>77</v>
      </c>
      <c r="D377" s="200" t="str">
        <f>VLOOKUP(Table2[[#This Row],[Course Title]],'TSD-Data'!$A$1:$E$83,2,FALSE)</f>
        <v>A-493-0072</v>
      </c>
      <c r="E377" s="200" t="str">
        <f>VLOOKUP(Table2[[#This Row],[Course Title]],'TSD-Data'!$A$1:$E$83,3,FALSE)</f>
        <v>713U</v>
      </c>
      <c r="F377" s="530" t="s">
        <v>96</v>
      </c>
      <c r="G377" s="531">
        <v>46146</v>
      </c>
      <c r="H377" s="531">
        <v>46150</v>
      </c>
      <c r="I377" s="531" t="s">
        <v>42</v>
      </c>
      <c r="J377" s="532">
        <v>0.33333333333333331</v>
      </c>
      <c r="K377" s="532"/>
      <c r="L377" s="531"/>
      <c r="M377" s="531"/>
      <c r="N377" s="531"/>
      <c r="O377" s="531"/>
      <c r="P377" s="531"/>
      <c r="Q377" s="535" t="s">
        <v>67</v>
      </c>
      <c r="R377" s="535" t="s">
        <v>111</v>
      </c>
      <c r="S377" s="535"/>
      <c r="T377" s="200">
        <f>VLOOKUP(Table2[[#This Row],[Course Title]],'TSD-Data'!$A$1:$E$83,4,FALSE)</f>
        <v>30</v>
      </c>
      <c r="U377" s="200">
        <f>VLOOKUP(Table2[[#This Row],[Course Title]],'TSD-Data'!$A$1:$F$83,6,FALSE)</f>
        <v>40</v>
      </c>
      <c r="V377" s="201">
        <f>VLOOKUP(Table2[[#This Row],[Course Title]],'TSD-Data'!$A$1:$F$83,5,FALSE)</f>
        <v>5</v>
      </c>
      <c r="W377" s="201">
        <v>50</v>
      </c>
      <c r="X377" s="200">
        <f>Table2[[#This Row],[Quotas]]-Table2[[#This Row],[Open Quotas]]</f>
        <v>30</v>
      </c>
      <c r="Y377" s="200">
        <v>5</v>
      </c>
      <c r="Z377" s="201">
        <v>30</v>
      </c>
      <c r="AA377" s="201">
        <v>0</v>
      </c>
      <c r="AB377" s="200">
        <v>7</v>
      </c>
      <c r="AC377" s="200">
        <v>7</v>
      </c>
      <c r="AD377" s="200">
        <v>0</v>
      </c>
      <c r="AE377" s="200" t="s">
        <v>429</v>
      </c>
      <c r="AF377" s="495">
        <f ca="1">Table2[[#This Row],[End Date]]+2-TODAY()</f>
        <v>-92</v>
      </c>
      <c r="AG377" s="496">
        <f>IF(ISBLANK(Table2[[#This Row],[Roster Received by]]),1,0)</f>
        <v>0</v>
      </c>
      <c r="AH377" s="496">
        <f ca="1">IF(Table2[[#This Row],[Start Date]]&gt;TODAY(),1,)</f>
        <v>0</v>
      </c>
      <c r="AI377" s="496">
        <f>IF(ISBLANK(Table2[[#This Row],[Primary Instructor]]),0,1)</f>
        <v>1</v>
      </c>
      <c r="AJ377" s="496">
        <f>IF(ISBLANK(Table2[[#This Row],[Instructor 2]]),0,1)</f>
        <v>1</v>
      </c>
      <c r="AK377" s="496">
        <f>Table2[[#This Row],[Course Length (Hours)]]/(Table2[[#This Row],[1 Instructor]]+Table2[[#This Row],[2 Instructors]])</f>
        <v>20</v>
      </c>
      <c r="AL377" s="318">
        <v>0</v>
      </c>
      <c r="AM377" s="497">
        <v>2</v>
      </c>
      <c r="AN377" s="496" t="str">
        <f>VLOOKUP(Table2[[#This Row],[Course Title]],'TSD-Data'!$A$1:$G$83,7,FALSE)</f>
        <v>N3</v>
      </c>
      <c r="AO377" s="500">
        <f>Table2[[#This Row],[Quotas]]-Table2[[#This Row],[Graduates]]-Table2[[#This Row],[Fail]]</f>
        <v>0</v>
      </c>
    </row>
    <row r="378" spans="1:41" ht="15" customHeight="1" x14ac:dyDescent="0.25">
      <c r="B378" s="530"/>
      <c r="C378" s="530" t="s">
        <v>414</v>
      </c>
      <c r="D378" s="200" t="str">
        <f>VLOOKUP(Table2[[#This Row],[Course Title]],'TSD-Data'!$A$1:$E$83,2,FALSE)</f>
        <v>A-4J-0019</v>
      </c>
      <c r="E378" s="200" t="str">
        <f>VLOOKUP(Table2[[#This Row],[Course Title]],'TSD-Data'!$A$1:$E$83,3,FALSE)</f>
        <v>28SL/285M</v>
      </c>
      <c r="F378" s="530" t="s">
        <v>443</v>
      </c>
      <c r="G378" s="531">
        <v>46146</v>
      </c>
      <c r="H378" s="531">
        <v>46150</v>
      </c>
      <c r="I378" s="531" t="s">
        <v>42</v>
      </c>
      <c r="J378" s="532">
        <v>0.3125</v>
      </c>
      <c r="K378" s="532"/>
      <c r="L378" s="531"/>
      <c r="M378" s="531"/>
      <c r="N378" s="531"/>
      <c r="O378" s="531"/>
      <c r="P378" s="531"/>
      <c r="Q378" s="535" t="s">
        <v>444</v>
      </c>
      <c r="R378" s="535" t="s">
        <v>445</v>
      </c>
      <c r="S378" s="535"/>
      <c r="T378" s="200">
        <f>VLOOKUP(Table2[[#This Row],[Course Title]],'TSD-Data'!$A$1:$E$83,4,FALSE)</f>
        <v>20</v>
      </c>
      <c r="U378" s="200">
        <f>VLOOKUP(Table2[[#This Row],[Course Title]],'TSD-Data'!$A$1:$F$83,6,FALSE)</f>
        <v>40</v>
      </c>
      <c r="V378" s="201">
        <f>VLOOKUP(Table2[[#This Row],[Course Title]],'TSD-Data'!$A$1:$F$83,5,FALSE)</f>
        <v>5</v>
      </c>
      <c r="W378" s="201">
        <v>148</v>
      </c>
      <c r="X378" s="200">
        <f>Table2[[#This Row],[Quotas]]-Table2[[#This Row],[Open Quotas]]</f>
        <v>18</v>
      </c>
      <c r="Y378" s="200">
        <v>0</v>
      </c>
      <c r="Z378" s="201">
        <v>16</v>
      </c>
      <c r="AA378" s="201">
        <v>0</v>
      </c>
      <c r="AB378" s="200">
        <v>0</v>
      </c>
      <c r="AC378" s="200">
        <v>0</v>
      </c>
      <c r="AD378" s="200">
        <v>0</v>
      </c>
      <c r="AE378" s="200" t="s">
        <v>431</v>
      </c>
      <c r="AF378" s="495">
        <f ca="1">Table2[[#This Row],[End Date]]+2-TODAY()</f>
        <v>-92</v>
      </c>
      <c r="AG378" s="496">
        <f>IF(ISBLANK(Table2[[#This Row],[Roster Received by]]),1,0)</f>
        <v>0</v>
      </c>
      <c r="AH378" s="496">
        <f ca="1">IF(Table2[[#This Row],[Start Date]]&gt;TODAY(),1,)</f>
        <v>0</v>
      </c>
      <c r="AI378" s="496">
        <f>IF(ISBLANK(Table2[[#This Row],[Primary Instructor]]),0,1)</f>
        <v>1</v>
      </c>
      <c r="AJ378" s="496">
        <f>IF(ISBLANK(Table2[[#This Row],[Instructor 2]]),0,1)</f>
        <v>1</v>
      </c>
      <c r="AK378" s="496">
        <f>Table2[[#This Row],[Course Length (Hours)]]/(Table2[[#This Row],[1 Instructor]]+Table2[[#This Row],[2 Instructors]])</f>
        <v>20</v>
      </c>
      <c r="AL378" s="318">
        <v>2</v>
      </c>
      <c r="AM378" s="496">
        <v>3</v>
      </c>
      <c r="AN378" s="496" t="str">
        <f>VLOOKUP(Table2[[#This Row],[Course Title]],'TSD-Data'!$A$1:$G$83,7,FALSE)</f>
        <v>N8</v>
      </c>
      <c r="AO378" s="500">
        <f>Table2[[#This Row],[Quotas]]-Table2[[#This Row],[Graduates]]-Table2[[#This Row],[Fail]]</f>
        <v>4</v>
      </c>
    </row>
    <row r="379" spans="1:41" ht="15" customHeight="1" x14ac:dyDescent="0.25">
      <c r="B379" s="530"/>
      <c r="C379" s="530" t="s">
        <v>236</v>
      </c>
      <c r="D379" s="200" t="str">
        <f>VLOOKUP(Table2[[#This Row],[Course Title]],'TSD-Data'!$A$1:$E$83,2,FALSE)</f>
        <v>A-493-2098</v>
      </c>
      <c r="E379" s="200" t="str">
        <f>VLOOKUP(Table2[[#This Row],[Course Title]],'TSD-Data'!$A$1:$E$83,3,FALSE)</f>
        <v>09WW</v>
      </c>
      <c r="F379" s="530" t="s">
        <v>54</v>
      </c>
      <c r="G379" s="531">
        <v>46146</v>
      </c>
      <c r="H379" s="531">
        <v>46148</v>
      </c>
      <c r="I379" s="531" t="s">
        <v>42</v>
      </c>
      <c r="J379" s="532"/>
      <c r="K379" s="532">
        <v>0.5</v>
      </c>
      <c r="L379" s="536">
        <v>0.375</v>
      </c>
      <c r="M379" s="536">
        <v>0.79166666666666663</v>
      </c>
      <c r="N379" s="536">
        <v>0.75</v>
      </c>
      <c r="O379" s="536">
        <v>0.25</v>
      </c>
      <c r="P379" s="536">
        <v>4.1666666666666664E-2</v>
      </c>
      <c r="Q379" s="535" t="s">
        <v>43</v>
      </c>
      <c r="R379" s="535" t="s">
        <v>462</v>
      </c>
      <c r="S379" s="535"/>
      <c r="T379" s="200">
        <f>VLOOKUP(Table2[[#This Row],[Course Title]],'TSD-Data'!$A$1:$E$83,4,FALSE)</f>
        <v>100</v>
      </c>
      <c r="U379" s="200">
        <f>VLOOKUP(Table2[[#This Row],[Course Title]],'TSD-Data'!$A$1:$F$83,6,FALSE)</f>
        <v>16</v>
      </c>
      <c r="V379" s="201">
        <f>VLOOKUP(Table2[[#This Row],[Course Title]],'TSD-Data'!$A$1:$F$83,5,FALSE)</f>
        <v>3</v>
      </c>
      <c r="W379" s="201">
        <v>1882</v>
      </c>
      <c r="X379" s="200">
        <f>Table2[[#This Row],[Quotas]]-Table2[[#This Row],[Open Quotas]]</f>
        <v>98</v>
      </c>
      <c r="Y379" s="200">
        <v>0</v>
      </c>
      <c r="Z379" s="201">
        <v>68</v>
      </c>
      <c r="AA379" s="201">
        <v>7</v>
      </c>
      <c r="AB379" s="200">
        <v>29</v>
      </c>
      <c r="AC379" s="200">
        <v>6</v>
      </c>
      <c r="AD379" s="200">
        <v>0</v>
      </c>
      <c r="AE379" s="200" t="s">
        <v>428</v>
      </c>
      <c r="AF379" s="495">
        <f ca="1">Table2[[#This Row],[End Date]]+2-TODAY()</f>
        <v>-94</v>
      </c>
      <c r="AG379" s="496">
        <f>IF(ISBLANK(Table2[[#This Row],[Roster Received by]]),1,0)</f>
        <v>0</v>
      </c>
      <c r="AH379" s="496">
        <f ca="1">IF(Table2[[#This Row],[Start Date]]&gt;TODAY(),1,)</f>
        <v>0</v>
      </c>
      <c r="AI379" s="496">
        <f>IF(ISBLANK(Table2[[#This Row],[Primary Instructor]]),0,1)</f>
        <v>1</v>
      </c>
      <c r="AJ379" s="496">
        <f>IF(ISBLANK(Table2[[#This Row],[Instructor 2]]),0,1)</f>
        <v>1</v>
      </c>
      <c r="AK379" s="496">
        <f>Table2[[#This Row],[Course Length (Hours)]]/(Table2[[#This Row],[1 Instructor]]+Table2[[#This Row],[2 Instructors]])</f>
        <v>8</v>
      </c>
      <c r="AL379" s="318">
        <v>2</v>
      </c>
      <c r="AM379" s="496">
        <v>3</v>
      </c>
      <c r="AN379" s="496" t="str">
        <f>VLOOKUP(Table2[[#This Row],[Course Title]],'TSD-Data'!$A$1:$G$83,7,FALSE)</f>
        <v>N8</v>
      </c>
      <c r="AO379" s="500">
        <f>Table2[[#This Row],[Quotas]]-Table2[[#This Row],[Graduates]]-Table2[[#This Row],[Fail]]</f>
        <v>25</v>
      </c>
    </row>
    <row r="380" spans="1:41" s="202" customFormat="1" ht="15" customHeight="1" x14ac:dyDescent="0.25">
      <c r="A380" s="196"/>
      <c r="B380" s="530"/>
      <c r="C380" s="542" t="s">
        <v>249</v>
      </c>
      <c r="D380" s="200" t="str">
        <f>VLOOKUP(Table2[[#This Row],[Course Title]],'TSD-Data'!$A$1:$E$83,2,FALSE)</f>
        <v>A-493-0331</v>
      </c>
      <c r="E380" s="200" t="str">
        <f>VLOOKUP(Table2[[#This Row],[Course Title]],'TSD-Data'!$A$1:$E$83,3,FALSE)</f>
        <v>10UG</v>
      </c>
      <c r="F380" s="530" t="s">
        <v>54</v>
      </c>
      <c r="G380" s="531">
        <v>46147</v>
      </c>
      <c r="H380" s="531">
        <v>46149</v>
      </c>
      <c r="I380" s="531" t="s">
        <v>42</v>
      </c>
      <c r="J380" s="532"/>
      <c r="K380" s="532">
        <v>0.5</v>
      </c>
      <c r="L380" s="536">
        <v>0.375</v>
      </c>
      <c r="M380" s="536">
        <v>0.79166666666666663</v>
      </c>
      <c r="N380" s="536">
        <v>0.75</v>
      </c>
      <c r="O380" s="536">
        <v>0.25</v>
      </c>
      <c r="P380" s="536">
        <v>4.1666666666666664E-2</v>
      </c>
      <c r="Q380" s="535" t="s">
        <v>437</v>
      </c>
      <c r="R380" s="535"/>
      <c r="S380" s="535"/>
      <c r="T380" s="200">
        <f>VLOOKUP(Table2[[#This Row],[Course Title]],'TSD-Data'!$A$1:$E$83,4,FALSE)</f>
        <v>45</v>
      </c>
      <c r="U380" s="200">
        <f>VLOOKUP(Table2[[#This Row],[Course Title]],'TSD-Data'!$A$1:$F$83,6,FALSE)</f>
        <v>24</v>
      </c>
      <c r="V380" s="201">
        <f>VLOOKUP(Table2[[#This Row],[Course Title]],'TSD-Data'!$A$1:$F$83,5,FALSE)</f>
        <v>3</v>
      </c>
      <c r="W380" s="201">
        <v>844</v>
      </c>
      <c r="X380" s="200">
        <f>Table2[[#This Row],[Quotas]]-Table2[[#This Row],[Open Quotas]]</f>
        <v>43</v>
      </c>
      <c r="Y380" s="200">
        <v>0</v>
      </c>
      <c r="Z380" s="201">
        <v>40</v>
      </c>
      <c r="AA380" s="201">
        <v>2</v>
      </c>
      <c r="AB380" s="200">
        <v>3</v>
      </c>
      <c r="AC380" s="200">
        <v>1</v>
      </c>
      <c r="AD380" s="200">
        <v>0</v>
      </c>
      <c r="AE380" s="200" t="s">
        <v>429</v>
      </c>
      <c r="AF380" s="495">
        <f ca="1">Table2[[#This Row],[End Date]]+2-TODAY()</f>
        <v>-93</v>
      </c>
      <c r="AG380" s="496">
        <f>IF(ISBLANK(Table2[[#This Row],[Roster Received by]]),1,0)</f>
        <v>0</v>
      </c>
      <c r="AH380" s="496">
        <f ca="1">IF(Table2[[#This Row],[Start Date]]&gt;TODAY(),1,)</f>
        <v>0</v>
      </c>
      <c r="AI380" s="496">
        <f>IF(ISBLANK(Table2[[#This Row],[Primary Instructor]]),0,1)</f>
        <v>1</v>
      </c>
      <c r="AJ380" s="496">
        <f>IF(ISBLANK(Table2[[#This Row],[Instructor 2]]),0,1)</f>
        <v>0</v>
      </c>
      <c r="AK380" s="496">
        <f>Table2[[#This Row],[Course Length (Hours)]]/(Table2[[#This Row],[1 Instructor]]+Table2[[#This Row],[2 Instructors]])</f>
        <v>24</v>
      </c>
      <c r="AL380" s="318">
        <v>2</v>
      </c>
      <c r="AM380" s="496">
        <v>3</v>
      </c>
      <c r="AN380" s="496" t="str">
        <f>VLOOKUP(Table2[[#This Row],[Course Title]],'TSD-Data'!$A$1:$G$83,7,FALSE)</f>
        <v>N3</v>
      </c>
      <c r="AO380" s="500">
        <f>Table2[[#This Row],[Quotas]]-Table2[[#This Row],[Graduates]]-Table2[[#This Row],[Fail]]</f>
        <v>3</v>
      </c>
    </row>
    <row r="381" spans="1:41" s="202" customFormat="1" ht="15" customHeight="1" x14ac:dyDescent="0.25">
      <c r="B381" s="530" t="s">
        <v>478</v>
      </c>
      <c r="C381" s="530" t="s">
        <v>45</v>
      </c>
      <c r="D381" s="200" t="str">
        <f>VLOOKUP(Table2[[#This Row],[Course Title]],'TSD-Data'!$A$1:$E$83,2,FALSE)</f>
        <v>A-493-0013</v>
      </c>
      <c r="E381" s="200">
        <f>VLOOKUP(Table2[[#This Row],[Course Title]],'TSD-Data'!$A$1:$E$83,3,FALSE)</f>
        <v>3683</v>
      </c>
      <c r="F381" s="530" t="s">
        <v>317</v>
      </c>
      <c r="G381" s="531">
        <v>46149</v>
      </c>
      <c r="H381" s="531">
        <v>46153</v>
      </c>
      <c r="I381" s="129" t="s">
        <v>42</v>
      </c>
      <c r="J381" s="532">
        <v>0.33333333333333331</v>
      </c>
      <c r="K381" s="532"/>
      <c r="L381" s="531"/>
      <c r="M381" s="531"/>
      <c r="N381" s="531"/>
      <c r="O381" s="531"/>
      <c r="P381" s="531"/>
      <c r="Q381" s="535" t="s">
        <v>450</v>
      </c>
      <c r="R381" s="535"/>
      <c r="S381" s="535"/>
      <c r="T381" s="200">
        <f>VLOOKUP(Table2[[#This Row],[Course Title]],'TSD-Data'!$A$1:$E$83,4,FALSE)</f>
        <v>40</v>
      </c>
      <c r="U381" s="200">
        <f>VLOOKUP(Table2[[#This Row],[Course Title]],'TSD-Data'!$A$1:$F$83,6,FALSE)</f>
        <v>24</v>
      </c>
      <c r="V381" s="201">
        <f>VLOOKUP(Table2[[#This Row],[Course Title]],'TSD-Data'!$A$1:$F$83,5,FALSE)</f>
        <v>3</v>
      </c>
      <c r="W381" s="201">
        <v>30</v>
      </c>
      <c r="X381" s="200">
        <f>Table2[[#This Row],[Quotas]]-Table2[[#This Row],[Open Quotas]]</f>
        <v>4</v>
      </c>
      <c r="Y381" s="200">
        <v>0</v>
      </c>
      <c r="Z381" s="201">
        <v>20</v>
      </c>
      <c r="AA381" s="201">
        <v>0</v>
      </c>
      <c r="AB381" s="200">
        <v>1</v>
      </c>
      <c r="AC381" s="200">
        <v>16</v>
      </c>
      <c r="AD381" s="200">
        <v>0</v>
      </c>
      <c r="AE381" s="200" t="s">
        <v>428</v>
      </c>
      <c r="AF381" s="495">
        <f ca="1">Table2[[#This Row],[End Date]]+2-TODAY()</f>
        <v>-89</v>
      </c>
      <c r="AG381" s="496">
        <f>IF(ISBLANK(Table2[[#This Row],[Roster Received by]]),1,0)</f>
        <v>0</v>
      </c>
      <c r="AH381" s="496">
        <f ca="1">IF(Table2[[#This Row],[Start Date]]&gt;TODAY(),1,)</f>
        <v>0</v>
      </c>
      <c r="AI381" s="496">
        <f>IF(ISBLANK(Table2[[#This Row],[Primary Instructor]]),0,1)</f>
        <v>1</v>
      </c>
      <c r="AJ381" s="496">
        <f>IF(ISBLANK(Table2[[#This Row],[Instructor 2]]),0,1)</f>
        <v>0</v>
      </c>
      <c r="AK381" s="496">
        <f>Table2[[#This Row],[Course Length (Hours)]]/(Table2[[#This Row],[1 Instructor]]+Table2[[#This Row],[2 Instructors]])</f>
        <v>24</v>
      </c>
      <c r="AL381" s="318">
        <v>36</v>
      </c>
      <c r="AM381" s="496">
        <v>3</v>
      </c>
      <c r="AN381" s="496" t="str">
        <f>VLOOKUP(Table2[[#This Row],[Course Title]],'TSD-Data'!$A$1:$G$83,7,FALSE)</f>
        <v>N4</v>
      </c>
      <c r="AO381" s="500">
        <f>Table2[[#This Row],[Quotas]]-Table2[[#This Row],[Graduates]]-Table2[[#This Row],[Fail]]</f>
        <v>20</v>
      </c>
    </row>
    <row r="382" spans="1:41" s="202" customFormat="1" ht="15" customHeight="1" x14ac:dyDescent="0.25">
      <c r="B382" s="530"/>
      <c r="C382" s="530" t="s">
        <v>276</v>
      </c>
      <c r="D382" s="200" t="str">
        <f>VLOOKUP(Table2[[#This Row],[Course Title]],'TSD-Data'!$A$1:$E$83,2,FALSE)</f>
        <v>A-493-0103</v>
      </c>
      <c r="E382" s="200" t="str">
        <f>VLOOKUP(Table2[[#This Row],[Course Title]],'TSD-Data'!$A$1:$E$83,3,FALSE)</f>
        <v>12JY</v>
      </c>
      <c r="F382" s="530" t="s">
        <v>52</v>
      </c>
      <c r="G382" s="531">
        <v>46153</v>
      </c>
      <c r="H382" s="531">
        <v>46157</v>
      </c>
      <c r="I382" s="531" t="s">
        <v>42</v>
      </c>
      <c r="J382" s="532">
        <v>0.33333333333333331</v>
      </c>
      <c r="K382" s="532"/>
      <c r="L382" s="531"/>
      <c r="M382" s="531"/>
      <c r="N382" s="531"/>
      <c r="O382" s="531"/>
      <c r="P382" s="531"/>
      <c r="Q382" s="535" t="s">
        <v>280</v>
      </c>
      <c r="R382" s="535"/>
      <c r="S382" s="535"/>
      <c r="T382" s="200">
        <f>VLOOKUP(Table2[[#This Row],[Course Title]],'TSD-Data'!$A$1:$E$83,4,FALSE)</f>
        <v>25</v>
      </c>
      <c r="U382" s="200">
        <f>VLOOKUP(Table2[[#This Row],[Course Title]],'TSD-Data'!$A$1:$F$83,6,FALSE)</f>
        <v>40</v>
      </c>
      <c r="V382" s="201">
        <f>VLOOKUP(Table2[[#This Row],[Course Title]],'TSD-Data'!$A$1:$F$83,5,FALSE)</f>
        <v>5</v>
      </c>
      <c r="W382" s="201">
        <v>25</v>
      </c>
      <c r="X382" s="200">
        <f>Table2[[#This Row],[Quotas]]-Table2[[#This Row],[Open Quotas]]</f>
        <v>25</v>
      </c>
      <c r="Y382" s="200">
        <v>3</v>
      </c>
      <c r="Z382" s="201">
        <v>24</v>
      </c>
      <c r="AA382" s="201">
        <v>0</v>
      </c>
      <c r="AB382" s="200">
        <v>5</v>
      </c>
      <c r="AC382" s="200">
        <v>2</v>
      </c>
      <c r="AD382" s="200">
        <v>0</v>
      </c>
      <c r="AE382" s="200" t="s">
        <v>431</v>
      </c>
      <c r="AF382" s="495">
        <f ca="1">Table2[[#This Row],[End Date]]+2-TODAY()</f>
        <v>-85</v>
      </c>
      <c r="AG382" s="496">
        <f>IF(ISBLANK(Table2[[#This Row],[Roster Received by]]),1,0)</f>
        <v>0</v>
      </c>
      <c r="AH382" s="496">
        <f ca="1">IF(Table2[[#This Row],[Start Date]]&gt;TODAY(),1,)</f>
        <v>0</v>
      </c>
      <c r="AI382" s="496">
        <f>IF(ISBLANK(Table2[[#This Row],[Primary Instructor]]),0,1)</f>
        <v>1</v>
      </c>
      <c r="AJ382" s="496">
        <f>IF(ISBLANK(Table2[[#This Row],[Instructor 2]]),0,1)</f>
        <v>0</v>
      </c>
      <c r="AK382" s="496">
        <f>Table2[[#This Row],[Course Length (Hours)]]/(Table2[[#This Row],[1 Instructor]]+Table2[[#This Row],[2 Instructors]])</f>
        <v>40</v>
      </c>
      <c r="AL382" s="318">
        <v>0</v>
      </c>
      <c r="AM382" s="496">
        <v>3</v>
      </c>
      <c r="AN382" s="496" t="str">
        <f>VLOOKUP(Table2[[#This Row],[Course Title]],'TSD-Data'!$A$1:$G$83,7,FALSE)</f>
        <v>N5</v>
      </c>
      <c r="AO382" s="500">
        <f>Table2[[#This Row],[Quotas]]-Table2[[#This Row],[Graduates]]-Table2[[#This Row],[Fail]]</f>
        <v>1</v>
      </c>
    </row>
    <row r="383" spans="1:41" s="202" customFormat="1" ht="15" customHeight="1" x14ac:dyDescent="0.25">
      <c r="B383" s="530"/>
      <c r="C383" s="530" t="s">
        <v>196</v>
      </c>
      <c r="D383" s="200" t="str">
        <f>VLOOKUP(Table2[[#This Row],[Course Title]],'TSD-Data'!$A$1:$E$83,2,FALSE)</f>
        <v>A-4J-0022</v>
      </c>
      <c r="E383" s="200" t="str">
        <f>VLOOKUP(Table2[[#This Row],[Course Title]],'TSD-Data'!$A$1:$E$83,3,FALSE)</f>
        <v>09ER</v>
      </c>
      <c r="F383" s="530" t="s">
        <v>54</v>
      </c>
      <c r="G383" s="531">
        <v>46153</v>
      </c>
      <c r="H383" s="531">
        <v>46157</v>
      </c>
      <c r="I383" s="531" t="s">
        <v>42</v>
      </c>
      <c r="J383" s="532"/>
      <c r="K383" s="536">
        <v>0.5</v>
      </c>
      <c r="L383" s="536">
        <v>0.375</v>
      </c>
      <c r="M383" s="536">
        <v>0.79166666666666663</v>
      </c>
      <c r="N383" s="536">
        <v>0.75</v>
      </c>
      <c r="O383" s="536">
        <v>0.25</v>
      </c>
      <c r="P383" s="536">
        <v>4.1666666666666664E-2</v>
      </c>
      <c r="Q383" s="535" t="s">
        <v>437</v>
      </c>
      <c r="R383" s="535"/>
      <c r="S383" s="535"/>
      <c r="T383" s="200">
        <f>VLOOKUP(Table2[[#This Row],[Course Title]],'TSD-Data'!$A$1:$E$83,4,FALSE)</f>
        <v>45</v>
      </c>
      <c r="U383" s="200">
        <f>VLOOKUP(Table2[[#This Row],[Course Title]],'TSD-Data'!$A$1:$F$83,6,FALSE)</f>
        <v>40</v>
      </c>
      <c r="V383" s="201">
        <f>VLOOKUP(Table2[[#This Row],[Course Title]],'TSD-Data'!$A$1:$F$83,5,FALSE)</f>
        <v>2</v>
      </c>
      <c r="W383" s="201">
        <v>130</v>
      </c>
      <c r="X383" s="200">
        <f>Table2[[#This Row],[Quotas]]-Table2[[#This Row],[Open Quotas]]</f>
        <v>24</v>
      </c>
      <c r="Y383" s="200">
        <v>0</v>
      </c>
      <c r="Z383" s="201"/>
      <c r="AA383" s="201">
        <v>1</v>
      </c>
      <c r="AB383" s="200">
        <v>7</v>
      </c>
      <c r="AC383" s="200">
        <v>0</v>
      </c>
      <c r="AD383" s="200">
        <v>0</v>
      </c>
      <c r="AE383" s="200" t="s">
        <v>428</v>
      </c>
      <c r="AF383" s="495">
        <f ca="1">Table2[[#This Row],[End Date]]+2-TODAY()</f>
        <v>-85</v>
      </c>
      <c r="AG383" s="496">
        <f>IF(ISBLANK(Table2[[#This Row],[Roster Received by]]),1,0)</f>
        <v>0</v>
      </c>
      <c r="AH383" s="496">
        <f ca="1">IF(Table2[[#This Row],[Start Date]]&gt;TODAY(),1,)</f>
        <v>0</v>
      </c>
      <c r="AI383" s="496">
        <f>IF(ISBLANK(Table2[[#This Row],[Primary Instructor]]),0,1)</f>
        <v>1</v>
      </c>
      <c r="AJ383" s="496">
        <f>IF(ISBLANK(Table2[[#This Row],[Instructor 2]]),0,1)</f>
        <v>0</v>
      </c>
      <c r="AK383" s="496">
        <f>Table2[[#This Row],[Course Length (Hours)]]/(Table2[[#This Row],[1 Instructor]]+Table2[[#This Row],[2 Instructors]])</f>
        <v>40</v>
      </c>
      <c r="AL383" s="318">
        <v>21</v>
      </c>
      <c r="AM383" s="496">
        <v>3</v>
      </c>
      <c r="AN383" s="496" t="str">
        <f>VLOOKUP(Table2[[#This Row],[Course Title]],'TSD-Data'!$A$1:$G$83,7,FALSE)</f>
        <v>N4</v>
      </c>
      <c r="AO383" s="500">
        <f>Table2[[#This Row],[Quotas]]-Table2[[#This Row],[Graduates]]-Table2[[#This Row],[Fail]]</f>
        <v>44</v>
      </c>
    </row>
    <row r="384" spans="1:41" ht="15" customHeight="1" x14ac:dyDescent="0.25">
      <c r="A384" s="202"/>
      <c r="B384" s="530" t="s">
        <v>479</v>
      </c>
      <c r="C384" s="530" t="s">
        <v>157</v>
      </c>
      <c r="D384" s="200" t="str">
        <f>VLOOKUP(Table2[[#This Row],[Course Title]],'TSD-Data'!$A$1:$E$83,2,FALSE)</f>
        <v>A-493-0021</v>
      </c>
      <c r="E384" s="200" t="str">
        <f>VLOOKUP(Table2[[#This Row],[Course Title]],'TSD-Data'!$A$1:$E$83,3,FALSE)</f>
        <v>18BN</v>
      </c>
      <c r="F384" s="530" t="s">
        <v>257</v>
      </c>
      <c r="G384" s="531">
        <v>46153</v>
      </c>
      <c r="H384" s="531">
        <v>46157</v>
      </c>
      <c r="I384" s="531" t="s">
        <v>42</v>
      </c>
      <c r="J384" s="532">
        <v>0.33333333333333331</v>
      </c>
      <c r="K384" s="532"/>
      <c r="L384" s="531"/>
      <c r="M384" s="531"/>
      <c r="N384" s="531"/>
      <c r="O384" s="531"/>
      <c r="P384" s="531"/>
      <c r="Q384" s="535" t="s">
        <v>280</v>
      </c>
      <c r="R384" s="535"/>
      <c r="S384" s="535"/>
      <c r="T384" s="200">
        <f>VLOOKUP(Table2[[#This Row],[Course Title]],'TSD-Data'!$A$1:$E$83,4,FALSE)</f>
        <v>35</v>
      </c>
      <c r="U384" s="200">
        <f>VLOOKUP(Table2[[#This Row],[Course Title]],'TSD-Data'!$A$1:$F$83,6,FALSE)</f>
        <v>30</v>
      </c>
      <c r="V384" s="201">
        <f>VLOOKUP(Table2[[#This Row],[Course Title]],'TSD-Data'!$A$1:$F$83,5,FALSE)</f>
        <v>5</v>
      </c>
      <c r="W384" s="201">
        <v>8</v>
      </c>
      <c r="X384" s="200">
        <f>Table2[[#This Row],[Quotas]]-Table2[[#This Row],[Open Quotas]]</f>
        <v>35</v>
      </c>
      <c r="Y384" s="200">
        <v>0</v>
      </c>
      <c r="Z384" s="201">
        <v>13</v>
      </c>
      <c r="AA384" s="201">
        <v>0</v>
      </c>
      <c r="AB384" s="200">
        <v>2</v>
      </c>
      <c r="AC384" s="200">
        <v>0</v>
      </c>
      <c r="AD384" s="200">
        <v>0</v>
      </c>
      <c r="AE384" s="200" t="s">
        <v>431</v>
      </c>
      <c r="AF384" s="495">
        <f ca="1">Table2[[#This Row],[End Date]]+2-TODAY()</f>
        <v>-85</v>
      </c>
      <c r="AG384" s="496">
        <f>IF(ISBLANK(Table2[[#This Row],[Roster Received by]]),1,0)</f>
        <v>0</v>
      </c>
      <c r="AH384" s="496">
        <f ca="1">IF(Table2[[#This Row],[Start Date]]&gt;TODAY(),1,)</f>
        <v>0</v>
      </c>
      <c r="AI384" s="496">
        <f>IF(ISBLANK(Table2[[#This Row],[Primary Instructor]]),0,1)</f>
        <v>1</v>
      </c>
      <c r="AJ384" s="496">
        <f>IF(ISBLANK(Table2[[#This Row],[Instructor 2]]),0,1)</f>
        <v>0</v>
      </c>
      <c r="AK384" s="496">
        <f>Table2[[#This Row],[Course Length (Hours)]]/(Table2[[#This Row],[1 Instructor]]+Table2[[#This Row],[2 Instructors]])</f>
        <v>30</v>
      </c>
      <c r="AL384" s="318"/>
      <c r="AM384" s="496">
        <v>3</v>
      </c>
      <c r="AN384" s="496" t="str">
        <f>VLOOKUP(Table2[[#This Row],[Course Title]],'TSD-Data'!$A$1:$G$83,7,FALSE)</f>
        <v>N5</v>
      </c>
      <c r="AO384" s="500">
        <f>Table2[[#This Row],[Quotas]]-Table2[[#This Row],[Graduates]]-Table2[[#This Row],[Fail]]</f>
        <v>22</v>
      </c>
    </row>
    <row r="385" spans="1:41" ht="15" customHeight="1" x14ac:dyDescent="0.25">
      <c r="B385" s="530"/>
      <c r="C385" s="530" t="s">
        <v>56</v>
      </c>
      <c r="D385" s="200" t="str">
        <f>VLOOKUP(Table2[[#This Row],[Course Title]],'TSD-Data'!$A$1:$E$83,2,FALSE)</f>
        <v>A-493-0550</v>
      </c>
      <c r="E385" s="200" t="str">
        <f>VLOOKUP(Table2[[#This Row],[Course Title]],'TSD-Data'!$A$1:$E$83,3,FALSE)</f>
        <v>09K5</v>
      </c>
      <c r="F385" s="530" t="s">
        <v>54</v>
      </c>
      <c r="G385" s="531">
        <v>46153</v>
      </c>
      <c r="H385" s="531">
        <v>46156</v>
      </c>
      <c r="I385" s="531" t="s">
        <v>42</v>
      </c>
      <c r="J385" s="532"/>
      <c r="K385" s="532">
        <v>0.33333333333333331</v>
      </c>
      <c r="L385" s="532">
        <v>0.20833333333333334</v>
      </c>
      <c r="M385" s="532">
        <v>0.625</v>
      </c>
      <c r="N385" s="532">
        <v>0.54166666666666663</v>
      </c>
      <c r="O385" s="532">
        <v>8.3333333333333329E-2</v>
      </c>
      <c r="P385" s="532">
        <v>0.875</v>
      </c>
      <c r="Q385" s="535" t="s">
        <v>427</v>
      </c>
      <c r="R385" s="535"/>
      <c r="S385" s="535"/>
      <c r="T385" s="200">
        <f>VLOOKUP(Table2[[#This Row],[Course Title]],'TSD-Data'!$A$1:$E$83,4,FALSE)</f>
        <v>45</v>
      </c>
      <c r="U385" s="200">
        <f>VLOOKUP(Table2[[#This Row],[Course Title]],'TSD-Data'!$A$1:$F$83,6,FALSE)</f>
        <v>32</v>
      </c>
      <c r="V385" s="201">
        <f>VLOOKUP(Table2[[#This Row],[Course Title]],'TSD-Data'!$A$1:$F$83,5,FALSE)</f>
        <v>4</v>
      </c>
      <c r="W385" s="201">
        <v>455</v>
      </c>
      <c r="X385" s="200">
        <f>Table2[[#This Row],[Quotas]]-Table2[[#This Row],[Open Quotas]]</f>
        <v>45</v>
      </c>
      <c r="Y385" s="200">
        <v>2</v>
      </c>
      <c r="Z385" s="201">
        <v>42</v>
      </c>
      <c r="AA385" s="201">
        <v>1</v>
      </c>
      <c r="AB385" s="200">
        <v>3</v>
      </c>
      <c r="AC385" s="200">
        <v>1</v>
      </c>
      <c r="AD385" s="200">
        <v>0</v>
      </c>
      <c r="AE385" s="200" t="s">
        <v>431</v>
      </c>
      <c r="AF385" s="495">
        <f ca="1">Table2[[#This Row],[End Date]]+2-TODAY()</f>
        <v>-86</v>
      </c>
      <c r="AG385" s="496">
        <f>IF(ISBLANK(Table2[[#This Row],[Roster Received by]]),1,0)</f>
        <v>0</v>
      </c>
      <c r="AH385" s="496">
        <f ca="1">IF(Table2[[#This Row],[Start Date]]&gt;TODAY(),1,)</f>
        <v>0</v>
      </c>
      <c r="AI385" s="496">
        <f>IF(ISBLANK(Table2[[#This Row],[Primary Instructor]]),0,1)</f>
        <v>1</v>
      </c>
      <c r="AJ385" s="496">
        <f>IF(ISBLANK(Table2[[#This Row],[Instructor 2]]),0,1)</f>
        <v>0</v>
      </c>
      <c r="AK385" s="496">
        <f>Table2[[#This Row],[Course Length (Hours)]]/(Table2[[#This Row],[1 Instructor]]+Table2[[#This Row],[2 Instructors]])</f>
        <v>32</v>
      </c>
      <c r="AL385" s="318">
        <v>0</v>
      </c>
      <c r="AM385" s="496">
        <v>3</v>
      </c>
      <c r="AN385" s="496" t="str">
        <f>VLOOKUP(Table2[[#This Row],[Course Title]],'TSD-Data'!$A$1:$G$83,7,FALSE)</f>
        <v>N5</v>
      </c>
      <c r="AO385" s="500">
        <f>Table2[[#This Row],[Quotas]]-Table2[[#This Row],[Graduates]]-Table2[[#This Row],[Fail]]</f>
        <v>2</v>
      </c>
    </row>
    <row r="386" spans="1:41" ht="15" customHeight="1" x14ac:dyDescent="0.25">
      <c r="B386" s="530"/>
      <c r="C386" s="530" t="s">
        <v>229</v>
      </c>
      <c r="D386" s="200" t="str">
        <f>VLOOKUP(Table2[[#This Row],[Course Title]],'TSD-Data'!$A$1:$E$83,2,FALSE)</f>
        <v>A-570-0100</v>
      </c>
      <c r="E386" s="200" t="str">
        <f>VLOOKUP(Table2[[#This Row],[Course Title]],'TSD-Data'!$A$1:$E$83,3,FALSE)</f>
        <v>18B7</v>
      </c>
      <c r="F386" s="530" t="s">
        <v>54</v>
      </c>
      <c r="G386" s="531">
        <v>46153</v>
      </c>
      <c r="H386" s="531">
        <v>46154</v>
      </c>
      <c r="I386" s="531" t="s">
        <v>42</v>
      </c>
      <c r="J386" s="532"/>
      <c r="K386" s="532">
        <v>0.33333333333333331</v>
      </c>
      <c r="L386" s="536">
        <v>0.66666666666666663</v>
      </c>
      <c r="M386" s="536">
        <v>8.3333333333333329E-2</v>
      </c>
      <c r="N386" s="536">
        <v>0</v>
      </c>
      <c r="O386" s="536">
        <v>0.54166666666666663</v>
      </c>
      <c r="P386" s="536">
        <v>0.33333333333333331</v>
      </c>
      <c r="Q386" s="535" t="s">
        <v>432</v>
      </c>
      <c r="R386" s="535"/>
      <c r="S386" s="535"/>
      <c r="T386" s="200">
        <f>VLOOKUP(Table2[[#This Row],[Course Title]],'TSD-Data'!$A$1:$E$83,4,FALSE)</f>
        <v>45</v>
      </c>
      <c r="U386" s="200">
        <f>VLOOKUP(Table2[[#This Row],[Course Title]],'TSD-Data'!$A$1:$F$83,6,FALSE)</f>
        <v>16</v>
      </c>
      <c r="V386" s="201">
        <f>VLOOKUP(Table2[[#This Row],[Course Title]],'TSD-Data'!$A$1:$F$83,5,FALSE)</f>
        <v>2</v>
      </c>
      <c r="W386" s="201">
        <v>126</v>
      </c>
      <c r="X386" s="200">
        <f>Table2[[#This Row],[Quotas]]-Table2[[#This Row],[Open Quotas]]</f>
        <v>25</v>
      </c>
      <c r="Y386" s="200">
        <v>0</v>
      </c>
      <c r="Z386" s="201">
        <v>19</v>
      </c>
      <c r="AA386" s="201">
        <v>2</v>
      </c>
      <c r="AB386" s="200">
        <v>5</v>
      </c>
      <c r="AC386" s="200">
        <v>0</v>
      </c>
      <c r="AD386" s="200">
        <v>0</v>
      </c>
      <c r="AE386" s="200" t="s">
        <v>429</v>
      </c>
      <c r="AF386" s="495">
        <f ca="1">Table2[[#This Row],[End Date]]+2-TODAY()</f>
        <v>-88</v>
      </c>
      <c r="AG386" s="496">
        <f>IF(ISBLANK(Table2[[#This Row],[Roster Received by]]),1,0)</f>
        <v>0</v>
      </c>
      <c r="AH386" s="496">
        <f ca="1">IF(Table2[[#This Row],[Start Date]]&gt;TODAY(),1,)</f>
        <v>0</v>
      </c>
      <c r="AI386" s="496">
        <f>IF(ISBLANK(Table2[[#This Row],[Primary Instructor]]),0,1)</f>
        <v>1</v>
      </c>
      <c r="AJ386" s="496">
        <f>IF(ISBLANK(Table2[[#This Row],[Instructor 2]]),0,1)</f>
        <v>0</v>
      </c>
      <c r="AK386" s="496">
        <f>Table2[[#This Row],[Course Length (Hours)]]/(Table2[[#This Row],[1 Instructor]]+Table2[[#This Row],[2 Instructors]])</f>
        <v>16</v>
      </c>
      <c r="AL386" s="318">
        <v>20</v>
      </c>
      <c r="AM386" s="496">
        <v>3</v>
      </c>
      <c r="AN386" s="496" t="str">
        <f>VLOOKUP(Table2[[#This Row],[Course Title]],'TSD-Data'!$A$1:$G$83,7,FALSE)</f>
        <v>N8</v>
      </c>
      <c r="AO386" s="500">
        <f>Table2[[#This Row],[Quotas]]-Table2[[#This Row],[Graduates]]-Table2[[#This Row],[Fail]]</f>
        <v>24</v>
      </c>
    </row>
    <row r="387" spans="1:41" s="202" customFormat="1" ht="15" customHeight="1" x14ac:dyDescent="0.25">
      <c r="A387" s="196"/>
      <c r="B387" s="530" t="s">
        <v>80</v>
      </c>
      <c r="C387" s="530" t="s">
        <v>77</v>
      </c>
      <c r="D387" s="200" t="str">
        <f>VLOOKUP(Table2[[#This Row],[Course Title]],'TSD-Data'!$A$1:$E$83,2,FALSE)</f>
        <v>A-493-0072</v>
      </c>
      <c r="E387" s="200" t="str">
        <f>VLOOKUP(Table2[[#This Row],[Course Title]],'TSD-Data'!$A$1:$E$83,3,FALSE)</f>
        <v>713U</v>
      </c>
      <c r="F387" s="530" t="s">
        <v>480</v>
      </c>
      <c r="G387" s="531">
        <v>46153</v>
      </c>
      <c r="H387" s="531">
        <v>46157</v>
      </c>
      <c r="I387" s="531" t="s">
        <v>42</v>
      </c>
      <c r="J387" s="532">
        <v>0.33333333333333331</v>
      </c>
      <c r="K387" s="532"/>
      <c r="L387" s="531"/>
      <c r="M387" s="531"/>
      <c r="N387" s="531"/>
      <c r="O387" s="531"/>
      <c r="P387" s="531"/>
      <c r="Q387" s="535" t="s">
        <v>62</v>
      </c>
      <c r="R387" s="535"/>
      <c r="S387" s="535" t="s">
        <v>79</v>
      </c>
      <c r="T387" s="200">
        <f>VLOOKUP(Table2[[#This Row],[Course Title]],'TSD-Data'!$A$1:$E$83,4,FALSE)</f>
        <v>30</v>
      </c>
      <c r="U387" s="200">
        <f>VLOOKUP(Table2[[#This Row],[Course Title]],'TSD-Data'!$A$1:$F$83,6,FALSE)</f>
        <v>40</v>
      </c>
      <c r="V387" s="201">
        <f>VLOOKUP(Table2[[#This Row],[Course Title]],'TSD-Data'!$A$1:$F$83,5,FALSE)</f>
        <v>5</v>
      </c>
      <c r="W387" s="201">
        <v>15</v>
      </c>
      <c r="X387" s="200">
        <f>Table2[[#This Row],[Quotas]]-Table2[[#This Row],[Open Quotas]]</f>
        <v>10</v>
      </c>
      <c r="Y387" s="200">
        <v>0</v>
      </c>
      <c r="Z387" s="201">
        <v>26</v>
      </c>
      <c r="AA387" s="201">
        <v>0</v>
      </c>
      <c r="AB387" s="200">
        <v>0</v>
      </c>
      <c r="AC387" s="200">
        <v>0</v>
      </c>
      <c r="AD387" s="200">
        <v>0</v>
      </c>
      <c r="AE387" s="200" t="s">
        <v>429</v>
      </c>
      <c r="AF387" s="495">
        <f ca="1">Table2[[#This Row],[End Date]]+2-TODAY()</f>
        <v>-85</v>
      </c>
      <c r="AG387" s="496">
        <f>IF(ISBLANK(Table2[[#This Row],[Roster Received by]]),1,0)</f>
        <v>0</v>
      </c>
      <c r="AH387" s="496">
        <f ca="1">IF(Table2[[#This Row],[Start Date]]&gt;TODAY(),1,)</f>
        <v>0</v>
      </c>
      <c r="AI387" s="496">
        <f>IF(ISBLANK(Table2[[#This Row],[Primary Instructor]]),0,1)</f>
        <v>1</v>
      </c>
      <c r="AJ387" s="496">
        <f>IF(ISBLANK(Table2[[#This Row],[Instructor 2]]),0,1)</f>
        <v>0</v>
      </c>
      <c r="AK387" s="496">
        <f>Table2[[#This Row],[Course Length (Hours)]]/(Table2[[#This Row],[1 Instructor]]+Table2[[#This Row],[2 Instructors]])</f>
        <v>40</v>
      </c>
      <c r="AL387" s="318">
        <v>20</v>
      </c>
      <c r="AM387" s="496">
        <v>3</v>
      </c>
      <c r="AN387" s="496" t="str">
        <f>VLOOKUP(Table2[[#This Row],[Course Title]],'TSD-Data'!$A$1:$G$83,7,FALSE)</f>
        <v>N3</v>
      </c>
      <c r="AO387" s="500">
        <f>Table2[[#This Row],[Quotas]]-Table2[[#This Row],[Graduates]]-Table2[[#This Row],[Fail]]</f>
        <v>4</v>
      </c>
    </row>
    <row r="388" spans="1:41" ht="15" customHeight="1" x14ac:dyDescent="0.25">
      <c r="A388" s="202"/>
      <c r="B388" s="530"/>
      <c r="C388" s="530" t="s">
        <v>77</v>
      </c>
      <c r="D388" s="200" t="str">
        <f>VLOOKUP(Table2[[#This Row],[Course Title]],'TSD-Data'!$A$1:$E$83,2,FALSE)</f>
        <v>A-493-0072</v>
      </c>
      <c r="E388" s="200" t="str">
        <f>VLOOKUP(Table2[[#This Row],[Course Title]],'TSD-Data'!$A$1:$E$83,3,FALSE)</f>
        <v>713U</v>
      </c>
      <c r="F388" s="530" t="s">
        <v>101</v>
      </c>
      <c r="G388" s="531">
        <v>46153</v>
      </c>
      <c r="H388" s="531">
        <v>46157</v>
      </c>
      <c r="I388" s="531" t="s">
        <v>42</v>
      </c>
      <c r="J388" s="532">
        <v>0.33333333333333331</v>
      </c>
      <c r="K388" s="532"/>
      <c r="L388" s="531"/>
      <c r="M388" s="531"/>
      <c r="N388" s="531"/>
      <c r="O388" s="531"/>
      <c r="P388" s="531"/>
      <c r="Q388" s="535" t="s">
        <v>67</v>
      </c>
      <c r="R388" s="535" t="s">
        <v>111</v>
      </c>
      <c r="S388" s="535"/>
      <c r="T388" s="200">
        <f>VLOOKUP(Table2[[#This Row],[Course Title]],'TSD-Data'!$A$1:$E$83,4,FALSE)</f>
        <v>30</v>
      </c>
      <c r="U388" s="200">
        <f>VLOOKUP(Table2[[#This Row],[Course Title]],'TSD-Data'!$A$1:$F$83,6,FALSE)</f>
        <v>40</v>
      </c>
      <c r="V388" s="201">
        <f>VLOOKUP(Table2[[#This Row],[Course Title]],'TSD-Data'!$A$1:$F$83,5,FALSE)</f>
        <v>5</v>
      </c>
      <c r="W388" s="201">
        <v>265</v>
      </c>
      <c r="X388" s="200">
        <f>Table2[[#This Row],[Quotas]]-Table2[[#This Row],[Open Quotas]]</f>
        <v>30</v>
      </c>
      <c r="Y388" s="200">
        <v>4</v>
      </c>
      <c r="Z388" s="201">
        <v>30</v>
      </c>
      <c r="AA388" s="201">
        <v>0</v>
      </c>
      <c r="AB388" s="200">
        <v>6</v>
      </c>
      <c r="AC388" s="200">
        <v>4</v>
      </c>
      <c r="AD388" s="200">
        <v>0</v>
      </c>
      <c r="AE388" s="200" t="s">
        <v>429</v>
      </c>
      <c r="AF388" s="495">
        <f ca="1">Table2[[#This Row],[End Date]]+2-TODAY()</f>
        <v>-85</v>
      </c>
      <c r="AG388" s="496">
        <f>IF(ISBLANK(Table2[[#This Row],[Roster Received by]]),1,0)</f>
        <v>0</v>
      </c>
      <c r="AH388" s="496">
        <f ca="1">IF(Table2[[#This Row],[Start Date]]&gt;TODAY(),1,)</f>
        <v>0</v>
      </c>
      <c r="AI388" s="496">
        <f>IF(ISBLANK(Table2[[#This Row],[Primary Instructor]]),0,1)</f>
        <v>1</v>
      </c>
      <c r="AJ388" s="496">
        <f>IF(ISBLANK(Table2[[#This Row],[Instructor 2]]),0,1)</f>
        <v>1</v>
      </c>
      <c r="AK388" s="496">
        <f>Table2[[#This Row],[Course Length (Hours)]]/(Table2[[#This Row],[1 Instructor]]+Table2[[#This Row],[2 Instructors]])</f>
        <v>20</v>
      </c>
      <c r="AL388" s="318">
        <v>0</v>
      </c>
      <c r="AM388" s="496">
        <v>3</v>
      </c>
      <c r="AN388" s="496" t="str">
        <f>VLOOKUP(Table2[[#This Row],[Course Title]],'TSD-Data'!$A$1:$G$83,7,FALSE)</f>
        <v>N3</v>
      </c>
      <c r="AO388" s="500">
        <f>Table2[[#This Row],[Quotas]]-Table2[[#This Row],[Graduates]]-Table2[[#This Row],[Fail]]</f>
        <v>0</v>
      </c>
    </row>
    <row r="389" spans="1:41" s="202" customFormat="1" ht="15" customHeight="1" x14ac:dyDescent="0.25">
      <c r="A389" s="196"/>
      <c r="B389" s="530"/>
      <c r="C389" s="530" t="s">
        <v>275</v>
      </c>
      <c r="D389" s="200" t="str">
        <f>VLOOKUP(Table2[[#This Row],[Course Title]],'TSD-Data'!$A$1:$E$83,2,FALSE)</f>
        <v>A-493-0099</v>
      </c>
      <c r="E389" s="200" t="str">
        <f>VLOOKUP(Table2[[#This Row],[Course Title]],'TSD-Data'!$A$1:$E$83,3,FALSE)</f>
        <v>12JW</v>
      </c>
      <c r="F389" s="530" t="s">
        <v>54</v>
      </c>
      <c r="G389" s="531">
        <v>46155</v>
      </c>
      <c r="H389" s="531">
        <v>46157</v>
      </c>
      <c r="I389" s="531" t="s">
        <v>42</v>
      </c>
      <c r="J389" s="532"/>
      <c r="K389" s="532">
        <v>0.5</v>
      </c>
      <c r="L389" s="536">
        <v>0.375</v>
      </c>
      <c r="M389" s="536">
        <v>0.79166666666666663</v>
      </c>
      <c r="N389" s="536">
        <v>0.75</v>
      </c>
      <c r="O389" s="536">
        <v>0.25</v>
      </c>
      <c r="P389" s="536">
        <v>4.1666666666666664E-2</v>
      </c>
      <c r="Q389" s="535" t="s">
        <v>274</v>
      </c>
      <c r="R389" s="535"/>
      <c r="S389" s="535"/>
      <c r="T389" s="200">
        <f>VLOOKUP(Table2[[#This Row],[Course Title]],'TSD-Data'!$A$1:$E$83,4,FALSE)</f>
        <v>45</v>
      </c>
      <c r="U389" s="200">
        <f>VLOOKUP(Table2[[#This Row],[Course Title]],'TSD-Data'!$A$1:$F$83,6,FALSE)</f>
        <v>24</v>
      </c>
      <c r="V389" s="201">
        <f>VLOOKUP(Table2[[#This Row],[Course Title]],'TSD-Data'!$A$1:$F$83,5,FALSE)</f>
        <v>3</v>
      </c>
      <c r="W389" s="201">
        <v>934</v>
      </c>
      <c r="X389" s="200">
        <f>Table2[[#This Row],[Quotas]]-Table2[[#This Row],[Open Quotas]]</f>
        <v>22</v>
      </c>
      <c r="Y389" s="200">
        <v>0</v>
      </c>
      <c r="Z389" s="201">
        <v>19</v>
      </c>
      <c r="AA389" s="201">
        <v>0</v>
      </c>
      <c r="AB389" s="200">
        <v>5</v>
      </c>
      <c r="AC389" s="200">
        <v>0</v>
      </c>
      <c r="AD389" s="200">
        <v>0</v>
      </c>
      <c r="AE389" s="200" t="s">
        <v>431</v>
      </c>
      <c r="AF389" s="495">
        <f ca="1">Table2[[#This Row],[End Date]]+2-TODAY()</f>
        <v>-85</v>
      </c>
      <c r="AG389" s="496">
        <f>IF(ISBLANK(Table2[[#This Row],[Roster Received by]]),1,0)</f>
        <v>0</v>
      </c>
      <c r="AH389" s="496">
        <f ca="1">IF(Table2[[#This Row],[Start Date]]&gt;TODAY(),1,)</f>
        <v>0</v>
      </c>
      <c r="AI389" s="496">
        <f>IF(ISBLANK(Table2[[#This Row],[Primary Instructor]]),0,1)</f>
        <v>1</v>
      </c>
      <c r="AJ389" s="496">
        <f>IF(ISBLANK(Table2[[#This Row],[Instructor 2]]),0,1)</f>
        <v>0</v>
      </c>
      <c r="AK389" s="496">
        <f>Table2[[#This Row],[Course Length (Hours)]]/(Table2[[#This Row],[1 Instructor]]+Table2[[#This Row],[2 Instructors]])</f>
        <v>24</v>
      </c>
      <c r="AL389" s="318">
        <v>23</v>
      </c>
      <c r="AM389" s="496">
        <v>3</v>
      </c>
      <c r="AN389" s="496" t="str">
        <f>VLOOKUP(Table2[[#This Row],[Course Title]],'TSD-Data'!$A$1:$G$83,7,FALSE)</f>
        <v>N5</v>
      </c>
      <c r="AO389" s="500">
        <f>Table2[[#This Row],[Quotas]]-Table2[[#This Row],[Graduates]]-Table2[[#This Row],[Fail]]</f>
        <v>26</v>
      </c>
    </row>
    <row r="390" spans="1:41" ht="15" customHeight="1" x14ac:dyDescent="0.25">
      <c r="A390" s="202"/>
      <c r="B390" s="530" t="s">
        <v>481</v>
      </c>
      <c r="C390" s="530" t="s">
        <v>45</v>
      </c>
      <c r="D390" s="200" t="str">
        <f>VLOOKUP(Table2[[#This Row],[Course Title]],'TSD-Data'!$A$1:$E$83,2,FALSE)</f>
        <v>A-493-0013</v>
      </c>
      <c r="E390" s="200">
        <f>VLOOKUP(Table2[[#This Row],[Course Title]],'TSD-Data'!$A$1:$E$83,3,FALSE)</f>
        <v>3683</v>
      </c>
      <c r="F390" s="530" t="s">
        <v>321</v>
      </c>
      <c r="G390" s="531">
        <v>46156</v>
      </c>
      <c r="H390" s="531">
        <v>46157</v>
      </c>
      <c r="I390" s="129" t="s">
        <v>42</v>
      </c>
      <c r="J390" s="532">
        <v>0.33333333333333331</v>
      </c>
      <c r="K390" s="532"/>
      <c r="L390" s="531"/>
      <c r="M390" s="531"/>
      <c r="N390" s="531"/>
      <c r="O390" s="531"/>
      <c r="P390" s="531"/>
      <c r="Q390" s="535" t="s">
        <v>450</v>
      </c>
      <c r="R390" s="535"/>
      <c r="S390" s="535"/>
      <c r="T390" s="200">
        <f>VLOOKUP(Table2[[#This Row],[Course Title]],'TSD-Data'!$A$1:$E$83,4,FALSE)</f>
        <v>40</v>
      </c>
      <c r="U390" s="200">
        <f>VLOOKUP(Table2[[#This Row],[Course Title]],'TSD-Data'!$A$1:$F$83,6,FALSE)</f>
        <v>24</v>
      </c>
      <c r="V390" s="201">
        <f>VLOOKUP(Table2[[#This Row],[Course Title]],'TSD-Data'!$A$1:$F$83,5,FALSE)</f>
        <v>3</v>
      </c>
      <c r="W390" s="201">
        <v>30</v>
      </c>
      <c r="X390" s="200">
        <f>Table2[[#This Row],[Quotas]]-Table2[[#This Row],[Open Quotas]]</f>
        <v>24</v>
      </c>
      <c r="Y390" s="200">
        <v>0</v>
      </c>
      <c r="Z390" s="201">
        <v>24</v>
      </c>
      <c r="AA390" s="201">
        <v>0</v>
      </c>
      <c r="AB390" s="200">
        <v>1</v>
      </c>
      <c r="AC390" s="200">
        <v>1</v>
      </c>
      <c r="AD390" s="200">
        <v>0</v>
      </c>
      <c r="AE390" s="200" t="s">
        <v>428</v>
      </c>
      <c r="AF390" s="495">
        <f ca="1">Table2[[#This Row],[End Date]]+2-TODAY()</f>
        <v>-85</v>
      </c>
      <c r="AG390" s="496">
        <f>IF(ISBLANK(Table2[[#This Row],[Roster Received by]]),1,0)</f>
        <v>0</v>
      </c>
      <c r="AH390" s="496">
        <f ca="1">IF(Table2[[#This Row],[Start Date]]&gt;TODAY(),1,)</f>
        <v>0</v>
      </c>
      <c r="AI390" s="496">
        <f>IF(ISBLANK(Table2[[#This Row],[Primary Instructor]]),0,1)</f>
        <v>1</v>
      </c>
      <c r="AJ390" s="496">
        <f>IF(ISBLANK(Table2[[#This Row],[Instructor 2]]),0,1)</f>
        <v>0</v>
      </c>
      <c r="AK390" s="496">
        <f>Table2[[#This Row],[Course Length (Hours)]]/(Table2[[#This Row],[1 Instructor]]+Table2[[#This Row],[2 Instructors]])</f>
        <v>24</v>
      </c>
      <c r="AL390" s="318">
        <v>16</v>
      </c>
      <c r="AM390" s="496">
        <v>3</v>
      </c>
      <c r="AN390" s="496" t="str">
        <f>VLOOKUP(Table2[[#This Row],[Course Title]],'TSD-Data'!$A$1:$G$83,7,FALSE)</f>
        <v>N4</v>
      </c>
      <c r="AO390" s="500">
        <f>Table2[[#This Row],[Quotas]]-Table2[[#This Row],[Graduates]]-Table2[[#This Row],[Fail]]</f>
        <v>16</v>
      </c>
    </row>
    <row r="391" spans="1:41" ht="15" customHeight="1" x14ac:dyDescent="0.25">
      <c r="B391" s="530"/>
      <c r="C391" s="530" t="s">
        <v>200</v>
      </c>
      <c r="D391" s="200" t="str">
        <f>VLOOKUP(Table2[[#This Row],[Course Title]],'TSD-Data'!$A$1:$E$83,2,FALSE)</f>
        <v>A-493-0665</v>
      </c>
      <c r="E391" s="200" t="str">
        <f>VLOOKUP(Table2[[#This Row],[Course Title]],'TSD-Data'!$A$1:$E$83,3,FALSE)</f>
        <v>10KW</v>
      </c>
      <c r="F391" s="530" t="s">
        <v>54</v>
      </c>
      <c r="G391" s="531">
        <v>46160</v>
      </c>
      <c r="H391" s="531">
        <v>46162</v>
      </c>
      <c r="I391" s="531" t="s">
        <v>42</v>
      </c>
      <c r="J391" s="532"/>
      <c r="K391" s="532">
        <v>0.33333333333333331</v>
      </c>
      <c r="L391" s="532">
        <v>0.20833333333333334</v>
      </c>
      <c r="M391" s="532">
        <v>0.625</v>
      </c>
      <c r="N391" s="532">
        <v>0.54166666666666663</v>
      </c>
      <c r="O391" s="532">
        <v>8.3333333333333329E-2</v>
      </c>
      <c r="P391" s="532">
        <v>0.875</v>
      </c>
      <c r="Q391" s="535" t="s">
        <v>466</v>
      </c>
      <c r="R391" s="535"/>
      <c r="S391" s="535"/>
      <c r="T391" s="200">
        <f>VLOOKUP(Table2[[#This Row],[Course Title]],'TSD-Data'!$A$1:$E$83,4,FALSE)</f>
        <v>45</v>
      </c>
      <c r="U391" s="200">
        <f>VLOOKUP(Table2[[#This Row],[Course Title]],'TSD-Data'!$A$1:$F$83,6,FALSE)</f>
        <v>24</v>
      </c>
      <c r="V391" s="201">
        <f>VLOOKUP(Table2[[#This Row],[Course Title]],'TSD-Data'!$A$1:$F$83,5,FALSE)</f>
        <v>3</v>
      </c>
      <c r="W391" s="201">
        <v>140</v>
      </c>
      <c r="X391" s="200">
        <f>Table2[[#This Row],[Quotas]]-Table2[[#This Row],[Open Quotas]]</f>
        <v>31</v>
      </c>
      <c r="Y391" s="200">
        <v>0</v>
      </c>
      <c r="Z391" s="201">
        <v>12</v>
      </c>
      <c r="AA391" s="201">
        <v>0</v>
      </c>
      <c r="AB391" s="200">
        <v>5</v>
      </c>
      <c r="AC391" s="200">
        <v>0</v>
      </c>
      <c r="AD391" s="200">
        <v>0</v>
      </c>
      <c r="AE391" s="200" t="s">
        <v>442</v>
      </c>
      <c r="AF391" s="495">
        <f ca="1">Table2[[#This Row],[End Date]]+2-TODAY()</f>
        <v>-80</v>
      </c>
      <c r="AG391" s="496">
        <f>IF(ISBLANK(Table2[[#This Row],[Roster Received by]]),1,0)</f>
        <v>0</v>
      </c>
      <c r="AH391" s="496">
        <f ca="1">IF(Table2[[#This Row],[Start Date]]&gt;TODAY(),1,)</f>
        <v>0</v>
      </c>
      <c r="AI391" s="496">
        <f>IF(ISBLANK(Table2[[#This Row],[Primary Instructor]]),0,1)</f>
        <v>1</v>
      </c>
      <c r="AJ391" s="496">
        <f>IF(ISBLANK(Table2[[#This Row],[Instructor 2]]),0,1)</f>
        <v>0</v>
      </c>
      <c r="AK391" s="496">
        <f>Table2[[#This Row],[Course Length (Hours)]]/(Table2[[#This Row],[1 Instructor]]+Table2[[#This Row],[2 Instructors]])</f>
        <v>24</v>
      </c>
      <c r="AL391" s="318">
        <v>14</v>
      </c>
      <c r="AM391" s="496">
        <v>3</v>
      </c>
      <c r="AN391" s="496" t="str">
        <f>VLOOKUP(Table2[[#This Row],[Course Title]],'TSD-Data'!$A$1:$G$83,7,FALSE)</f>
        <v>N8</v>
      </c>
      <c r="AO391" s="500">
        <f>Table2[[#This Row],[Quotas]]-Table2[[#This Row],[Graduates]]-Table2[[#This Row],[Fail]]</f>
        <v>33</v>
      </c>
    </row>
    <row r="392" spans="1:41" s="202" customFormat="1" ht="15" customHeight="1" x14ac:dyDescent="0.25">
      <c r="A392" s="196"/>
      <c r="B392" s="530"/>
      <c r="C392" s="530" t="s">
        <v>276</v>
      </c>
      <c r="D392" s="200" t="str">
        <f>VLOOKUP(Table2[[#This Row],[Course Title]],'TSD-Data'!$A$1:$E$83,2,FALSE)</f>
        <v>A-493-0103</v>
      </c>
      <c r="E392" s="200" t="str">
        <f>VLOOKUP(Table2[[#This Row],[Course Title]],'TSD-Data'!$A$1:$E$83,3,FALSE)</f>
        <v>12JY</v>
      </c>
      <c r="F392" s="530" t="s">
        <v>257</v>
      </c>
      <c r="G392" s="531">
        <v>46160</v>
      </c>
      <c r="H392" s="531">
        <v>45799</v>
      </c>
      <c r="I392" s="531" t="s">
        <v>42</v>
      </c>
      <c r="J392" s="532">
        <v>0.33333333333333331</v>
      </c>
      <c r="K392" s="532"/>
      <c r="L392" s="531"/>
      <c r="M392" s="531"/>
      <c r="N392" s="531"/>
      <c r="O392" s="531"/>
      <c r="P392" s="531"/>
      <c r="Q392" s="535" t="s">
        <v>280</v>
      </c>
      <c r="R392" s="535"/>
      <c r="S392" s="535"/>
      <c r="T392" s="200">
        <f>VLOOKUP(Table2[[#This Row],[Course Title]],'TSD-Data'!$A$1:$E$83,4,FALSE)</f>
        <v>25</v>
      </c>
      <c r="U392" s="200">
        <f>VLOOKUP(Table2[[#This Row],[Course Title]],'TSD-Data'!$A$1:$F$83,6,FALSE)</f>
        <v>40</v>
      </c>
      <c r="V392" s="201">
        <f>VLOOKUP(Table2[[#This Row],[Course Title]],'TSD-Data'!$A$1:$F$83,5,FALSE)</f>
        <v>5</v>
      </c>
      <c r="W392" s="201">
        <v>75</v>
      </c>
      <c r="X392" s="200">
        <f>Table2[[#This Row],[Quotas]]-Table2[[#This Row],[Open Quotas]]</f>
        <v>25</v>
      </c>
      <c r="Y392" s="200">
        <v>2</v>
      </c>
      <c r="Z392" s="201">
        <v>27</v>
      </c>
      <c r="AA392" s="201">
        <v>0</v>
      </c>
      <c r="AB392" s="200">
        <v>4</v>
      </c>
      <c r="AC392" s="200">
        <v>6</v>
      </c>
      <c r="AD392" s="200">
        <v>0</v>
      </c>
      <c r="AE392" s="200" t="s">
        <v>431</v>
      </c>
      <c r="AF392" s="495">
        <f ca="1">Table2[[#This Row],[End Date]]+2-TODAY()</f>
        <v>-443</v>
      </c>
      <c r="AG392" s="496">
        <f>IF(ISBLANK(Table2[[#This Row],[Roster Received by]]),1,0)</f>
        <v>0</v>
      </c>
      <c r="AH392" s="496">
        <f ca="1">IF(Table2[[#This Row],[Start Date]]&gt;TODAY(),1,)</f>
        <v>0</v>
      </c>
      <c r="AI392" s="496">
        <f>IF(ISBLANK(Table2[[#This Row],[Primary Instructor]]),0,1)</f>
        <v>1</v>
      </c>
      <c r="AJ392" s="496">
        <f>IF(ISBLANK(Table2[[#This Row],[Instructor 2]]),0,1)</f>
        <v>0</v>
      </c>
      <c r="AK392" s="496">
        <f>Table2[[#This Row],[Course Length (Hours)]]/(Table2[[#This Row],[1 Instructor]]+Table2[[#This Row],[2 Instructors]])</f>
        <v>40</v>
      </c>
      <c r="AL392" s="318">
        <v>0</v>
      </c>
      <c r="AM392" s="496">
        <v>3</v>
      </c>
      <c r="AN392" s="496" t="str">
        <f>VLOOKUP(Table2[[#This Row],[Course Title]],'TSD-Data'!$A$1:$G$83,7,FALSE)</f>
        <v>N5</v>
      </c>
      <c r="AO392" s="500">
        <f>Table2[[#This Row],[Quotas]]-Table2[[#This Row],[Graduates]]-Table2[[#This Row],[Fail]]</f>
        <v>-2</v>
      </c>
    </row>
    <row r="393" spans="1:41" s="202" customFormat="1" ht="15" customHeight="1" x14ac:dyDescent="0.25">
      <c r="B393" s="530"/>
      <c r="C393" s="530" t="s">
        <v>276</v>
      </c>
      <c r="D393" s="200" t="str">
        <f>VLOOKUP(Table2[[#This Row],[Course Title]],'TSD-Data'!$A$1:$E$83,2,FALSE)</f>
        <v>A-493-0103</v>
      </c>
      <c r="E393" s="200" t="str">
        <f>VLOOKUP(Table2[[#This Row],[Course Title]],'TSD-Data'!$A$1:$E$83,3,FALSE)</f>
        <v>12JY</v>
      </c>
      <c r="F393" s="550" t="s">
        <v>121</v>
      </c>
      <c r="G393" s="531">
        <v>46160</v>
      </c>
      <c r="H393" s="531">
        <v>46164</v>
      </c>
      <c r="I393" s="531" t="s">
        <v>42</v>
      </c>
      <c r="J393" s="532">
        <v>0.33333333333333331</v>
      </c>
      <c r="K393" s="532"/>
      <c r="L393" s="531"/>
      <c r="M393" s="531"/>
      <c r="N393" s="531"/>
      <c r="O393" s="531"/>
      <c r="P393" s="531"/>
      <c r="Q393" s="535" t="s">
        <v>280</v>
      </c>
      <c r="R393" s="535"/>
      <c r="S393" s="535"/>
      <c r="T393" s="200">
        <f>VLOOKUP(Table2[[#This Row],[Course Title]],'TSD-Data'!$A$1:$E$83,4,FALSE)</f>
        <v>25</v>
      </c>
      <c r="U393" s="200">
        <f>VLOOKUP(Table2[[#This Row],[Course Title]],'TSD-Data'!$A$1:$F$83,6,FALSE)</f>
        <v>40</v>
      </c>
      <c r="V393" s="201">
        <f>VLOOKUP(Table2[[#This Row],[Course Title]],'TSD-Data'!$A$1:$F$83,5,FALSE)</f>
        <v>5</v>
      </c>
      <c r="W393" s="201">
        <v>225</v>
      </c>
      <c r="X393" s="200">
        <f>Table2[[#This Row],[Quotas]]-Table2[[#This Row],[Open Quotas]]</f>
        <v>25</v>
      </c>
      <c r="Y393" s="200">
        <v>2</v>
      </c>
      <c r="Z393" s="201">
        <v>25</v>
      </c>
      <c r="AA393" s="201">
        <v>0</v>
      </c>
      <c r="AB393" s="200">
        <v>2</v>
      </c>
      <c r="AC393" s="200">
        <v>0</v>
      </c>
      <c r="AD393" s="200">
        <v>0</v>
      </c>
      <c r="AE393" s="200" t="s">
        <v>431</v>
      </c>
      <c r="AF393" s="495">
        <f ca="1">Table2[[#This Row],[End Date]]+2-TODAY()</f>
        <v>-78</v>
      </c>
      <c r="AG393" s="496">
        <f>IF(ISBLANK(Table2[[#This Row],[Roster Received by]]),1,0)</f>
        <v>0</v>
      </c>
      <c r="AH393" s="496">
        <f ca="1">IF(Table2[[#This Row],[Start Date]]&gt;TODAY(),1,)</f>
        <v>0</v>
      </c>
      <c r="AI393" s="496">
        <f>IF(ISBLANK(Table2[[#This Row],[Primary Instructor]]),0,1)</f>
        <v>1</v>
      </c>
      <c r="AJ393" s="496">
        <f>IF(ISBLANK(Table2[[#This Row],[Instructor 2]]),0,1)</f>
        <v>0</v>
      </c>
      <c r="AK393" s="496">
        <f>Table2[[#This Row],[Course Length (Hours)]]/(Table2[[#This Row],[1 Instructor]]+Table2[[#This Row],[2 Instructors]])</f>
        <v>40</v>
      </c>
      <c r="AL393" s="318">
        <v>0</v>
      </c>
      <c r="AM393" s="496">
        <v>3</v>
      </c>
      <c r="AN393" s="496" t="str">
        <f>VLOOKUP(Table2[[#This Row],[Course Title]],'TSD-Data'!$A$1:$G$83,7,FALSE)</f>
        <v>N5</v>
      </c>
      <c r="AO393" s="500">
        <f>Table2[[#This Row],[Quotas]]-Table2[[#This Row],[Graduates]]-Table2[[#This Row],[Fail]]</f>
        <v>0</v>
      </c>
    </row>
    <row r="394" spans="1:41" s="202" customFormat="1" ht="15" customHeight="1" x14ac:dyDescent="0.25">
      <c r="B394" s="530"/>
      <c r="C394" s="530" t="s">
        <v>276</v>
      </c>
      <c r="D394" s="200" t="str">
        <f>VLOOKUP(Table2[[#This Row],[Course Title]],'TSD-Data'!$A$1:$E$83,2,FALSE)</f>
        <v>A-493-0103</v>
      </c>
      <c r="E394" s="200" t="str">
        <f>VLOOKUP(Table2[[#This Row],[Course Title]],'TSD-Data'!$A$1:$E$83,3,FALSE)</f>
        <v>12JY</v>
      </c>
      <c r="F394" s="530" t="s">
        <v>300</v>
      </c>
      <c r="G394" s="531">
        <v>46160</v>
      </c>
      <c r="H394" s="531">
        <v>46164</v>
      </c>
      <c r="I394" s="531" t="s">
        <v>42</v>
      </c>
      <c r="J394" s="532">
        <v>0.33333333333333331</v>
      </c>
      <c r="K394" s="532"/>
      <c r="L394" s="531"/>
      <c r="M394" s="531"/>
      <c r="N394" s="531"/>
      <c r="O394" s="531"/>
      <c r="P394" s="531"/>
      <c r="Q394" s="535" t="s">
        <v>280</v>
      </c>
      <c r="R394" s="535"/>
      <c r="S394" s="535"/>
      <c r="T394" s="200">
        <f>VLOOKUP(Table2[[#This Row],[Course Title]],'TSD-Data'!$A$1:$E$83,4,FALSE)</f>
        <v>25</v>
      </c>
      <c r="U394" s="200">
        <f>VLOOKUP(Table2[[#This Row],[Course Title]],'TSD-Data'!$A$1:$F$83,6,FALSE)</f>
        <v>40</v>
      </c>
      <c r="V394" s="201">
        <f>VLOOKUP(Table2[[#This Row],[Course Title]],'TSD-Data'!$A$1:$F$83,5,FALSE)</f>
        <v>5</v>
      </c>
      <c r="W394" s="201">
        <v>27</v>
      </c>
      <c r="X394" s="200">
        <f>Table2[[#This Row],[Quotas]]-Table2[[#This Row],[Open Quotas]]</f>
        <v>25</v>
      </c>
      <c r="Y394" s="200">
        <v>0</v>
      </c>
      <c r="Z394" s="201">
        <v>23</v>
      </c>
      <c r="AA394" s="201">
        <v>0</v>
      </c>
      <c r="AB394" s="200">
        <v>2</v>
      </c>
      <c r="AC394" s="200">
        <v>0</v>
      </c>
      <c r="AD394" s="200">
        <v>9</v>
      </c>
      <c r="AE394" s="200" t="s">
        <v>431</v>
      </c>
      <c r="AF394" s="495">
        <f ca="1">Table2[[#This Row],[End Date]]+2-TODAY()</f>
        <v>-78</v>
      </c>
      <c r="AG394" s="496">
        <f>IF(ISBLANK(Table2[[#This Row],[Roster Received by]]),1,0)</f>
        <v>0</v>
      </c>
      <c r="AH394" s="496">
        <f ca="1">IF(Table2[[#This Row],[Start Date]]&gt;TODAY(),1,)</f>
        <v>0</v>
      </c>
      <c r="AI394" s="496">
        <f>IF(ISBLANK(Table2[[#This Row],[Primary Instructor]]),0,1)</f>
        <v>1</v>
      </c>
      <c r="AJ394" s="496">
        <f>IF(ISBLANK(Table2[[#This Row],[Instructor 2]]),0,1)</f>
        <v>0</v>
      </c>
      <c r="AK394" s="496">
        <f>Table2[[#This Row],[Course Length (Hours)]]/(Table2[[#This Row],[1 Instructor]]+Table2[[#This Row],[2 Instructors]])</f>
        <v>40</v>
      </c>
      <c r="AL394" s="318">
        <v>0</v>
      </c>
      <c r="AM394" s="496">
        <v>3</v>
      </c>
      <c r="AN394" s="496" t="str">
        <f>VLOOKUP(Table2[[#This Row],[Course Title]],'TSD-Data'!$A$1:$G$83,7,FALSE)</f>
        <v>N5</v>
      </c>
      <c r="AO394" s="500">
        <f>Table2[[#This Row],[Quotas]]-Table2[[#This Row],[Graduates]]-Table2[[#This Row],[Fail]]</f>
        <v>2</v>
      </c>
    </row>
    <row r="395" spans="1:41" s="202" customFormat="1" ht="15" customHeight="1" x14ac:dyDescent="0.25">
      <c r="B395" s="530"/>
      <c r="C395" s="530" t="s">
        <v>271</v>
      </c>
      <c r="D395" s="200" t="str">
        <f>VLOOKUP(Table2[[#This Row],[Course Title]],'TSD-Data'!$A$1:$E$83,2,FALSE)</f>
        <v>A-493-0061</v>
      </c>
      <c r="E395" s="200" t="str">
        <f>VLOOKUP(Table2[[#This Row],[Course Title]],'TSD-Data'!$A$1:$E$83,3,FALSE)</f>
        <v>288E</v>
      </c>
      <c r="F395" s="530" t="s">
        <v>54</v>
      </c>
      <c r="G395" s="531">
        <v>46160</v>
      </c>
      <c r="H395" s="531">
        <v>46163</v>
      </c>
      <c r="I395" s="531" t="s">
        <v>42</v>
      </c>
      <c r="J395" s="532"/>
      <c r="K395" s="532">
        <v>0.5</v>
      </c>
      <c r="L395" s="536">
        <v>0.375</v>
      </c>
      <c r="M395" s="536">
        <v>0.79166666666666663</v>
      </c>
      <c r="N395" s="536">
        <v>0.75</v>
      </c>
      <c r="O395" s="536">
        <v>0.25</v>
      </c>
      <c r="P395" s="536">
        <v>4.1666666666666664E-2</v>
      </c>
      <c r="Q395" s="535" t="s">
        <v>148</v>
      </c>
      <c r="R395" s="535"/>
      <c r="S395" s="535"/>
      <c r="T395" s="200">
        <f>VLOOKUP(Table2[[#This Row],[Course Title]],'TSD-Data'!$A$1:$E$83,4,FALSE)</f>
        <v>45</v>
      </c>
      <c r="U395" s="200">
        <f>VLOOKUP(Table2[[#This Row],[Course Title]],'TSD-Data'!$A$1:$F$83,6,FALSE)</f>
        <v>30</v>
      </c>
      <c r="V395" s="201">
        <f>VLOOKUP(Table2[[#This Row],[Course Title]],'TSD-Data'!$A$1:$F$83,5,FALSE)</f>
        <v>4</v>
      </c>
      <c r="W395" s="201">
        <v>620</v>
      </c>
      <c r="X395" s="200">
        <f>Table2[[#This Row],[Quotas]]-Table2[[#This Row],[Open Quotas]]</f>
        <v>41</v>
      </c>
      <c r="Y395" s="200">
        <v>0</v>
      </c>
      <c r="Z395" s="201">
        <v>35</v>
      </c>
      <c r="AA395" s="201">
        <v>1</v>
      </c>
      <c r="AB395" s="200">
        <v>9</v>
      </c>
      <c r="AC395" s="200">
        <v>0</v>
      </c>
      <c r="AD395" s="200">
        <v>0</v>
      </c>
      <c r="AE395" s="200" t="s">
        <v>431</v>
      </c>
      <c r="AF395" s="495">
        <f ca="1">Table2[[#This Row],[End Date]]+2-TODAY()</f>
        <v>-79</v>
      </c>
      <c r="AG395" s="496">
        <f>IF(ISBLANK(Table2[[#This Row],[Roster Received by]]),1,0)</f>
        <v>0</v>
      </c>
      <c r="AH395" s="496">
        <f ca="1">IF(Table2[[#This Row],[Start Date]]&gt;TODAY(),1,)</f>
        <v>0</v>
      </c>
      <c r="AI395" s="496">
        <f>IF(ISBLANK(Table2[[#This Row],[Primary Instructor]]),0,1)</f>
        <v>1</v>
      </c>
      <c r="AJ395" s="496">
        <f>IF(ISBLANK(Table2[[#This Row],[Instructor 2]]),0,1)</f>
        <v>0</v>
      </c>
      <c r="AK395" s="496">
        <f>Table2[[#This Row],[Course Length (Hours)]]/(Table2[[#This Row],[1 Instructor]]+Table2[[#This Row],[2 Instructors]])</f>
        <v>30</v>
      </c>
      <c r="AL395" s="318">
        <v>4</v>
      </c>
      <c r="AM395" s="496">
        <v>3</v>
      </c>
      <c r="AN395" s="496" t="str">
        <f>VLOOKUP(Table2[[#This Row],[Course Title]],'TSD-Data'!$A$1:$G$83,7,FALSE)</f>
        <v>N5</v>
      </c>
      <c r="AO395" s="500">
        <f>Table2[[#This Row],[Quotas]]-Table2[[#This Row],[Graduates]]-Table2[[#This Row],[Fail]]</f>
        <v>9</v>
      </c>
    </row>
    <row r="396" spans="1:41" s="202" customFormat="1" ht="15" customHeight="1" x14ac:dyDescent="0.25">
      <c r="B396" s="530"/>
      <c r="C396" s="530" t="s">
        <v>213</v>
      </c>
      <c r="D396" s="200" t="str">
        <f>VLOOKUP(Table2[[#This Row],[Course Title]],'TSD-Data'!$A$1:$E$83,2,FALSE)</f>
        <v>A-322-2604</v>
      </c>
      <c r="E396" s="200" t="str">
        <f>VLOOKUP(Table2[[#This Row],[Course Title]],'TSD-Data'!$A$1:$E$83,3,FALSE)</f>
        <v>10ZZ</v>
      </c>
      <c r="F396" s="530" t="s">
        <v>54</v>
      </c>
      <c r="G396" s="531">
        <v>46160</v>
      </c>
      <c r="H396" s="531">
        <v>46162</v>
      </c>
      <c r="I396" s="531" t="s">
        <v>42</v>
      </c>
      <c r="J396" s="532"/>
      <c r="K396" s="558">
        <v>0.5</v>
      </c>
      <c r="L396" s="536">
        <v>0.375</v>
      </c>
      <c r="M396" s="536">
        <v>0.79166666666666663</v>
      </c>
      <c r="N396" s="536">
        <v>0.75</v>
      </c>
      <c r="O396" s="536">
        <v>0.25</v>
      </c>
      <c r="P396" s="536">
        <v>4.1666666666666664E-2</v>
      </c>
      <c r="Q396" s="535" t="s">
        <v>432</v>
      </c>
      <c r="R396" s="535"/>
      <c r="S396" s="535"/>
      <c r="T396" s="200">
        <f>VLOOKUP(Table2[[#This Row],[Course Title]],'TSD-Data'!$A$1:$E$83,4,FALSE)</f>
        <v>45</v>
      </c>
      <c r="U396" s="200">
        <f>VLOOKUP(Table2[[#This Row],[Course Title]],'TSD-Data'!$A$1:$F$83,6,FALSE)</f>
        <v>24</v>
      </c>
      <c r="V396" s="201">
        <f>VLOOKUP(Table2[[#This Row],[Course Title]],'TSD-Data'!$A$1:$F$83,5,FALSE)</f>
        <v>3</v>
      </c>
      <c r="W396" s="201">
        <v>621</v>
      </c>
      <c r="X396" s="200">
        <f>Table2[[#This Row],[Quotas]]-Table2[[#This Row],[Open Quotas]]</f>
        <v>45</v>
      </c>
      <c r="Y396" s="200">
        <v>0</v>
      </c>
      <c r="Z396" s="201">
        <v>30</v>
      </c>
      <c r="AA396" s="201">
        <v>0</v>
      </c>
      <c r="AB396" s="200">
        <v>15</v>
      </c>
      <c r="AC396" s="200">
        <v>0</v>
      </c>
      <c r="AD396" s="200">
        <v>0</v>
      </c>
      <c r="AE396" s="200" t="s">
        <v>431</v>
      </c>
      <c r="AF396" s="495">
        <f ca="1">Table2[[#This Row],[End Date]]+2-TODAY()</f>
        <v>-80</v>
      </c>
      <c r="AG396" s="496">
        <f>IF(ISBLANK(Table2[[#This Row],[Roster Received by]]),1,0)</f>
        <v>0</v>
      </c>
      <c r="AH396" s="496">
        <f ca="1">IF(Table2[[#This Row],[Start Date]]&gt;TODAY(),1,)</f>
        <v>0</v>
      </c>
      <c r="AI396" s="496">
        <f>IF(ISBLANK(Table2[[#This Row],[Primary Instructor]]),0,1)</f>
        <v>1</v>
      </c>
      <c r="AJ396" s="496">
        <f>IF(ISBLANK(Table2[[#This Row],[Instructor 2]]),0,1)</f>
        <v>0</v>
      </c>
      <c r="AK396" s="496">
        <f>Table2[[#This Row],[Course Length (Hours)]]/(Table2[[#This Row],[1 Instructor]]+Table2[[#This Row],[2 Instructors]])</f>
        <v>24</v>
      </c>
      <c r="AL396" s="318">
        <v>0</v>
      </c>
      <c r="AM396" s="496">
        <v>3</v>
      </c>
      <c r="AN396" s="496" t="str">
        <f>VLOOKUP(Table2[[#This Row],[Course Title]],'TSD-Data'!$A$1:$G$83,7,FALSE)</f>
        <v>N8</v>
      </c>
      <c r="AO396" s="500">
        <f>Table2[[#This Row],[Quotas]]-Table2[[#This Row],[Graduates]]-Table2[[#This Row],[Fail]]</f>
        <v>15</v>
      </c>
    </row>
    <row r="397" spans="1:41" s="202" customFormat="1" ht="15" customHeight="1" x14ac:dyDescent="0.25">
      <c r="B397" s="530"/>
      <c r="C397" s="530" t="s">
        <v>252</v>
      </c>
      <c r="D397" s="200" t="str">
        <f>VLOOKUP(Table2[[#This Row],[Course Title]],'TSD-Data'!$A$1:$E$83,2,FALSE)</f>
        <v>A-493-0335</v>
      </c>
      <c r="E397" s="200" t="str">
        <f>VLOOKUP(Table2[[#This Row],[Course Title]],'TSD-Data'!$A$1:$E$83,3,FALSE)</f>
        <v>09ND</v>
      </c>
      <c r="F397" s="530" t="s">
        <v>54</v>
      </c>
      <c r="G397" s="531">
        <v>46160</v>
      </c>
      <c r="H397" s="531">
        <v>46163</v>
      </c>
      <c r="I397" s="531" t="s">
        <v>42</v>
      </c>
      <c r="J397" s="532"/>
      <c r="K397" s="532">
        <v>0.5</v>
      </c>
      <c r="L397" s="536">
        <v>0.375</v>
      </c>
      <c r="M397" s="536">
        <v>0.79166666666666663</v>
      </c>
      <c r="N397" s="536">
        <v>0.75</v>
      </c>
      <c r="O397" s="536">
        <v>0.25</v>
      </c>
      <c r="P397" s="536">
        <v>4.1666666666666664E-2</v>
      </c>
      <c r="Q397" s="535" t="s">
        <v>111</v>
      </c>
      <c r="R397" s="535" t="s">
        <v>82</v>
      </c>
      <c r="S397" s="535"/>
      <c r="T397" s="200">
        <f>VLOOKUP(Table2[[#This Row],[Course Title]],'TSD-Data'!$A$1:$E$83,4,FALSE)</f>
        <v>45</v>
      </c>
      <c r="U397" s="200">
        <f>VLOOKUP(Table2[[#This Row],[Course Title]],'TSD-Data'!$A$1:$F$83,6,FALSE)</f>
        <v>32</v>
      </c>
      <c r="V397" s="201">
        <f>VLOOKUP(Table2[[#This Row],[Course Title]],'TSD-Data'!$A$1:$F$83,5,FALSE)</f>
        <v>4</v>
      </c>
      <c r="W397" s="201">
        <v>537</v>
      </c>
      <c r="X397" s="200">
        <f>Table2[[#This Row],[Quotas]]-Table2[[#This Row],[Open Quotas]]</f>
        <v>32</v>
      </c>
      <c r="Y397" s="200">
        <v>0</v>
      </c>
      <c r="Z397" s="201">
        <v>25</v>
      </c>
      <c r="AA397" s="201">
        <v>1</v>
      </c>
      <c r="AB397" s="200">
        <v>6</v>
      </c>
      <c r="AC397" s="200">
        <v>0</v>
      </c>
      <c r="AD397" s="200">
        <v>0</v>
      </c>
      <c r="AE397" s="200" t="s">
        <v>429</v>
      </c>
      <c r="AF397" s="495">
        <f ca="1">Table2[[#This Row],[End Date]]+2-TODAY()</f>
        <v>-79</v>
      </c>
      <c r="AG397" s="496">
        <f>IF(ISBLANK(Table2[[#This Row],[Roster Received by]]),1,0)</f>
        <v>0</v>
      </c>
      <c r="AH397" s="496">
        <f ca="1">IF(Table2[[#This Row],[Start Date]]&gt;TODAY(),1,)</f>
        <v>0</v>
      </c>
      <c r="AI397" s="496">
        <f>IF(ISBLANK(Table2[[#This Row],[Primary Instructor]]),0,1)</f>
        <v>1</v>
      </c>
      <c r="AJ397" s="496">
        <f>IF(ISBLANK(Table2[[#This Row],[Instructor 2]]),0,1)</f>
        <v>1</v>
      </c>
      <c r="AK397" s="496">
        <f>Table2[[#This Row],[Course Length (Hours)]]/(Table2[[#This Row],[1 Instructor]]+Table2[[#This Row],[2 Instructors]])</f>
        <v>16</v>
      </c>
      <c r="AL397" s="318">
        <v>13</v>
      </c>
      <c r="AM397" s="496">
        <v>3</v>
      </c>
      <c r="AN397" s="496" t="str">
        <f>VLOOKUP(Table2[[#This Row],[Course Title]],'TSD-Data'!$A$1:$G$83,7,FALSE)</f>
        <v>N3</v>
      </c>
      <c r="AO397" s="500">
        <f>Table2[[#This Row],[Quotas]]-Table2[[#This Row],[Graduates]]-Table2[[#This Row],[Fail]]</f>
        <v>19</v>
      </c>
    </row>
    <row r="398" spans="1:41" s="202" customFormat="1" ht="15" customHeight="1" x14ac:dyDescent="0.25">
      <c r="B398" s="530" t="s">
        <v>482</v>
      </c>
      <c r="C398" s="530" t="s">
        <v>53</v>
      </c>
      <c r="D398" s="200" t="str">
        <f>VLOOKUP(Table2[[#This Row],[Course Title]],'TSD-Data'!$A$1:$E$83,2,FALSE)</f>
        <v>A-493-0078</v>
      </c>
      <c r="E398" s="200">
        <f>VLOOKUP(Table2[[#This Row],[Course Title]],'TSD-Data'!$A$1:$E$83,3,FALSE)</f>
        <v>1228</v>
      </c>
      <c r="F398" s="530" t="s">
        <v>54</v>
      </c>
      <c r="G398" s="531">
        <v>46160</v>
      </c>
      <c r="H398" s="531">
        <v>46164</v>
      </c>
      <c r="I398" s="531" t="s">
        <v>42</v>
      </c>
      <c r="J398" s="532">
        <v>0.33333333333333331</v>
      </c>
      <c r="K398" s="532">
        <v>0.33333333333333331</v>
      </c>
      <c r="L398" s="536">
        <v>0.20833333333333334</v>
      </c>
      <c r="M398" s="536">
        <v>0.625</v>
      </c>
      <c r="N398" s="536">
        <v>0.54166666666666663</v>
      </c>
      <c r="O398" s="536">
        <v>8.3333333333333329E-2</v>
      </c>
      <c r="P398" s="536">
        <v>0.875</v>
      </c>
      <c r="Q398" s="535" t="s">
        <v>55</v>
      </c>
      <c r="R398" s="535"/>
      <c r="S398" s="535"/>
      <c r="T398" s="200">
        <f>VLOOKUP(Table2[[#This Row],[Course Title]],'TSD-Data'!$A$1:$E$83,4,FALSE)</f>
        <v>45</v>
      </c>
      <c r="U398" s="200">
        <f>VLOOKUP(Table2[[#This Row],[Course Title]],'TSD-Data'!$A$1:$F$83,6,FALSE)</f>
        <v>32</v>
      </c>
      <c r="V398" s="201">
        <f>VLOOKUP(Table2[[#This Row],[Course Title]],'TSD-Data'!$A$1:$F$83,5,FALSE)</f>
        <v>4</v>
      </c>
      <c r="W398" s="201">
        <v>568</v>
      </c>
      <c r="X398" s="200">
        <f>Table2[[#This Row],[Quotas]]-Table2[[#This Row],[Open Quotas]]</f>
        <v>38</v>
      </c>
      <c r="Y398" s="200">
        <v>0</v>
      </c>
      <c r="Z398" s="201">
        <v>22</v>
      </c>
      <c r="AA398" s="201">
        <v>1</v>
      </c>
      <c r="AB398" s="200">
        <v>18</v>
      </c>
      <c r="AC398" s="200">
        <v>0</v>
      </c>
      <c r="AD398" s="200">
        <v>0</v>
      </c>
      <c r="AE398" s="200" t="s">
        <v>431</v>
      </c>
      <c r="AF398" s="495">
        <f ca="1">Table2[[#This Row],[End Date]]+2-TODAY()</f>
        <v>-78</v>
      </c>
      <c r="AG398" s="496">
        <f>IF(ISBLANK(Table2[[#This Row],[Roster Received by]]),1,0)</f>
        <v>0</v>
      </c>
      <c r="AH398" s="496">
        <f ca="1">IF(Table2[[#This Row],[Start Date]]&gt;TODAY(),1,)</f>
        <v>0</v>
      </c>
      <c r="AI398" s="496">
        <f>IF(ISBLANK(Table2[[#This Row],[Primary Instructor]]),0,1)</f>
        <v>1</v>
      </c>
      <c r="AJ398" s="496">
        <f>IF(ISBLANK(Table2[[#This Row],[Instructor 2]]),0,1)</f>
        <v>0</v>
      </c>
      <c r="AK398" s="496">
        <f>Table2[[#This Row],[Course Length (Hours)]]/(Table2[[#This Row],[1 Instructor]]+Table2[[#This Row],[2 Instructors]])</f>
        <v>32</v>
      </c>
      <c r="AL398" s="318">
        <v>7</v>
      </c>
      <c r="AM398" s="496">
        <v>3</v>
      </c>
      <c r="AN398" s="496" t="str">
        <f>VLOOKUP(Table2[[#This Row],[Course Title]],'TSD-Data'!$A$1:$G$83,7,FALSE)</f>
        <v>N5</v>
      </c>
      <c r="AO398" s="500">
        <f>Table2[[#This Row],[Quotas]]-Table2[[#This Row],[Graduates]]-Table2[[#This Row],[Fail]]</f>
        <v>22</v>
      </c>
    </row>
    <row r="399" spans="1:41" s="202" customFormat="1" ht="15" customHeight="1" x14ac:dyDescent="0.25">
      <c r="B399" s="530"/>
      <c r="C399" s="530" t="s">
        <v>401</v>
      </c>
      <c r="D399" s="200" t="str">
        <f>VLOOKUP(Table2[[#This Row],[Course Title]],'TSD-Data'!$A$1:$E$83,2,FALSE)</f>
        <v>A-493-3002</v>
      </c>
      <c r="E399" s="200" t="str">
        <f>VLOOKUP(Table2[[#This Row],[Course Title]],'TSD-Data'!$A$1:$E$83,3,FALSE)</f>
        <v>31V4</v>
      </c>
      <c r="F399" s="530" t="s">
        <v>54</v>
      </c>
      <c r="G399" s="531">
        <v>46160</v>
      </c>
      <c r="H399" s="531">
        <v>46160</v>
      </c>
      <c r="I399" s="531" t="s">
        <v>42</v>
      </c>
      <c r="J399" s="532"/>
      <c r="K399" s="532">
        <v>0.45833333333333331</v>
      </c>
      <c r="L399" s="532">
        <v>0.33333333333333331</v>
      </c>
      <c r="M399" s="532">
        <v>0.75</v>
      </c>
      <c r="N399" s="532">
        <v>0.70833333333333337</v>
      </c>
      <c r="O399" s="532">
        <v>0.25</v>
      </c>
      <c r="P399" s="532">
        <v>6.9444444444444447E-4</v>
      </c>
      <c r="Q399" s="535" t="s">
        <v>445</v>
      </c>
      <c r="R399" s="535" t="s">
        <v>483</v>
      </c>
      <c r="S399" s="535"/>
      <c r="T399" s="200">
        <f>VLOOKUP(Table2[[#This Row],[Course Title]],'TSD-Data'!$A$1:$E$83,4,FALSE)</f>
        <v>1000</v>
      </c>
      <c r="U399" s="200">
        <f>VLOOKUP(Table2[[#This Row],[Course Title]],'TSD-Data'!$A$1:$F$83,6,FALSE)</f>
        <v>8</v>
      </c>
      <c r="V399" s="201">
        <f>VLOOKUP(Table2[[#This Row],[Course Title]],'TSD-Data'!$A$1:$F$83,5,FALSE)</f>
        <v>1</v>
      </c>
      <c r="W399" s="201"/>
      <c r="X399" s="200">
        <f>Table2[[#This Row],[Quotas]]-Table2[[#This Row],[Open Quotas]]</f>
        <v>87</v>
      </c>
      <c r="Y399" s="200">
        <v>0</v>
      </c>
      <c r="Z399" s="201">
        <v>26</v>
      </c>
      <c r="AA399" s="201">
        <v>0</v>
      </c>
      <c r="AB399" s="200">
        <v>0</v>
      </c>
      <c r="AC399" s="200">
        <v>0</v>
      </c>
      <c r="AD399" s="200">
        <v>0</v>
      </c>
      <c r="AE399" s="200" t="s">
        <v>442</v>
      </c>
      <c r="AF399" s="495">
        <f ca="1">Table2[[#This Row],[End Date]]+2-TODAY()</f>
        <v>-82</v>
      </c>
      <c r="AG399" s="496">
        <f>IF(ISBLANK(Table2[[#This Row],[Roster Received by]]),1,0)</f>
        <v>0</v>
      </c>
      <c r="AH399" s="496">
        <f ca="1">IF(Table2[[#This Row],[Start Date]]&gt;TODAY(),1,)</f>
        <v>0</v>
      </c>
      <c r="AI399" s="496">
        <f>IF(ISBLANK(Table2[[#This Row],[Primary Instructor]]),0,1)</f>
        <v>1</v>
      </c>
      <c r="AJ399" s="496">
        <f>IF(ISBLANK(Table2[[#This Row],[Instructor 2]]),0,1)</f>
        <v>1</v>
      </c>
      <c r="AK399" s="496">
        <f>AJ715</f>
        <v>0</v>
      </c>
      <c r="AL399" s="318">
        <v>913</v>
      </c>
      <c r="AM399" s="501">
        <v>3</v>
      </c>
      <c r="AN399" s="496" t="str">
        <f>VLOOKUP(Table2[[#This Row],[Course Title]],'TSD-Data'!$A$1:$G$83,7,FALSE)</f>
        <v>N8-RMI</v>
      </c>
      <c r="AO399" s="500">
        <f>Table2[[#This Row],[Quotas]]-Table2[[#This Row],[Graduates]]-Table2[[#This Row],[Fail]]</f>
        <v>974</v>
      </c>
    </row>
    <row r="400" spans="1:41" s="202" customFormat="1" ht="15" customHeight="1" x14ac:dyDescent="0.25">
      <c r="B400" s="530"/>
      <c r="C400" s="530" t="s">
        <v>407</v>
      </c>
      <c r="D400" s="200" t="str">
        <f>VLOOKUP(Table2[[#This Row],[Course Title]],'TSD-Data'!$A$1:$E$83,2,FALSE)</f>
        <v>A-493-3003</v>
      </c>
      <c r="E400" s="200" t="str">
        <f>VLOOKUP(Table2[[#This Row],[Course Title]],'TSD-Data'!$A$1:$E$83,3,FALSE)</f>
        <v>31V5</v>
      </c>
      <c r="F400" s="530" t="s">
        <v>54</v>
      </c>
      <c r="G400" s="531">
        <v>46160</v>
      </c>
      <c r="H400" s="531">
        <v>46160</v>
      </c>
      <c r="I400" s="531" t="s">
        <v>42</v>
      </c>
      <c r="J400" s="532"/>
      <c r="K400" s="532">
        <v>0.75</v>
      </c>
      <c r="L400" s="532">
        <v>0.625</v>
      </c>
      <c r="M400" s="532">
        <v>4.1666666666666664E-2</v>
      </c>
      <c r="N400" s="532">
        <v>6.9444444444444447E-4</v>
      </c>
      <c r="O400" s="532">
        <v>0.54166666666666663</v>
      </c>
      <c r="P400" s="532">
        <v>0.29166666666666669</v>
      </c>
      <c r="Q400" s="535" t="s">
        <v>445</v>
      </c>
      <c r="R400" s="535" t="s">
        <v>483</v>
      </c>
      <c r="S400" s="535"/>
      <c r="T400" s="200">
        <f>VLOOKUP(Table2[[#This Row],[Course Title]],'TSD-Data'!$A$1:$E$83,4,FALSE)</f>
        <v>1000</v>
      </c>
      <c r="U400" s="200">
        <f>VLOOKUP(Table2[[#This Row],[Course Title]],'TSD-Data'!$A$1:$F$83,6,FALSE)</f>
        <v>2</v>
      </c>
      <c r="V400" s="201">
        <f>VLOOKUP(Table2[[#This Row],[Course Title]],'TSD-Data'!$A$1:$F$83,5,FALSE)</f>
        <v>0.25</v>
      </c>
      <c r="W400" s="201"/>
      <c r="X400" s="200">
        <f>Table2[[#This Row],[Quotas]]-Table2[[#This Row],[Open Quotas]]</f>
        <v>87</v>
      </c>
      <c r="Y400" s="200">
        <v>0</v>
      </c>
      <c r="Z400" s="201">
        <v>14</v>
      </c>
      <c r="AA400" s="201">
        <v>0</v>
      </c>
      <c r="AB400" s="200">
        <v>0</v>
      </c>
      <c r="AC400" s="200">
        <v>0</v>
      </c>
      <c r="AD400" s="200">
        <v>0</v>
      </c>
      <c r="AE400" s="200" t="s">
        <v>442</v>
      </c>
      <c r="AF400" s="495">
        <f ca="1">Table2[[#This Row],[End Date]]+2-TODAY()</f>
        <v>-82</v>
      </c>
      <c r="AG400" s="496">
        <f>IF(ISBLANK(Table2[[#This Row],[Roster Received by]]),1,0)</f>
        <v>0</v>
      </c>
      <c r="AH400" s="496">
        <f ca="1">IF(Table2[[#This Row],[Start Date]]&gt;TODAY(),1,)</f>
        <v>0</v>
      </c>
      <c r="AI400" s="496">
        <f>IF(ISBLANK(Table2[[#This Row],[Primary Instructor]]),0,1)</f>
        <v>1</v>
      </c>
      <c r="AJ400" s="496">
        <f>IF(ISBLANK(Table2[[#This Row],[Instructor 2]]),0,1)</f>
        <v>1</v>
      </c>
      <c r="AK400" s="496">
        <f>AJ730</f>
        <v>0</v>
      </c>
      <c r="AL400" s="318">
        <v>913</v>
      </c>
      <c r="AM400" s="501">
        <v>3</v>
      </c>
      <c r="AN400" s="496" t="str">
        <f>VLOOKUP(Table2[[#This Row],[Course Title]],'TSD-Data'!$A$1:$G$83,7,FALSE)</f>
        <v>N8-RMI</v>
      </c>
      <c r="AO400" s="500">
        <f>Table2[[#This Row],[Quotas]]-Table2[[#This Row],[Graduates]]-Table2[[#This Row],[Fail]]</f>
        <v>986</v>
      </c>
    </row>
    <row r="401" spans="1:41" s="202" customFormat="1" ht="15" customHeight="1" x14ac:dyDescent="0.25">
      <c r="B401" s="530"/>
      <c r="C401" s="530" t="s">
        <v>410</v>
      </c>
      <c r="D401" s="200" t="str">
        <f>VLOOKUP(Table2[[#This Row],[Course Title]],'TSD-Data'!$A$1:$E$83,2,FALSE)</f>
        <v>A-493-3006</v>
      </c>
      <c r="E401" s="200" t="str">
        <f>VLOOKUP(Table2[[#This Row],[Course Title]],'TSD-Data'!$A$1:$E$83,3,FALSE)</f>
        <v>31V8</v>
      </c>
      <c r="F401" s="530" t="s">
        <v>54</v>
      </c>
      <c r="G401" s="531">
        <v>46160</v>
      </c>
      <c r="H401" s="531">
        <v>46160</v>
      </c>
      <c r="I401" s="531" t="s">
        <v>42</v>
      </c>
      <c r="J401" s="532"/>
      <c r="K401" s="532">
        <v>0.66666666666666663</v>
      </c>
      <c r="L401" s="532">
        <v>0.54166666666666663</v>
      </c>
      <c r="M401" s="532">
        <v>0.95833333333333337</v>
      </c>
      <c r="N401" s="532">
        <v>0.91666666666666663</v>
      </c>
      <c r="O401" s="532">
        <v>0.45833333333333331</v>
      </c>
      <c r="P401" s="532">
        <v>0.20833333333333334</v>
      </c>
      <c r="Q401" s="535" t="s">
        <v>445</v>
      </c>
      <c r="R401" s="535" t="s">
        <v>483</v>
      </c>
      <c r="S401" s="535"/>
      <c r="T401" s="200">
        <f>VLOOKUP(Table2[[#This Row],[Course Title]],'TSD-Data'!$A$1:$E$83,4,FALSE)</f>
        <v>1000</v>
      </c>
      <c r="U401" s="200">
        <f>VLOOKUP(Table2[[#This Row],[Course Title]],'TSD-Data'!$A$1:$F$83,6,FALSE)</f>
        <v>2</v>
      </c>
      <c r="V401" s="201">
        <f>VLOOKUP(Table2[[#This Row],[Course Title]],'TSD-Data'!$A$1:$F$83,5,FALSE)</f>
        <v>0.1</v>
      </c>
      <c r="W401" s="201"/>
      <c r="X401" s="200">
        <f>Table2[[#This Row],[Quotas]]-Table2[[#This Row],[Open Quotas]]</f>
        <v>87</v>
      </c>
      <c r="Y401" s="200">
        <v>0</v>
      </c>
      <c r="Z401" s="201">
        <v>14</v>
      </c>
      <c r="AA401" s="201">
        <v>0</v>
      </c>
      <c r="AB401" s="200">
        <v>0</v>
      </c>
      <c r="AC401" s="200">
        <v>0</v>
      </c>
      <c r="AD401" s="200">
        <v>0</v>
      </c>
      <c r="AE401" s="200" t="s">
        <v>442</v>
      </c>
      <c r="AF401" s="495">
        <f ca="1">Table2[[#This Row],[End Date]]+2-TODAY()</f>
        <v>-82</v>
      </c>
      <c r="AG401" s="496">
        <f>IF(ISBLANK(Table2[[#This Row],[Roster Received by]]),1,0)</f>
        <v>0</v>
      </c>
      <c r="AH401" s="496">
        <f ca="1">IF(Table2[[#This Row],[Start Date]]&gt;TODAY(),1,)</f>
        <v>0</v>
      </c>
      <c r="AI401" s="496">
        <f>IF(ISBLANK(Table2[[#This Row],[Primary Instructor]]),0,1)</f>
        <v>1</v>
      </c>
      <c r="AJ401" s="496">
        <f>IF(ISBLANK(Table2[[#This Row],[Instructor 2]]),0,1)</f>
        <v>1</v>
      </c>
      <c r="AK401" s="496">
        <f>AJ717</f>
        <v>0</v>
      </c>
      <c r="AL401" s="318">
        <v>913</v>
      </c>
      <c r="AM401" s="501">
        <v>3</v>
      </c>
      <c r="AN401" s="496" t="str">
        <f>VLOOKUP(Table2[[#This Row],[Course Title]],'TSD-Data'!$A$1:$G$83,7,FALSE)</f>
        <v>N8-RMI</v>
      </c>
      <c r="AO401" s="500">
        <f>Table2[[#This Row],[Quotas]]-Table2[[#This Row],[Graduates]]-Table2[[#This Row],[Fail]]</f>
        <v>986</v>
      </c>
    </row>
    <row r="402" spans="1:41" s="202" customFormat="1" ht="15" customHeight="1" x14ac:dyDescent="0.25">
      <c r="B402" s="530"/>
      <c r="C402" s="530" t="s">
        <v>413</v>
      </c>
      <c r="D402" s="200" t="str">
        <f>VLOOKUP(Table2[[#This Row],[Course Title]],'TSD-Data'!$A$1:$E$83,2,FALSE)</f>
        <v>A-493-3007</v>
      </c>
      <c r="E402" s="200" t="str">
        <f>VLOOKUP(Table2[[#This Row],[Course Title]],'TSD-Data'!$A$1:$E$83,3,FALSE)</f>
        <v>31V9</v>
      </c>
      <c r="F402" s="530" t="s">
        <v>54</v>
      </c>
      <c r="G402" s="531">
        <v>46160</v>
      </c>
      <c r="H402" s="531">
        <v>46160</v>
      </c>
      <c r="I402" s="531" t="s">
        <v>42</v>
      </c>
      <c r="J402" s="532"/>
      <c r="K402" s="532">
        <v>0.70833333333333337</v>
      </c>
      <c r="L402" s="532">
        <v>0.58333333333333337</v>
      </c>
      <c r="M402" s="532">
        <v>6.9444444444444447E-4</v>
      </c>
      <c r="N402" s="532">
        <v>0.95833333333333337</v>
      </c>
      <c r="O402" s="532">
        <v>0.5</v>
      </c>
      <c r="P402" s="532">
        <v>0.25</v>
      </c>
      <c r="Q402" s="535" t="s">
        <v>445</v>
      </c>
      <c r="R402" s="535" t="s">
        <v>483</v>
      </c>
      <c r="S402" s="535"/>
      <c r="T402" s="200">
        <f>VLOOKUP(Table2[[#This Row],[Course Title]],'TSD-Data'!$A$1:$E$83,4,FALSE)</f>
        <v>1000</v>
      </c>
      <c r="U402" s="200">
        <f>VLOOKUP(Table2[[#This Row],[Course Title]],'TSD-Data'!$A$1:$F$83,6,FALSE)</f>
        <v>2.5</v>
      </c>
      <c r="V402" s="201">
        <f>VLOOKUP(Table2[[#This Row],[Course Title]],'TSD-Data'!$A$1:$F$83,5,FALSE)</f>
        <v>0.3</v>
      </c>
      <c r="W402" s="201"/>
      <c r="X402" s="200">
        <f>Table2[[#This Row],[Quotas]]-Table2[[#This Row],[Open Quotas]]</f>
        <v>87</v>
      </c>
      <c r="Y402" s="200">
        <v>0</v>
      </c>
      <c r="Z402" s="201">
        <v>15</v>
      </c>
      <c r="AA402" s="201">
        <v>0</v>
      </c>
      <c r="AB402" s="200">
        <v>0</v>
      </c>
      <c r="AC402" s="200">
        <v>0</v>
      </c>
      <c r="AD402" s="200">
        <v>0</v>
      </c>
      <c r="AE402" s="200" t="s">
        <v>442</v>
      </c>
      <c r="AF402" s="495">
        <f ca="1">Table2[[#This Row],[End Date]]+2-TODAY()</f>
        <v>-82</v>
      </c>
      <c r="AG402" s="496">
        <f>IF(ISBLANK(Table2[[#This Row],[Roster Received by]]),1,0)</f>
        <v>0</v>
      </c>
      <c r="AH402" s="496">
        <f ca="1">IF(Table2[[#This Row],[Start Date]]&gt;TODAY(),1,)</f>
        <v>0</v>
      </c>
      <c r="AI402" s="496">
        <f>IF(ISBLANK(Table2[[#This Row],[Primary Instructor]]),0,1)</f>
        <v>1</v>
      </c>
      <c r="AJ402" s="496">
        <f>IF(ISBLANK(Table2[[#This Row],[Instructor 2]]),0,1)</f>
        <v>1</v>
      </c>
      <c r="AK402" s="496">
        <f>AJ718</f>
        <v>0</v>
      </c>
      <c r="AL402" s="318">
        <v>913</v>
      </c>
      <c r="AM402" s="501">
        <v>3</v>
      </c>
      <c r="AN402" s="496" t="str">
        <f>VLOOKUP(Table2[[#This Row],[Course Title]],'TSD-Data'!$A$1:$G$83,7,FALSE)</f>
        <v>N8-RMI</v>
      </c>
      <c r="AO402" s="500">
        <f>Table2[[#This Row],[Quotas]]-Table2[[#This Row],[Graduates]]-Table2[[#This Row],[Fail]]</f>
        <v>985</v>
      </c>
    </row>
    <row r="403" spans="1:41" ht="15" customHeight="1" x14ac:dyDescent="0.25">
      <c r="B403" s="530"/>
      <c r="C403" s="530" t="s">
        <v>236</v>
      </c>
      <c r="D403" s="200" t="str">
        <f>VLOOKUP(Table2[[#This Row],[Course Title]],'TSD-Data'!$A$1:$E$83,2,FALSE)</f>
        <v>A-493-2098</v>
      </c>
      <c r="E403" s="200" t="str">
        <f>VLOOKUP(Table2[[#This Row],[Course Title]],'TSD-Data'!$A$1:$E$83,3,FALSE)</f>
        <v>09WW</v>
      </c>
      <c r="F403" s="530" t="s">
        <v>54</v>
      </c>
      <c r="G403" s="531">
        <v>46160</v>
      </c>
      <c r="H403" s="531">
        <v>46162</v>
      </c>
      <c r="I403" s="531" t="s">
        <v>42</v>
      </c>
      <c r="J403" s="532"/>
      <c r="K403" s="534">
        <v>0.5</v>
      </c>
      <c r="L403" s="533">
        <v>0.375</v>
      </c>
      <c r="M403" s="533">
        <v>0.79166666666666663</v>
      </c>
      <c r="N403" s="533">
        <v>0.75</v>
      </c>
      <c r="O403" s="533">
        <v>0.25</v>
      </c>
      <c r="P403" s="533">
        <v>4.1666666666666664E-2</v>
      </c>
      <c r="Q403" s="535" t="s">
        <v>43</v>
      </c>
      <c r="R403" s="535" t="s">
        <v>484</v>
      </c>
      <c r="S403" s="535"/>
      <c r="T403" s="200">
        <f>VLOOKUP(Table2[[#This Row],[Course Title]],'TSD-Data'!$A$1:$E$83,4,FALSE)</f>
        <v>100</v>
      </c>
      <c r="U403" s="200">
        <f>VLOOKUP(Table2[[#This Row],[Course Title]],'TSD-Data'!$A$1:$F$83,6,FALSE)</f>
        <v>16</v>
      </c>
      <c r="V403" s="201">
        <f>VLOOKUP(Table2[[#This Row],[Course Title]],'TSD-Data'!$A$1:$F$83,5,FALSE)</f>
        <v>3</v>
      </c>
      <c r="W403" s="201">
        <v>1882</v>
      </c>
      <c r="X403" s="200">
        <f>Table2[[#This Row],[Quotas]]-Table2[[#This Row],[Open Quotas]]</f>
        <v>100</v>
      </c>
      <c r="Y403" s="200">
        <v>0</v>
      </c>
      <c r="Z403" s="201">
        <v>77</v>
      </c>
      <c r="AA403" s="201">
        <v>3</v>
      </c>
      <c r="AB403" s="200">
        <v>21</v>
      </c>
      <c r="AC403" s="200">
        <v>3</v>
      </c>
      <c r="AD403" s="200">
        <v>0</v>
      </c>
      <c r="AE403" s="200" t="s">
        <v>428</v>
      </c>
      <c r="AF403" s="495">
        <f ca="1">Table2[[#This Row],[End Date]]+2-TODAY()</f>
        <v>-80</v>
      </c>
      <c r="AG403" s="496">
        <f>IF(ISBLANK(Table2[[#This Row],[Roster Received by]]),1,0)</f>
        <v>0</v>
      </c>
      <c r="AH403" s="496">
        <f ca="1">IF(Table2[[#This Row],[Start Date]]&gt;TODAY(),1,)</f>
        <v>0</v>
      </c>
      <c r="AI403" s="496">
        <f>IF(ISBLANK(Table2[[#This Row],[Primary Instructor]]),0,1)</f>
        <v>1</v>
      </c>
      <c r="AJ403" s="496">
        <f>IF(ISBLANK(Table2[[#This Row],[Instructor 2]]),0,1)</f>
        <v>1</v>
      </c>
      <c r="AK403" s="496">
        <f>Table2[[#This Row],[Course Length (Hours)]]/(Table2[[#This Row],[1 Instructor]]+Table2[[#This Row],[2 Instructors]])</f>
        <v>8</v>
      </c>
      <c r="AL403" s="318">
        <v>0</v>
      </c>
      <c r="AM403" s="496">
        <v>3</v>
      </c>
      <c r="AN403" s="496" t="str">
        <f>VLOOKUP(Table2[[#This Row],[Course Title]],'TSD-Data'!$A$1:$G$83,7,FALSE)</f>
        <v>N8</v>
      </c>
      <c r="AO403" s="500">
        <f>Table2[[#This Row],[Quotas]]-Table2[[#This Row],[Graduates]]-Table2[[#This Row],[Fail]]</f>
        <v>20</v>
      </c>
    </row>
    <row r="404" spans="1:41" s="202" customFormat="1" ht="15" customHeight="1" x14ac:dyDescent="0.25">
      <c r="A404" s="196"/>
      <c r="B404" s="530"/>
      <c r="C404" s="542" t="s">
        <v>249</v>
      </c>
      <c r="D404" s="200" t="str">
        <f>VLOOKUP(Table2[[#This Row],[Course Title]],'TSD-Data'!$A$1:$E$83,2,FALSE)</f>
        <v>A-493-0331</v>
      </c>
      <c r="E404" s="200" t="str">
        <f>VLOOKUP(Table2[[#This Row],[Course Title]],'TSD-Data'!$A$1:$E$83,3,FALSE)</f>
        <v>10UG</v>
      </c>
      <c r="F404" s="530" t="s">
        <v>54</v>
      </c>
      <c r="G404" s="531">
        <v>46161</v>
      </c>
      <c r="H404" s="531">
        <v>46163</v>
      </c>
      <c r="I404" s="531" t="s">
        <v>42</v>
      </c>
      <c r="J404" s="532"/>
      <c r="K404" s="534">
        <v>0.5</v>
      </c>
      <c r="L404" s="533">
        <v>0.375</v>
      </c>
      <c r="M404" s="533">
        <v>0.79166666666666663</v>
      </c>
      <c r="N404" s="533">
        <v>0.75</v>
      </c>
      <c r="O404" s="533">
        <v>0.25</v>
      </c>
      <c r="P404" s="533">
        <v>4.1666666666666664E-2</v>
      </c>
      <c r="Q404" s="535" t="s">
        <v>437</v>
      </c>
      <c r="R404" s="535"/>
      <c r="S404" s="535"/>
      <c r="T404" s="200">
        <f>VLOOKUP(Table2[[#This Row],[Course Title]],'TSD-Data'!$A$1:$E$83,4,FALSE)</f>
        <v>45</v>
      </c>
      <c r="U404" s="200">
        <f>VLOOKUP(Table2[[#This Row],[Course Title]],'TSD-Data'!$A$1:$F$83,6,FALSE)</f>
        <v>24</v>
      </c>
      <c r="V404" s="201">
        <f>VLOOKUP(Table2[[#This Row],[Course Title]],'TSD-Data'!$A$1:$F$83,5,FALSE)</f>
        <v>3</v>
      </c>
      <c r="W404" s="201">
        <v>844</v>
      </c>
      <c r="X404" s="200">
        <f>Table2[[#This Row],[Quotas]]-Table2[[#This Row],[Open Quotas]]</f>
        <v>37</v>
      </c>
      <c r="Y404" s="200">
        <v>0</v>
      </c>
      <c r="Z404" s="201">
        <v>32</v>
      </c>
      <c r="AA404" s="201">
        <v>0</v>
      </c>
      <c r="AB404" s="200">
        <v>8</v>
      </c>
      <c r="AC404" s="200">
        <v>0</v>
      </c>
      <c r="AD404" s="200">
        <v>0</v>
      </c>
      <c r="AE404" s="200" t="s">
        <v>429</v>
      </c>
      <c r="AF404" s="495">
        <f ca="1">Table2[[#This Row],[End Date]]+2-TODAY()</f>
        <v>-79</v>
      </c>
      <c r="AG404" s="496">
        <f>IF(ISBLANK(Table2[[#This Row],[Roster Received by]]),1,0)</f>
        <v>0</v>
      </c>
      <c r="AH404" s="496">
        <f ca="1">IF(Table2[[#This Row],[Start Date]]&gt;TODAY(),1,)</f>
        <v>0</v>
      </c>
      <c r="AI404" s="496">
        <f>IF(ISBLANK(Table2[[#This Row],[Primary Instructor]]),0,1)</f>
        <v>1</v>
      </c>
      <c r="AJ404" s="496">
        <f>IF(ISBLANK(Table2[[#This Row],[Instructor 2]]),0,1)</f>
        <v>0</v>
      </c>
      <c r="AK404" s="496">
        <f>Table2[[#This Row],[Course Length (Hours)]]/(Table2[[#This Row],[1 Instructor]]+Table2[[#This Row],[2 Instructors]])</f>
        <v>24</v>
      </c>
      <c r="AL404" s="318">
        <v>8</v>
      </c>
      <c r="AM404" s="496">
        <v>3</v>
      </c>
      <c r="AN404" s="496" t="str">
        <f>VLOOKUP(Table2[[#This Row],[Course Title]],'TSD-Data'!$A$1:$G$83,7,FALSE)</f>
        <v>N3</v>
      </c>
      <c r="AO404" s="500">
        <f>Table2[[#This Row],[Quotas]]-Table2[[#This Row],[Graduates]]-Table2[[#This Row],[Fail]]</f>
        <v>13</v>
      </c>
    </row>
    <row r="405" spans="1:41" ht="15" customHeight="1" x14ac:dyDescent="0.25">
      <c r="A405" s="202"/>
      <c r="B405" s="530"/>
      <c r="C405" s="530" t="s">
        <v>56</v>
      </c>
      <c r="D405" s="200" t="str">
        <f>VLOOKUP(Table2[[#This Row],[Course Title]],'TSD-Data'!$A$1:$E$83,2,FALSE)</f>
        <v>A-493-0550</v>
      </c>
      <c r="E405" s="200" t="str">
        <f>VLOOKUP(Table2[[#This Row],[Course Title]],'TSD-Data'!$A$1:$E$83,3,FALSE)</f>
        <v>09K5</v>
      </c>
      <c r="F405" s="530" t="s">
        <v>54</v>
      </c>
      <c r="G405" s="531">
        <v>46161</v>
      </c>
      <c r="H405" s="531">
        <v>46164</v>
      </c>
      <c r="I405" s="531" t="s">
        <v>42</v>
      </c>
      <c r="J405" s="532"/>
      <c r="K405" s="532">
        <v>0.5</v>
      </c>
      <c r="L405" s="536">
        <v>0.375</v>
      </c>
      <c r="M405" s="536">
        <v>0.79166666666666663</v>
      </c>
      <c r="N405" s="536">
        <v>0.75</v>
      </c>
      <c r="O405" s="536">
        <v>0.25</v>
      </c>
      <c r="P405" s="536">
        <v>4.1666666666666664E-2</v>
      </c>
      <c r="Q405" s="535" t="s">
        <v>427</v>
      </c>
      <c r="R405" s="535"/>
      <c r="S405" s="535"/>
      <c r="T405" s="200">
        <f>VLOOKUP(Table2[[#This Row],[Course Title]],'TSD-Data'!$A$1:$E$83,4,FALSE)</f>
        <v>45</v>
      </c>
      <c r="U405" s="200">
        <f>VLOOKUP(Table2[[#This Row],[Course Title]],'TSD-Data'!$A$1:$F$83,6,FALSE)</f>
        <v>32</v>
      </c>
      <c r="V405" s="201">
        <f>VLOOKUP(Table2[[#This Row],[Course Title]],'TSD-Data'!$A$1:$F$83,5,FALSE)</f>
        <v>4</v>
      </c>
      <c r="W405" s="201">
        <v>864</v>
      </c>
      <c r="X405" s="200">
        <f>Table2[[#This Row],[Quotas]]-Table2[[#This Row],[Open Quotas]]</f>
        <v>39</v>
      </c>
      <c r="Y405" s="200">
        <v>0</v>
      </c>
      <c r="Z405" s="201">
        <v>30</v>
      </c>
      <c r="AA405" s="201">
        <v>0</v>
      </c>
      <c r="AB405" s="200">
        <v>15</v>
      </c>
      <c r="AC405" s="200">
        <v>0</v>
      </c>
      <c r="AD405" s="200">
        <v>0</v>
      </c>
      <c r="AE405" s="200" t="s">
        <v>431</v>
      </c>
      <c r="AF405" s="495">
        <f ca="1">Table2[[#This Row],[End Date]]+2-TODAY()</f>
        <v>-78</v>
      </c>
      <c r="AG405" s="496">
        <f>IF(ISBLANK(Table2[[#This Row],[Roster Received by]]),1,0)</f>
        <v>0</v>
      </c>
      <c r="AH405" s="496">
        <f ca="1">IF(Table2[[#This Row],[Start Date]]&gt;TODAY(),1,)</f>
        <v>0</v>
      </c>
      <c r="AI405" s="496">
        <f>IF(ISBLANK(Table2[[#This Row],[Primary Instructor]]),0,1)</f>
        <v>1</v>
      </c>
      <c r="AJ405" s="496">
        <f>IF(ISBLANK(Table2[[#This Row],[Instructor 2]]),0,1)</f>
        <v>0</v>
      </c>
      <c r="AK405" s="496">
        <f>Table2[[#This Row],[Course Length (Hours)]]/(Table2[[#This Row],[1 Instructor]]+Table2[[#This Row],[2 Instructors]])</f>
        <v>32</v>
      </c>
      <c r="AL405" s="318">
        <v>6</v>
      </c>
      <c r="AM405" s="496">
        <v>3</v>
      </c>
      <c r="AN405" s="496" t="str">
        <f>VLOOKUP(Table2[[#This Row],[Course Title]],'TSD-Data'!$A$1:$G$83,7,FALSE)</f>
        <v>N5</v>
      </c>
      <c r="AO405" s="500">
        <f>Table2[[#This Row],[Quotas]]-Table2[[#This Row],[Graduates]]-Table2[[#This Row],[Fail]]</f>
        <v>15</v>
      </c>
    </row>
    <row r="406" spans="1:41" s="202" customFormat="1" x14ac:dyDescent="0.25">
      <c r="B406" s="530"/>
      <c r="C406" s="530" t="s">
        <v>399</v>
      </c>
      <c r="D406" s="200" t="str">
        <f>VLOOKUP(Table2[[#This Row],[Course Title]],'TSD-Data'!$A$1:$E$83,2,FALSE)</f>
        <v>A-493-3011</v>
      </c>
      <c r="E406" s="200" t="str">
        <f>VLOOKUP(Table2[[#This Row],[Course Title]],'TSD-Data'!$A$1:$E$83,3,FALSE)</f>
        <v>31VD</v>
      </c>
      <c r="F406" s="530" t="s">
        <v>54</v>
      </c>
      <c r="G406" s="531">
        <v>46161</v>
      </c>
      <c r="H406" s="531">
        <v>46161</v>
      </c>
      <c r="I406" s="531" t="s">
        <v>42</v>
      </c>
      <c r="J406" s="532"/>
      <c r="K406" s="534">
        <v>0.66666666666666663</v>
      </c>
      <c r="L406" s="534">
        <v>0.54166666666666663</v>
      </c>
      <c r="M406" s="534">
        <v>0.95833333333333337</v>
      </c>
      <c r="N406" s="534">
        <v>0.91666666666666663</v>
      </c>
      <c r="O406" s="534">
        <v>0.45833333333333331</v>
      </c>
      <c r="P406" s="534">
        <v>0.20833333333333334</v>
      </c>
      <c r="Q406" s="535" t="s">
        <v>445</v>
      </c>
      <c r="R406" s="535" t="s">
        <v>483</v>
      </c>
      <c r="S406" s="535"/>
      <c r="T406" s="200">
        <f>VLOOKUP(Table2[[#This Row],[Course Title]],'TSD-Data'!$A$1:$E$83,4,FALSE)</f>
        <v>1000</v>
      </c>
      <c r="U406" s="200">
        <f>VLOOKUP(Table2[[#This Row],[Course Title]],'TSD-Data'!$A$1:$F$83,6,FALSE)</f>
        <v>2.5</v>
      </c>
      <c r="V406" s="201">
        <f>VLOOKUP(Table2[[#This Row],[Course Title]],'TSD-Data'!$A$1:$F$83,5,FALSE)</f>
        <v>0.3</v>
      </c>
      <c r="W406" s="201"/>
      <c r="X406" s="200">
        <f>Table2[[#This Row],[Quotas]]-Table2[[#This Row],[Open Quotas]]</f>
        <v>87</v>
      </c>
      <c r="Y406" s="200">
        <v>0</v>
      </c>
      <c r="Z406" s="201">
        <v>13</v>
      </c>
      <c r="AA406" s="201">
        <v>0</v>
      </c>
      <c r="AB406" s="200">
        <v>0</v>
      </c>
      <c r="AC406" s="200">
        <v>0</v>
      </c>
      <c r="AD406" s="200">
        <v>0</v>
      </c>
      <c r="AE406" s="200" t="s">
        <v>442</v>
      </c>
      <c r="AF406" s="495">
        <f ca="1">Table2[[#This Row],[End Date]]+2-TODAY()</f>
        <v>-81</v>
      </c>
      <c r="AG406" s="496">
        <f>IF(ISBLANK(Table2[[#This Row],[Roster Received by]]),1,0)</f>
        <v>0</v>
      </c>
      <c r="AH406" s="496">
        <f ca="1">IF(Table2[[#This Row],[Start Date]]&gt;TODAY(),1,)</f>
        <v>0</v>
      </c>
      <c r="AI406" s="496">
        <f>IF(ISBLANK(Table2[[#This Row],[Primary Instructor]]),0,1)</f>
        <v>1</v>
      </c>
      <c r="AJ406" s="496">
        <f>IF(ISBLANK(Table2[[#This Row],[Instructor 2]]),0,1)</f>
        <v>1</v>
      </c>
      <c r="AK406" s="496">
        <f>AJ723</f>
        <v>0</v>
      </c>
      <c r="AL406" s="318">
        <v>913</v>
      </c>
      <c r="AM406" s="501">
        <v>3</v>
      </c>
      <c r="AN406" s="496" t="str">
        <f>VLOOKUP(Table2[[#This Row],[Course Title]],'TSD-Data'!$A$1:$G$83,7,FALSE)</f>
        <v>N8-RMI</v>
      </c>
      <c r="AO406" s="500">
        <f>Table2[[#This Row],[Quotas]]-Table2[[#This Row],[Graduates]]-Table2[[#This Row],[Fail]]</f>
        <v>987</v>
      </c>
    </row>
    <row r="407" spans="1:41" s="202" customFormat="1" ht="15" customHeight="1" x14ac:dyDescent="0.25">
      <c r="B407" s="530"/>
      <c r="C407" s="530" t="s">
        <v>400</v>
      </c>
      <c r="D407" s="200" t="str">
        <f>VLOOKUP(Table2[[#This Row],[Course Title]],'TSD-Data'!$A$1:$E$83,2,FALSE)</f>
        <v>A-493-3010</v>
      </c>
      <c r="E407" s="200" t="str">
        <f>VLOOKUP(Table2[[#This Row],[Course Title]],'TSD-Data'!$A$1:$E$83,3,FALSE)</f>
        <v>31VC</v>
      </c>
      <c r="F407" s="530" t="s">
        <v>54</v>
      </c>
      <c r="G407" s="531">
        <v>46161</v>
      </c>
      <c r="H407" s="531">
        <v>46161</v>
      </c>
      <c r="I407" s="531" t="s">
        <v>42</v>
      </c>
      <c r="J407" s="532"/>
      <c r="K407" s="532">
        <v>0.45833333333333331</v>
      </c>
      <c r="L407" s="532">
        <v>0.33333333333333331</v>
      </c>
      <c r="M407" s="532">
        <v>0.75</v>
      </c>
      <c r="N407" s="532">
        <v>0.70833333333333337</v>
      </c>
      <c r="O407" s="532">
        <v>0.25</v>
      </c>
      <c r="P407" s="532">
        <v>6.9444444444444447E-4</v>
      </c>
      <c r="Q407" s="535" t="s">
        <v>445</v>
      </c>
      <c r="R407" s="535" t="s">
        <v>483</v>
      </c>
      <c r="S407" s="535"/>
      <c r="T407" s="200">
        <f>VLOOKUP(Table2[[#This Row],[Course Title]],'TSD-Data'!$A$1:$E$83,4,FALSE)</f>
        <v>1000</v>
      </c>
      <c r="U407" s="200">
        <f>VLOOKUP(Table2[[#This Row],[Course Title]],'TSD-Data'!$A$1:$F$83,6,FALSE)</f>
        <v>4</v>
      </c>
      <c r="V407" s="201">
        <f>VLOOKUP(Table2[[#This Row],[Course Title]],'TSD-Data'!$A$1:$F$83,5,FALSE)</f>
        <v>0.5</v>
      </c>
      <c r="W407" s="201"/>
      <c r="X407" s="200">
        <f>Table2[[#This Row],[Quotas]]-Table2[[#This Row],[Open Quotas]]</f>
        <v>87</v>
      </c>
      <c r="Y407" s="200">
        <v>0</v>
      </c>
      <c r="Z407" s="201">
        <v>18</v>
      </c>
      <c r="AA407" s="201">
        <v>0</v>
      </c>
      <c r="AB407" s="200">
        <v>0</v>
      </c>
      <c r="AC407" s="200">
        <v>0</v>
      </c>
      <c r="AD407" s="200">
        <v>0</v>
      </c>
      <c r="AE407" s="200" t="s">
        <v>442</v>
      </c>
      <c r="AF407" s="495">
        <f ca="1">Table2[[#This Row],[End Date]]+2-TODAY()</f>
        <v>-81</v>
      </c>
      <c r="AG407" s="496">
        <f>IF(ISBLANK(Table2[[#This Row],[Roster Received by]]),1,0)</f>
        <v>0</v>
      </c>
      <c r="AH407" s="496">
        <f ca="1">IF(Table2[[#This Row],[Start Date]]&gt;TODAY(),1,)</f>
        <v>0</v>
      </c>
      <c r="AI407" s="496">
        <f>IF(ISBLANK(Table2[[#This Row],[Primary Instructor]]),0,1)</f>
        <v>1</v>
      </c>
      <c r="AJ407" s="496">
        <f>IF(ISBLANK(Table2[[#This Row],[Instructor 2]]),0,1)</f>
        <v>1</v>
      </c>
      <c r="AK407" s="496">
        <f>AJ724</f>
        <v>0</v>
      </c>
      <c r="AL407" s="318">
        <v>913</v>
      </c>
      <c r="AM407" s="501">
        <v>3</v>
      </c>
      <c r="AN407" s="496" t="str">
        <f>VLOOKUP(Table2[[#This Row],[Course Title]],'TSD-Data'!$A$1:$G$83,7,FALSE)</f>
        <v>N8-RMI</v>
      </c>
      <c r="AO407" s="500">
        <f>Table2[[#This Row],[Quotas]]-Table2[[#This Row],[Graduates]]-Table2[[#This Row],[Fail]]</f>
        <v>982</v>
      </c>
    </row>
    <row r="408" spans="1:41" s="202" customFormat="1" ht="15" customHeight="1" x14ac:dyDescent="0.25">
      <c r="A408" s="196"/>
      <c r="B408" s="530"/>
      <c r="C408" s="530" t="s">
        <v>396</v>
      </c>
      <c r="D408" s="200" t="str">
        <f>VLOOKUP(Table2[[#This Row],[Course Title]],'TSD-Data'!$A$1:$E$83,2,FALSE)</f>
        <v>A-493-3018</v>
      </c>
      <c r="E408" s="200" t="str">
        <f>VLOOKUP(Table2[[#This Row],[Course Title]],'TSD-Data'!$A$1:$E$83,3,FALSE)</f>
        <v>31YM</v>
      </c>
      <c r="F408" s="530" t="s">
        <v>54</v>
      </c>
      <c r="G408" s="531">
        <v>46162</v>
      </c>
      <c r="H408" s="531">
        <v>46162</v>
      </c>
      <c r="I408" s="531" t="s">
        <v>42</v>
      </c>
      <c r="J408" s="532"/>
      <c r="K408" s="532">
        <v>0.72916666666666663</v>
      </c>
      <c r="L408" s="532">
        <v>0.60416666666666663</v>
      </c>
      <c r="M408" s="532">
        <v>2.0833333333333332E-2</v>
      </c>
      <c r="N408" s="532">
        <v>0.97916666666666663</v>
      </c>
      <c r="O408" s="532">
        <v>0.52083333333333337</v>
      </c>
      <c r="P408" s="532">
        <v>0.27083333333333331</v>
      </c>
      <c r="Q408" s="535" t="s">
        <v>445</v>
      </c>
      <c r="R408" s="535" t="s">
        <v>483</v>
      </c>
      <c r="S408" s="535"/>
      <c r="T408" s="200">
        <f>VLOOKUP(Table2[[#This Row],[Course Title]],'TSD-Data'!$A$1:$E$83,4,FALSE)</f>
        <v>1000</v>
      </c>
      <c r="U408" s="200">
        <f>VLOOKUP(Table2[[#This Row],[Course Title]],'TSD-Data'!$A$1:$F$83,6,FALSE)</f>
        <v>2</v>
      </c>
      <c r="V408" s="201">
        <f>VLOOKUP(Table2[[#This Row],[Course Title]],'TSD-Data'!$A$1:$F$83,5,FALSE)</f>
        <v>0.25</v>
      </c>
      <c r="W408" s="201"/>
      <c r="X408" s="200">
        <f>Table2[[#This Row],[Quotas]]-Table2[[#This Row],[Open Quotas]]</f>
        <v>87</v>
      </c>
      <c r="Y408" s="200">
        <v>0</v>
      </c>
      <c r="Z408" s="201">
        <v>7</v>
      </c>
      <c r="AA408" s="201">
        <v>0</v>
      </c>
      <c r="AB408" s="200">
        <v>0</v>
      </c>
      <c r="AC408" s="200">
        <v>0</v>
      </c>
      <c r="AD408" s="200">
        <v>0</v>
      </c>
      <c r="AE408" s="200" t="s">
        <v>431</v>
      </c>
      <c r="AF408" s="495">
        <f ca="1">Table2[[#This Row],[End Date]]+2-TODAY()</f>
        <v>-80</v>
      </c>
      <c r="AG408" s="496">
        <f>IF(ISBLANK(Table2[[#This Row],[Roster Received by]]),1,0)</f>
        <v>0</v>
      </c>
      <c r="AH408" s="496">
        <f ca="1">IF(Table2[[#This Row],[Start Date]]&gt;TODAY(),1,)</f>
        <v>0</v>
      </c>
      <c r="AI408" s="496">
        <f>IF(ISBLANK(Table2[[#This Row],[Primary Instructor]]),0,1)</f>
        <v>1</v>
      </c>
      <c r="AJ408" s="496">
        <f>IF(ISBLANK(Table2[[#This Row],[Instructor 2]]),0,1)</f>
        <v>1</v>
      </c>
      <c r="AK408" s="496">
        <f>AJ729</f>
        <v>0</v>
      </c>
      <c r="AL408" s="318">
        <v>913</v>
      </c>
      <c r="AM408" s="501">
        <v>3</v>
      </c>
      <c r="AN408" s="496" t="str">
        <f>VLOOKUP(Table2[[#This Row],[Course Title]],'TSD-Data'!$A$1:$G$83,7,FALSE)</f>
        <v>N8-RMI</v>
      </c>
      <c r="AO408" s="500">
        <f>Table2[[#This Row],[Quotas]]-Table2[[#This Row],[Graduates]]-Table2[[#This Row],[Fail]]</f>
        <v>993</v>
      </c>
    </row>
    <row r="409" spans="1:41" s="202" customFormat="1" ht="15" customHeight="1" x14ac:dyDescent="0.25">
      <c r="B409" s="530"/>
      <c r="C409" s="530" t="s">
        <v>398</v>
      </c>
      <c r="D409" s="200" t="str">
        <f>VLOOKUP(Table2[[#This Row],[Course Title]],'TSD-Data'!$A$1:$E$83,2,FALSE)</f>
        <v>A-493-3004</v>
      </c>
      <c r="E409" s="200" t="str">
        <f>VLOOKUP(Table2[[#This Row],[Course Title]],'TSD-Data'!$A$1:$E$83,3,FALSE)</f>
        <v>31V6</v>
      </c>
      <c r="F409" s="530" t="s">
        <v>54</v>
      </c>
      <c r="G409" s="531">
        <v>46162</v>
      </c>
      <c r="H409" s="531">
        <v>46162</v>
      </c>
      <c r="I409" s="531" t="s">
        <v>42</v>
      </c>
      <c r="J409" s="532"/>
      <c r="K409" s="534">
        <v>0.64583333333333337</v>
      </c>
      <c r="L409" s="534">
        <v>0.52083333333333337</v>
      </c>
      <c r="M409" s="534">
        <v>0.9375</v>
      </c>
      <c r="N409" s="534">
        <v>0.89583333333333337</v>
      </c>
      <c r="O409" s="534">
        <v>0.4375</v>
      </c>
      <c r="P409" s="534">
        <v>0.1875</v>
      </c>
      <c r="Q409" s="535" t="s">
        <v>445</v>
      </c>
      <c r="R409" s="535" t="s">
        <v>483</v>
      </c>
      <c r="S409" s="535"/>
      <c r="T409" s="200">
        <f>VLOOKUP(Table2[[#This Row],[Course Title]],'TSD-Data'!$A$1:$E$83,4,FALSE)</f>
        <v>1000</v>
      </c>
      <c r="U409" s="200">
        <f>VLOOKUP(Table2[[#This Row],[Course Title]],'TSD-Data'!$A$1:$F$83,6,FALSE)</f>
        <v>2</v>
      </c>
      <c r="V409" s="201">
        <f>VLOOKUP(Table2[[#This Row],[Course Title]],'TSD-Data'!$A$1:$F$83,5,FALSE)</f>
        <v>0.25</v>
      </c>
      <c r="W409" s="201"/>
      <c r="X409" s="200">
        <f>Table2[[#This Row],[Quotas]]-Table2[[#This Row],[Open Quotas]]</f>
        <v>87</v>
      </c>
      <c r="Y409" s="200">
        <v>0</v>
      </c>
      <c r="Z409" s="201">
        <v>13</v>
      </c>
      <c r="AA409" s="201">
        <v>0</v>
      </c>
      <c r="AB409" s="200">
        <v>0</v>
      </c>
      <c r="AC409" s="200">
        <v>0</v>
      </c>
      <c r="AD409" s="200">
        <v>0</v>
      </c>
      <c r="AE409" s="200" t="s">
        <v>431</v>
      </c>
      <c r="AF409" s="495">
        <f ca="1">Table2[[#This Row],[End Date]]+2-TODAY()</f>
        <v>-80</v>
      </c>
      <c r="AG409" s="496">
        <f>IF(ISBLANK(Table2[[#This Row],[Roster Received by]]),1,0)</f>
        <v>0</v>
      </c>
      <c r="AH409" s="496">
        <f ca="1">IF(Table2[[#This Row],[Start Date]]&gt;TODAY(),1,)</f>
        <v>0</v>
      </c>
      <c r="AI409" s="496">
        <f>IF(ISBLANK(Table2[[#This Row],[Primary Instructor]]),0,1)</f>
        <v>1</v>
      </c>
      <c r="AJ409" s="496">
        <f>IF(ISBLANK(Table2[[#This Row],[Instructor 2]]),0,1)</f>
        <v>1</v>
      </c>
      <c r="AK409" s="496">
        <f>AJ728</f>
        <v>0</v>
      </c>
      <c r="AL409" s="318">
        <v>913</v>
      </c>
      <c r="AM409" s="501">
        <v>3</v>
      </c>
      <c r="AN409" s="496" t="str">
        <f>VLOOKUP(Table2[[#This Row],[Course Title]],'TSD-Data'!$A$1:$G$83,7,FALSE)</f>
        <v>N8-RMI</v>
      </c>
      <c r="AO409" s="500">
        <f>Table2[[#This Row],[Quotas]]-Table2[[#This Row],[Graduates]]-Table2[[#This Row],[Fail]]</f>
        <v>987</v>
      </c>
    </row>
    <row r="410" spans="1:41" s="202" customFormat="1" ht="15" customHeight="1" x14ac:dyDescent="0.25">
      <c r="B410" s="530"/>
      <c r="C410" s="530" t="s">
        <v>409</v>
      </c>
      <c r="D410" s="200" t="str">
        <f>VLOOKUP(Table2[[#This Row],[Course Title]],'TSD-Data'!$A$1:$E$83,2,FALSE)</f>
        <v>A-493-3001</v>
      </c>
      <c r="E410" s="200" t="str">
        <f>VLOOKUP(Table2[[#This Row],[Course Title]],'TSD-Data'!$A$1:$E$83,3,FALSE)</f>
        <v>31V3</v>
      </c>
      <c r="F410" s="530" t="s">
        <v>54</v>
      </c>
      <c r="G410" s="531">
        <v>46162</v>
      </c>
      <c r="H410" s="531">
        <v>46162</v>
      </c>
      <c r="I410" s="531" t="s">
        <v>42</v>
      </c>
      <c r="J410" s="532"/>
      <c r="K410" s="532">
        <v>0.45833333333333331</v>
      </c>
      <c r="L410" s="532">
        <v>0.33333333333333331</v>
      </c>
      <c r="M410" s="532">
        <v>0.75</v>
      </c>
      <c r="N410" s="532">
        <v>0.70833333333333337</v>
      </c>
      <c r="O410" s="532">
        <v>0.25</v>
      </c>
      <c r="P410" s="532">
        <v>6.9444444444444447E-4</v>
      </c>
      <c r="Q410" s="535" t="s">
        <v>445</v>
      </c>
      <c r="R410" s="535" t="s">
        <v>483</v>
      </c>
      <c r="S410" s="535"/>
      <c r="T410" s="200">
        <f>VLOOKUP(Table2[[#This Row],[Course Title]],'TSD-Data'!$A$1:$E$83,4,FALSE)</f>
        <v>1000</v>
      </c>
      <c r="U410" s="200">
        <f>VLOOKUP(Table2[[#This Row],[Course Title]],'TSD-Data'!$A$1:$F$83,6,FALSE)</f>
        <v>2</v>
      </c>
      <c r="V410" s="201">
        <f>VLOOKUP(Table2[[#This Row],[Course Title]],'TSD-Data'!$A$1:$F$83,5,FALSE)</f>
        <v>0.25</v>
      </c>
      <c r="W410" s="201"/>
      <c r="X410" s="200">
        <f>Table2[[#This Row],[Quotas]]-Table2[[#This Row],[Open Quotas]]</f>
        <v>87</v>
      </c>
      <c r="Y410" s="200">
        <v>0</v>
      </c>
      <c r="Z410" s="201">
        <v>16</v>
      </c>
      <c r="AA410" s="201">
        <v>0</v>
      </c>
      <c r="AB410" s="200">
        <v>0</v>
      </c>
      <c r="AC410" s="200">
        <v>0</v>
      </c>
      <c r="AD410" s="200">
        <v>0</v>
      </c>
      <c r="AE410" s="200" t="s">
        <v>431</v>
      </c>
      <c r="AF410" s="495">
        <f ca="1">Table2[[#This Row],[End Date]]+2-TODAY()</f>
        <v>-80</v>
      </c>
      <c r="AG410" s="496">
        <f>IF(ISBLANK(Table2[[#This Row],[Roster Received by]]),1,0)</f>
        <v>0</v>
      </c>
      <c r="AH410" s="496">
        <f ca="1">IF(Table2[[#This Row],[Start Date]]&gt;TODAY(),1,)</f>
        <v>0</v>
      </c>
      <c r="AI410" s="496">
        <f>IF(ISBLANK(Table2[[#This Row],[Primary Instructor]]),0,1)</f>
        <v>1</v>
      </c>
      <c r="AJ410" s="496">
        <f>IF(ISBLANK(Table2[[#This Row],[Instructor 2]]),0,1)</f>
        <v>1</v>
      </c>
      <c r="AK410" s="496">
        <f>AJ729</f>
        <v>0</v>
      </c>
      <c r="AL410" s="318">
        <v>913</v>
      </c>
      <c r="AM410" s="501">
        <v>3</v>
      </c>
      <c r="AN410" s="496" t="str">
        <f>VLOOKUP(Table2[[#This Row],[Course Title]],'TSD-Data'!$A$1:$G$83,7,FALSE)</f>
        <v>N8-RMI</v>
      </c>
      <c r="AO410" s="500">
        <f>Table2[[#This Row],[Quotas]]-Table2[[#This Row],[Graduates]]-Table2[[#This Row],[Fail]]</f>
        <v>984</v>
      </c>
    </row>
    <row r="411" spans="1:41" s="202" customFormat="1" ht="15" customHeight="1" x14ac:dyDescent="0.25">
      <c r="B411" s="530"/>
      <c r="C411" s="530" t="s">
        <v>403</v>
      </c>
      <c r="D411" s="200" t="str">
        <f>VLOOKUP(Table2[[#This Row],[Course Title]],'TSD-Data'!$A$1:$E$83,2,FALSE)</f>
        <v>A-493-3013</v>
      </c>
      <c r="E411" s="200" t="str">
        <f>VLOOKUP(Table2[[#This Row],[Course Title]],'TSD-Data'!$A$1:$E$83,3,FALSE)</f>
        <v>31YG</v>
      </c>
      <c r="F411" s="530" t="s">
        <v>54</v>
      </c>
      <c r="G411" s="531">
        <v>46163</v>
      </c>
      <c r="H411" s="531">
        <v>46163</v>
      </c>
      <c r="I411" s="531" t="s">
        <v>42</v>
      </c>
      <c r="J411" s="532"/>
      <c r="K411" s="532">
        <v>0.5625</v>
      </c>
      <c r="L411" s="532">
        <v>0.4375</v>
      </c>
      <c r="M411" s="532">
        <v>0.85416666666666663</v>
      </c>
      <c r="N411" s="532">
        <v>0.8125</v>
      </c>
      <c r="O411" s="532">
        <v>0.35416666666666669</v>
      </c>
      <c r="P411" s="532">
        <v>0.10416666666666667</v>
      </c>
      <c r="Q411" s="535" t="s">
        <v>445</v>
      </c>
      <c r="R411" s="535" t="s">
        <v>483</v>
      </c>
      <c r="S411" s="535"/>
      <c r="T411" s="200">
        <f>VLOOKUP(Table2[[#This Row],[Course Title]],'TSD-Data'!$A$1:$E$83,4,FALSE)</f>
        <v>1000</v>
      </c>
      <c r="U411" s="200">
        <f>VLOOKUP(Table2[[#This Row],[Course Title]],'TSD-Data'!$A$1:$F$83,6,FALSE)</f>
        <v>2</v>
      </c>
      <c r="V411" s="201">
        <f>VLOOKUP(Table2[[#This Row],[Course Title]],'TSD-Data'!$A$1:$F$83,5,FALSE)</f>
        <v>0.25</v>
      </c>
      <c r="W411" s="201"/>
      <c r="X411" s="200">
        <f>Table2[[#This Row],[Quotas]]-Table2[[#This Row],[Open Quotas]]</f>
        <v>87</v>
      </c>
      <c r="Y411" s="200">
        <v>0</v>
      </c>
      <c r="Z411" s="201">
        <v>13</v>
      </c>
      <c r="AA411" s="201">
        <v>0</v>
      </c>
      <c r="AB411" s="200">
        <v>0</v>
      </c>
      <c r="AC411" s="200">
        <v>0</v>
      </c>
      <c r="AD411" s="200">
        <v>0</v>
      </c>
      <c r="AE411" s="200" t="s">
        <v>431</v>
      </c>
      <c r="AF411" s="495">
        <f ca="1">Table2[[#This Row],[End Date]]+2-TODAY()</f>
        <v>-79</v>
      </c>
      <c r="AG411" s="496">
        <f>IF(ISBLANK(Table2[[#This Row],[Roster Received by]]),1,0)</f>
        <v>0</v>
      </c>
      <c r="AH411" s="496">
        <f ca="1">IF(Table2[[#This Row],[Start Date]]&gt;TODAY(),1,)</f>
        <v>0</v>
      </c>
      <c r="AI411" s="496">
        <f>IF(ISBLANK(Table2[[#This Row],[Primary Instructor]]),0,1)</f>
        <v>1</v>
      </c>
      <c r="AJ411" s="496">
        <f>IF(ISBLANK(Table2[[#This Row],[Instructor 2]]),0,1)</f>
        <v>1</v>
      </c>
      <c r="AK411" s="496">
        <f>AJ732</f>
        <v>0</v>
      </c>
      <c r="AL411" s="318">
        <v>913</v>
      </c>
      <c r="AM411" s="501">
        <v>3</v>
      </c>
      <c r="AN411" s="496" t="str">
        <f>VLOOKUP(Table2[[#This Row],[Course Title]],'TSD-Data'!$A$1:$G$83,7,FALSE)</f>
        <v>N8-RMI</v>
      </c>
      <c r="AO411" s="500">
        <f>Table2[[#This Row],[Quotas]]-Table2[[#This Row],[Graduates]]-Table2[[#This Row],[Fail]]</f>
        <v>987</v>
      </c>
    </row>
    <row r="412" spans="1:41" ht="15" customHeight="1" x14ac:dyDescent="0.25">
      <c r="A412" s="202"/>
      <c r="B412" s="530"/>
      <c r="C412" s="530" t="s">
        <v>404</v>
      </c>
      <c r="D412" s="200" t="str">
        <f>VLOOKUP(Table2[[#This Row],[Course Title]],'TSD-Data'!$A$1:$E$83,2,FALSE)</f>
        <v>A-493-3014</v>
      </c>
      <c r="E412" s="200" t="str">
        <f>VLOOKUP(Table2[[#This Row],[Course Title]],'TSD-Data'!$A$1:$E$83,3,FALSE)</f>
        <v>31Yh</v>
      </c>
      <c r="F412" s="530" t="s">
        <v>54</v>
      </c>
      <c r="G412" s="531">
        <v>46163</v>
      </c>
      <c r="H412" s="531">
        <v>46163</v>
      </c>
      <c r="I412" s="531" t="s">
        <v>42</v>
      </c>
      <c r="J412" s="532"/>
      <c r="K412" s="532">
        <v>0.64583333333333337</v>
      </c>
      <c r="L412" s="532">
        <v>0.52083333333333337</v>
      </c>
      <c r="M412" s="532">
        <v>0.9375</v>
      </c>
      <c r="N412" s="532">
        <v>0.89583333333333337</v>
      </c>
      <c r="O412" s="532">
        <v>0.4375</v>
      </c>
      <c r="P412" s="532">
        <v>0.1875</v>
      </c>
      <c r="Q412" s="535" t="s">
        <v>445</v>
      </c>
      <c r="R412" s="535" t="s">
        <v>483</v>
      </c>
      <c r="S412" s="535"/>
      <c r="T412" s="200">
        <f>VLOOKUP(Table2[[#This Row],[Course Title]],'TSD-Data'!$A$1:$E$83,4,FALSE)</f>
        <v>1000</v>
      </c>
      <c r="U412" s="200">
        <f>VLOOKUP(Table2[[#This Row],[Course Title]],'TSD-Data'!$A$1:$F$83,6,FALSE)</f>
        <v>1.5</v>
      </c>
      <c r="V412" s="201">
        <f>VLOOKUP(Table2[[#This Row],[Course Title]],'TSD-Data'!$A$1:$F$83,5,FALSE)</f>
        <v>0.1</v>
      </c>
      <c r="W412" s="201"/>
      <c r="X412" s="200">
        <f>Table2[[#This Row],[Quotas]]-Table2[[#This Row],[Open Quotas]]</f>
        <v>87</v>
      </c>
      <c r="Y412" s="200">
        <v>0</v>
      </c>
      <c r="Z412" s="201">
        <v>12</v>
      </c>
      <c r="AA412" s="201">
        <v>0</v>
      </c>
      <c r="AB412" s="200">
        <v>0</v>
      </c>
      <c r="AC412" s="200">
        <v>0</v>
      </c>
      <c r="AD412" s="200">
        <v>0</v>
      </c>
      <c r="AE412" s="200" t="s">
        <v>431</v>
      </c>
      <c r="AF412" s="495">
        <f ca="1">Table2[[#This Row],[End Date]]+2-TODAY()</f>
        <v>-79</v>
      </c>
      <c r="AG412" s="496">
        <f>IF(ISBLANK(Table2[[#This Row],[Roster Received by]]),1,0)</f>
        <v>0</v>
      </c>
      <c r="AH412" s="496">
        <f ca="1">IF(Table2[[#This Row],[Start Date]]&gt;TODAY(),1,)</f>
        <v>0</v>
      </c>
      <c r="AI412" s="496">
        <f>IF(ISBLANK(Table2[[#This Row],[Primary Instructor]]),0,1)</f>
        <v>1</v>
      </c>
      <c r="AJ412" s="496">
        <f>IF(ISBLANK(Table2[[#This Row],[Instructor 2]]),0,1)</f>
        <v>1</v>
      </c>
      <c r="AK412" s="496">
        <f>AJ733</f>
        <v>0</v>
      </c>
      <c r="AL412" s="318">
        <v>913</v>
      </c>
      <c r="AM412" s="501">
        <v>3</v>
      </c>
      <c r="AN412" s="496" t="str">
        <f>VLOOKUP(Table2[[#This Row],[Course Title]],'TSD-Data'!$A$1:$G$83,7,FALSE)</f>
        <v>N8-RMI</v>
      </c>
      <c r="AO412" s="500">
        <f>Table2[[#This Row],[Quotas]]-Table2[[#This Row],[Graduates]]-Table2[[#This Row],[Fail]]</f>
        <v>988</v>
      </c>
    </row>
    <row r="413" spans="1:41" s="202" customFormat="1" ht="15" customHeight="1" x14ac:dyDescent="0.25">
      <c r="A413" s="196"/>
      <c r="B413" s="530"/>
      <c r="C413" s="530" t="s">
        <v>405</v>
      </c>
      <c r="D413" s="200" t="str">
        <f>VLOOKUP(Table2[[#This Row],[Course Title]],'TSD-Data'!$A$1:$E$83,2,FALSE)</f>
        <v>A-493-3015</v>
      </c>
      <c r="E413" s="200" t="str">
        <f>VLOOKUP(Table2[[#This Row],[Course Title]],'TSD-Data'!$A$1:$E$83,3,FALSE)</f>
        <v>31YJ</v>
      </c>
      <c r="F413" s="530" t="s">
        <v>54</v>
      </c>
      <c r="G413" s="531">
        <v>46163</v>
      </c>
      <c r="H413" s="531">
        <v>46163</v>
      </c>
      <c r="I413" s="531" t="s">
        <v>42</v>
      </c>
      <c r="J413" s="532"/>
      <c r="K413" s="532">
        <v>0.45833333333333331</v>
      </c>
      <c r="L413" s="532">
        <v>0.33333333333333331</v>
      </c>
      <c r="M413" s="532">
        <v>0.75</v>
      </c>
      <c r="N413" s="532">
        <v>0.70833333333333337</v>
      </c>
      <c r="O413" s="532">
        <v>0.25</v>
      </c>
      <c r="P413" s="532">
        <v>6.9444444444444447E-4</v>
      </c>
      <c r="Q413" s="535" t="s">
        <v>445</v>
      </c>
      <c r="R413" s="535" t="s">
        <v>483</v>
      </c>
      <c r="S413" s="535"/>
      <c r="T413" s="200">
        <f>VLOOKUP(Table2[[#This Row],[Course Title]],'TSD-Data'!$A$1:$E$83,4,FALSE)</f>
        <v>1000</v>
      </c>
      <c r="U413" s="200">
        <f>VLOOKUP(Table2[[#This Row],[Course Title]],'TSD-Data'!$A$1:$F$83,6,FALSE)</f>
        <v>1.5</v>
      </c>
      <c r="V413" s="201">
        <f>VLOOKUP(Table2[[#This Row],[Course Title]],'TSD-Data'!$A$1:$F$83,5,FALSE)</f>
        <v>0.1</v>
      </c>
      <c r="W413" s="201"/>
      <c r="X413" s="200">
        <f>Table2[[#This Row],[Quotas]]-Table2[[#This Row],[Open Quotas]]</f>
        <v>87</v>
      </c>
      <c r="Y413" s="200">
        <v>0</v>
      </c>
      <c r="Z413" s="201">
        <v>14</v>
      </c>
      <c r="AA413" s="201">
        <v>0</v>
      </c>
      <c r="AB413" s="200">
        <v>0</v>
      </c>
      <c r="AC413" s="200">
        <v>0</v>
      </c>
      <c r="AD413" s="200">
        <v>0</v>
      </c>
      <c r="AE413" s="200" t="s">
        <v>431</v>
      </c>
      <c r="AF413" s="495">
        <f ca="1">Table2[[#This Row],[End Date]]+2-TODAY()</f>
        <v>-79</v>
      </c>
      <c r="AG413" s="496">
        <f>IF(ISBLANK(Table2[[#This Row],[Roster Received by]]),1,0)</f>
        <v>0</v>
      </c>
      <c r="AH413" s="496">
        <f ca="1">IF(Table2[[#This Row],[Start Date]]&gt;TODAY(),1,)</f>
        <v>0</v>
      </c>
      <c r="AI413" s="496">
        <f>IF(ISBLANK(Table2[[#This Row],[Primary Instructor]]),0,1)</f>
        <v>1</v>
      </c>
      <c r="AJ413" s="496">
        <f>IF(ISBLANK(Table2[[#This Row],[Instructor 2]]),0,1)</f>
        <v>1</v>
      </c>
      <c r="AK413" s="496">
        <f>AJ734</f>
        <v>0</v>
      </c>
      <c r="AL413" s="318">
        <v>913</v>
      </c>
      <c r="AM413" s="501">
        <v>3</v>
      </c>
      <c r="AN413" s="496" t="str">
        <f>VLOOKUP(Table2[[#This Row],[Course Title]],'TSD-Data'!$A$1:$G$83,7,FALSE)</f>
        <v>N8-RMI</v>
      </c>
      <c r="AO413" s="500">
        <f>Table2[[#This Row],[Quotas]]-Table2[[#This Row],[Graduates]]-Table2[[#This Row],[Fail]]</f>
        <v>986</v>
      </c>
    </row>
    <row r="414" spans="1:41" s="202" customFormat="1" ht="15" customHeight="1" x14ac:dyDescent="0.25">
      <c r="B414" s="530"/>
      <c r="C414" s="530" t="s">
        <v>406</v>
      </c>
      <c r="D414" s="200" t="str">
        <f>VLOOKUP(Table2[[#This Row],[Course Title]],'TSD-Data'!$A$1:$E$83,2,FALSE)</f>
        <v>A-493-3016</v>
      </c>
      <c r="E414" s="200" t="str">
        <f>VLOOKUP(Table2[[#This Row],[Course Title]],'TSD-Data'!$A$1:$E$83,3,FALSE)</f>
        <v>31Yk</v>
      </c>
      <c r="F414" s="530" t="s">
        <v>54</v>
      </c>
      <c r="G414" s="531">
        <v>46163</v>
      </c>
      <c r="H414" s="531">
        <v>46163</v>
      </c>
      <c r="I414" s="531" t="s">
        <v>42</v>
      </c>
      <c r="J414" s="532"/>
      <c r="K414" s="532">
        <v>0.72916666666666663</v>
      </c>
      <c r="L414" s="532">
        <v>0.60416666666666663</v>
      </c>
      <c r="M414" s="532">
        <v>2.0833333333333332E-2</v>
      </c>
      <c r="N414" s="532">
        <v>0.97916666666666663</v>
      </c>
      <c r="O414" s="532">
        <v>0.52083333333333337</v>
      </c>
      <c r="P414" s="532">
        <v>0.27083333333333331</v>
      </c>
      <c r="Q414" s="535" t="s">
        <v>445</v>
      </c>
      <c r="R414" s="535" t="s">
        <v>483</v>
      </c>
      <c r="S414" s="535"/>
      <c r="T414" s="200">
        <f>VLOOKUP(Table2[[#This Row],[Course Title]],'TSD-Data'!$A$1:$E$83,4,FALSE)</f>
        <v>1000</v>
      </c>
      <c r="U414" s="200">
        <f>VLOOKUP(Table2[[#This Row],[Course Title]],'TSD-Data'!$A$1:$F$83,6,FALSE)</f>
        <v>1.5</v>
      </c>
      <c r="V414" s="201">
        <f>VLOOKUP(Table2[[#This Row],[Course Title]],'TSD-Data'!$A$1:$F$83,5,FALSE)</f>
        <v>0.1</v>
      </c>
      <c r="W414" s="201"/>
      <c r="X414" s="200">
        <f>Table2[[#This Row],[Quotas]]-Table2[[#This Row],[Open Quotas]]</f>
        <v>87</v>
      </c>
      <c r="Y414" s="200">
        <v>0</v>
      </c>
      <c r="Z414" s="201">
        <v>13</v>
      </c>
      <c r="AA414" s="201">
        <v>0</v>
      </c>
      <c r="AB414" s="200">
        <v>0</v>
      </c>
      <c r="AC414" s="200">
        <v>0</v>
      </c>
      <c r="AD414" s="200">
        <v>0</v>
      </c>
      <c r="AE414" s="200" t="s">
        <v>428</v>
      </c>
      <c r="AF414" s="495">
        <f ca="1">Table2[[#This Row],[End Date]]+2-TODAY()</f>
        <v>-79</v>
      </c>
      <c r="AG414" s="496">
        <f>IF(ISBLANK(Table2[[#This Row],[Roster Received by]]),1,0)</f>
        <v>0</v>
      </c>
      <c r="AH414" s="496">
        <f ca="1">IF(Table2[[#This Row],[Start Date]]&gt;TODAY(),1,)</f>
        <v>0</v>
      </c>
      <c r="AI414" s="496">
        <f>IF(ISBLANK(Table2[[#This Row],[Primary Instructor]]),0,1)</f>
        <v>1</v>
      </c>
      <c r="AJ414" s="496">
        <f>IF(ISBLANK(Table2[[#This Row],[Instructor 2]]),0,1)</f>
        <v>1</v>
      </c>
      <c r="AK414" s="496">
        <f>AJ735</f>
        <v>0</v>
      </c>
      <c r="AL414" s="318">
        <v>913</v>
      </c>
      <c r="AM414" s="501">
        <v>3</v>
      </c>
      <c r="AN414" s="496" t="str">
        <f>VLOOKUP(Table2[[#This Row],[Course Title]],'TSD-Data'!$A$1:$G$83,7,FALSE)</f>
        <v>N8-RMI</v>
      </c>
      <c r="AO414" s="500">
        <f>Table2[[#This Row],[Quotas]]-Table2[[#This Row],[Graduates]]-Table2[[#This Row],[Fail]]</f>
        <v>987</v>
      </c>
    </row>
    <row r="415" spans="1:41" x14ac:dyDescent="0.25">
      <c r="A415" s="202"/>
      <c r="B415" s="530"/>
      <c r="C415" s="530" t="s">
        <v>397</v>
      </c>
      <c r="D415" s="200" t="str">
        <f>VLOOKUP(Table2[[#This Row],[Course Title]],'TSD-Data'!$A$1:$E$83,2,FALSE)</f>
        <v>A-493-3005</v>
      </c>
      <c r="E415" s="200" t="str">
        <f>VLOOKUP(Table2[[#This Row],[Course Title]],'TSD-Data'!$A$1:$E$83,3,FALSE)</f>
        <v>31V7</v>
      </c>
      <c r="F415" s="530" t="s">
        <v>54</v>
      </c>
      <c r="G415" s="531">
        <v>46164</v>
      </c>
      <c r="H415" s="531">
        <v>46164</v>
      </c>
      <c r="I415" s="531" t="s">
        <v>42</v>
      </c>
      <c r="J415" s="532"/>
      <c r="K415" s="532">
        <v>0.61458333333333337</v>
      </c>
      <c r="L415" s="532">
        <v>0.48958333333333331</v>
      </c>
      <c r="M415" s="532">
        <v>0.90625</v>
      </c>
      <c r="N415" s="532">
        <v>0.86458333333333337</v>
      </c>
      <c r="O415" s="532">
        <v>0.40625</v>
      </c>
      <c r="P415" s="532">
        <v>0.15625</v>
      </c>
      <c r="Q415" s="535" t="s">
        <v>445</v>
      </c>
      <c r="R415" s="535" t="s">
        <v>483</v>
      </c>
      <c r="S415" s="535"/>
      <c r="T415" s="200">
        <f>VLOOKUP(Table2[[#This Row],[Course Title]],'TSD-Data'!$A$1:$E$83,4,FALSE)</f>
        <v>1000</v>
      </c>
      <c r="U415" s="200">
        <f>VLOOKUP(Table2[[#This Row],[Course Title]],'TSD-Data'!$A$1:$F$83,6,FALSE)</f>
        <v>2</v>
      </c>
      <c r="V415" s="201">
        <f>VLOOKUP(Table2[[#This Row],[Course Title]],'TSD-Data'!$A$1:$F$83,5,FALSE)</f>
        <v>0.25</v>
      </c>
      <c r="W415" s="201"/>
      <c r="X415" s="200">
        <f>Table2[[#This Row],[Quotas]]-Table2[[#This Row],[Open Quotas]]</f>
        <v>87</v>
      </c>
      <c r="Y415" s="200">
        <v>0</v>
      </c>
      <c r="Z415" s="201">
        <v>9</v>
      </c>
      <c r="AA415" s="201">
        <v>0</v>
      </c>
      <c r="AB415" s="200">
        <v>0</v>
      </c>
      <c r="AC415" s="200">
        <v>0</v>
      </c>
      <c r="AD415" s="200">
        <v>0</v>
      </c>
      <c r="AE415" s="200" t="s">
        <v>428</v>
      </c>
      <c r="AF415" s="495">
        <f ca="1">Table2[[#This Row],[End Date]]+2-TODAY()</f>
        <v>-78</v>
      </c>
      <c r="AG415" s="496">
        <f>IF(ISBLANK(Table2[[#This Row],[Roster Received by]]),1,0)</f>
        <v>0</v>
      </c>
      <c r="AH415" s="496">
        <f ca="1">IF(Table2[[#This Row],[Start Date]]&gt;TODAY(),1,)</f>
        <v>0</v>
      </c>
      <c r="AI415" s="496">
        <f>IF(ISBLANK(Table2[[#This Row],[Primary Instructor]]),0,1)</f>
        <v>1</v>
      </c>
      <c r="AJ415" s="496">
        <f>IF(ISBLANK(Table2[[#This Row],[Instructor 2]]),0,1)</f>
        <v>1</v>
      </c>
      <c r="AK415" s="496">
        <f>AJ736</f>
        <v>0</v>
      </c>
      <c r="AL415" s="318">
        <v>913</v>
      </c>
      <c r="AM415" s="501">
        <v>3</v>
      </c>
      <c r="AN415" s="496" t="str">
        <f>VLOOKUP(Table2[[#This Row],[Course Title]],'TSD-Data'!$A$1:$G$83,7,FALSE)</f>
        <v>N8-RMI</v>
      </c>
      <c r="AO415" s="500">
        <f>Table2[[#This Row],[Quotas]]-Table2[[#This Row],[Graduates]]-Table2[[#This Row],[Fail]]</f>
        <v>991</v>
      </c>
    </row>
    <row r="416" spans="1:41" ht="15" customHeight="1" x14ac:dyDescent="0.25">
      <c r="B416" s="530"/>
      <c r="C416" s="530" t="s">
        <v>402</v>
      </c>
      <c r="D416" s="200" t="str">
        <f>VLOOKUP(Table2[[#This Row],[Course Title]],'TSD-Data'!$A$1:$E$83,2,FALSE)</f>
        <v>A-493-3017</v>
      </c>
      <c r="E416" s="200" t="str">
        <f>VLOOKUP(Table2[[#This Row],[Course Title]],'TSD-Data'!$A$1:$E$83,3,FALSE)</f>
        <v>31YL</v>
      </c>
      <c r="F416" s="530" t="s">
        <v>54</v>
      </c>
      <c r="G416" s="531">
        <v>46164</v>
      </c>
      <c r="H416" s="531">
        <v>46164</v>
      </c>
      <c r="I416" s="531" t="s">
        <v>42</v>
      </c>
      <c r="J416" s="532"/>
      <c r="K416" s="532">
        <v>0.65625</v>
      </c>
      <c r="L416" s="532">
        <v>0.53125</v>
      </c>
      <c r="M416" s="532">
        <v>0.94791666666666663</v>
      </c>
      <c r="N416" s="532">
        <v>0.90625</v>
      </c>
      <c r="O416" s="532">
        <v>0.44791666666666669</v>
      </c>
      <c r="P416" s="532">
        <v>0.19791666666666666</v>
      </c>
      <c r="Q416" s="535" t="s">
        <v>445</v>
      </c>
      <c r="R416" s="535" t="s">
        <v>483</v>
      </c>
      <c r="S416" s="535"/>
      <c r="T416" s="200">
        <f>VLOOKUP(Table2[[#This Row],[Course Title]],'TSD-Data'!$A$1:$E$83,4,FALSE)</f>
        <v>1000</v>
      </c>
      <c r="U416" s="200">
        <f>VLOOKUP(Table2[[#This Row],[Course Title]],'TSD-Data'!$A$1:$F$83,6,FALSE)</f>
        <v>1.5</v>
      </c>
      <c r="V416" s="201">
        <f>VLOOKUP(Table2[[#This Row],[Course Title]],'TSD-Data'!$A$1:$F$83,5,FALSE)</f>
        <v>0.1</v>
      </c>
      <c r="W416" s="201"/>
      <c r="X416" s="200">
        <f>Table2[[#This Row],[Quotas]]-Table2[[#This Row],[Open Quotas]]</f>
        <v>87</v>
      </c>
      <c r="Y416" s="200">
        <v>0</v>
      </c>
      <c r="Z416" s="201">
        <v>8</v>
      </c>
      <c r="AA416" s="201">
        <v>0</v>
      </c>
      <c r="AB416" s="200">
        <v>0</v>
      </c>
      <c r="AC416" s="200">
        <v>0</v>
      </c>
      <c r="AD416" s="200">
        <v>0</v>
      </c>
      <c r="AE416" s="200" t="s">
        <v>428</v>
      </c>
      <c r="AF416" s="495">
        <f ca="1">Table2[[#This Row],[End Date]]+2-TODAY()</f>
        <v>-78</v>
      </c>
      <c r="AG416" s="496">
        <f>IF(ISBLANK(Table2[[#This Row],[Roster Received by]]),1,0)</f>
        <v>0</v>
      </c>
      <c r="AH416" s="496">
        <f ca="1">IF(Table2[[#This Row],[Start Date]]&gt;TODAY(),1,)</f>
        <v>0</v>
      </c>
      <c r="AI416" s="496">
        <f>IF(ISBLANK(Table2[[#This Row],[Primary Instructor]]),0,1)</f>
        <v>1</v>
      </c>
      <c r="AJ416" s="496">
        <f>IF(ISBLANK(Table2[[#This Row],[Instructor 2]]),0,1)</f>
        <v>1</v>
      </c>
      <c r="AK416" s="496">
        <f>AJ736</f>
        <v>0</v>
      </c>
      <c r="AL416" s="318">
        <v>913</v>
      </c>
      <c r="AM416" s="501">
        <v>3</v>
      </c>
      <c r="AN416" s="496" t="str">
        <f>VLOOKUP(Table2[[#This Row],[Course Title]],'TSD-Data'!$A$1:$G$83,7,FALSE)</f>
        <v>N8-RMI</v>
      </c>
      <c r="AO416" s="500">
        <f>Table2[[#This Row],[Quotas]]-Table2[[#This Row],[Graduates]]-Table2[[#This Row],[Fail]]</f>
        <v>992</v>
      </c>
    </row>
    <row r="417" spans="2:41" ht="15" customHeight="1" x14ac:dyDescent="0.25">
      <c r="B417" s="530"/>
      <c r="C417" s="530" t="s">
        <v>408</v>
      </c>
      <c r="D417" s="200" t="str">
        <f>VLOOKUP(Table2[[#This Row],[Course Title]],'TSD-Data'!$A$1:$E$83,2,FALSE)</f>
        <v>A-493-3008</v>
      </c>
      <c r="E417" s="200" t="str">
        <f>VLOOKUP(Table2[[#This Row],[Course Title]],'TSD-Data'!$A$1:$E$83,3,FALSE)</f>
        <v>31VA</v>
      </c>
      <c r="F417" s="530" t="s">
        <v>54</v>
      </c>
      <c r="G417" s="531">
        <v>46164</v>
      </c>
      <c r="H417" s="531">
        <v>46164</v>
      </c>
      <c r="I417" s="531" t="s">
        <v>42</v>
      </c>
      <c r="J417" s="532"/>
      <c r="K417" s="532">
        <v>0.5</v>
      </c>
      <c r="L417" s="532">
        <v>0.375</v>
      </c>
      <c r="M417" s="532">
        <v>0.79166666666666663</v>
      </c>
      <c r="N417" s="532">
        <v>0.75</v>
      </c>
      <c r="O417" s="532">
        <v>0.29166666666666669</v>
      </c>
      <c r="P417" s="532">
        <v>4.1666666666666664E-2</v>
      </c>
      <c r="Q417" s="535" t="s">
        <v>445</v>
      </c>
      <c r="R417" s="535" t="s">
        <v>483</v>
      </c>
      <c r="S417" s="535"/>
      <c r="T417" s="200">
        <f>VLOOKUP(Table2[[#This Row],[Course Title]],'TSD-Data'!$A$1:$E$83,4,FALSE)</f>
        <v>1000</v>
      </c>
      <c r="U417" s="200">
        <f>VLOOKUP(Table2[[#This Row],[Course Title]],'TSD-Data'!$A$1:$F$83,6,FALSE)</f>
        <v>1.5</v>
      </c>
      <c r="V417" s="201">
        <f>VLOOKUP(Table2[[#This Row],[Course Title]],'TSD-Data'!$A$1:$F$83,5,FALSE)</f>
        <v>0.1</v>
      </c>
      <c r="W417" s="201"/>
      <c r="X417" s="200">
        <f>Table2[[#This Row],[Quotas]]-Table2[[#This Row],[Open Quotas]]</f>
        <v>87</v>
      </c>
      <c r="Y417" s="200">
        <v>0</v>
      </c>
      <c r="Z417" s="201">
        <v>12</v>
      </c>
      <c r="AA417" s="201">
        <v>0</v>
      </c>
      <c r="AB417" s="200">
        <v>0</v>
      </c>
      <c r="AC417" s="200">
        <v>0</v>
      </c>
      <c r="AD417" s="200">
        <v>0</v>
      </c>
      <c r="AE417" s="200" t="s">
        <v>428</v>
      </c>
      <c r="AF417" s="495">
        <f ca="1">Table2[[#This Row],[End Date]]+2-TODAY()</f>
        <v>-78</v>
      </c>
      <c r="AG417" s="496">
        <f>IF(ISBLANK(Table2[[#This Row],[Roster Received by]]),1,0)</f>
        <v>0</v>
      </c>
      <c r="AH417" s="496">
        <f ca="1">IF(Table2[[#This Row],[Start Date]]&gt;TODAY(),1,)</f>
        <v>0</v>
      </c>
      <c r="AI417" s="496">
        <f>IF(ISBLANK(Table2[[#This Row],[Primary Instructor]]),0,1)</f>
        <v>1</v>
      </c>
      <c r="AJ417" s="496">
        <f>IF(ISBLANK(Table2[[#This Row],[Instructor 2]]),0,1)</f>
        <v>1</v>
      </c>
      <c r="AK417" s="496">
        <f>AJ741</f>
        <v>0</v>
      </c>
      <c r="AL417" s="318">
        <v>913</v>
      </c>
      <c r="AM417" s="501">
        <v>3</v>
      </c>
      <c r="AN417" s="496" t="str">
        <f>VLOOKUP(Table2[[#This Row],[Course Title]],'TSD-Data'!$A$1:$G$83,7,FALSE)</f>
        <v>N8-RMI</v>
      </c>
      <c r="AO417" s="500">
        <f>Table2[[#This Row],[Quotas]]-Table2[[#This Row],[Graduates]]-Table2[[#This Row],[Fail]]</f>
        <v>988</v>
      </c>
    </row>
    <row r="418" spans="2:41" ht="15" customHeight="1" x14ac:dyDescent="0.25">
      <c r="B418" s="530"/>
      <c r="C418" s="530" t="s">
        <v>411</v>
      </c>
      <c r="D418" s="200" t="str">
        <f>VLOOKUP(Table2[[#This Row],[Course Title]],'TSD-Data'!$A$1:$E$83,2,FALSE)</f>
        <v>A-493-3012</v>
      </c>
      <c r="E418" s="200" t="str">
        <f>VLOOKUP(Table2[[#This Row],[Course Title]],'TSD-Data'!$A$1:$E$83,3,FALSE)</f>
        <v>31YF</v>
      </c>
      <c r="F418" s="530" t="s">
        <v>54</v>
      </c>
      <c r="G418" s="531">
        <v>46164</v>
      </c>
      <c r="H418" s="531">
        <v>46164</v>
      </c>
      <c r="I418" s="531" t="s">
        <v>42</v>
      </c>
      <c r="J418" s="532"/>
      <c r="K418" s="532">
        <v>0.45833333333333331</v>
      </c>
      <c r="L418" s="532">
        <v>0.33333333333333331</v>
      </c>
      <c r="M418" s="532">
        <v>0.75</v>
      </c>
      <c r="N418" s="532">
        <v>0.70833333333333337</v>
      </c>
      <c r="O418" s="532">
        <v>0.25</v>
      </c>
      <c r="P418" s="532">
        <v>6.9444444444444447E-4</v>
      </c>
      <c r="Q418" s="535" t="s">
        <v>445</v>
      </c>
      <c r="R418" s="535" t="s">
        <v>483</v>
      </c>
      <c r="S418" s="535"/>
      <c r="T418" s="200">
        <f>VLOOKUP(Table2[[#This Row],[Course Title]],'TSD-Data'!$A$1:$E$83,4,FALSE)</f>
        <v>1000</v>
      </c>
      <c r="U418" s="200">
        <f>VLOOKUP(Table2[[#This Row],[Course Title]],'TSD-Data'!$A$1:$F$83,6,FALSE)</f>
        <v>1</v>
      </c>
      <c r="V418" s="201">
        <f>VLOOKUP(Table2[[#This Row],[Course Title]],'TSD-Data'!$A$1:$F$83,5,FALSE)</f>
        <v>0.1</v>
      </c>
      <c r="W418" s="201"/>
      <c r="X418" s="200">
        <f>Table2[[#This Row],[Quotas]]-Table2[[#This Row],[Open Quotas]]</f>
        <v>87</v>
      </c>
      <c r="Y418" s="200">
        <v>0</v>
      </c>
      <c r="Z418" s="201">
        <v>12</v>
      </c>
      <c r="AA418" s="201">
        <v>0</v>
      </c>
      <c r="AB418" s="200">
        <v>0</v>
      </c>
      <c r="AC418" s="200">
        <v>0</v>
      </c>
      <c r="AD418" s="200">
        <v>0</v>
      </c>
      <c r="AE418" s="200" t="s">
        <v>428</v>
      </c>
      <c r="AF418" s="495">
        <f ca="1">Table2[[#This Row],[End Date]]+2-TODAY()</f>
        <v>-78</v>
      </c>
      <c r="AG418" s="496">
        <f>IF(ISBLANK(Table2[[#This Row],[Roster Received by]]),1,0)</f>
        <v>0</v>
      </c>
      <c r="AH418" s="496">
        <f ca="1">IF(Table2[[#This Row],[Start Date]]&gt;TODAY(),1,)</f>
        <v>0</v>
      </c>
      <c r="AI418" s="496">
        <f>IF(ISBLANK(Table2[[#This Row],[Primary Instructor]]),0,1)</f>
        <v>1</v>
      </c>
      <c r="AJ418" s="496">
        <f>IF(ISBLANK(Table2[[#This Row],[Instructor 2]]),0,1)</f>
        <v>1</v>
      </c>
      <c r="AK418" s="496">
        <f>AJ739</f>
        <v>0</v>
      </c>
      <c r="AL418" s="318">
        <v>913</v>
      </c>
      <c r="AM418" s="501">
        <v>3</v>
      </c>
      <c r="AN418" s="496" t="str">
        <f>VLOOKUP(Table2[[#This Row],[Course Title]],'TSD-Data'!$A$1:$G$83,7,FALSE)</f>
        <v>N8-RMI</v>
      </c>
      <c r="AO418" s="500">
        <f>Table2[[#This Row],[Quotas]]-Table2[[#This Row],[Graduates]]-Table2[[#This Row],[Fail]]</f>
        <v>988</v>
      </c>
    </row>
    <row r="419" spans="2:41" ht="15" customHeight="1" x14ac:dyDescent="0.25">
      <c r="B419" s="530"/>
      <c r="C419" s="530" t="s">
        <v>412</v>
      </c>
      <c r="D419" s="200" t="str">
        <f>VLOOKUP(Table2[[#This Row],[Course Title]],'TSD-Data'!$A$1:$E$83,2,FALSE)</f>
        <v>A-493-3009</v>
      </c>
      <c r="E419" s="200" t="str">
        <f>VLOOKUP(Table2[[#This Row],[Course Title]],'TSD-Data'!$A$1:$E$83,3,FALSE)</f>
        <v>31VB</v>
      </c>
      <c r="F419" s="530" t="s">
        <v>54</v>
      </c>
      <c r="G419" s="531">
        <v>46164</v>
      </c>
      <c r="H419" s="531">
        <v>46164</v>
      </c>
      <c r="I419" s="531" t="s">
        <v>42</v>
      </c>
      <c r="J419" s="532"/>
      <c r="K419" s="532">
        <v>0.5625</v>
      </c>
      <c r="L419" s="532">
        <v>0.4375</v>
      </c>
      <c r="M419" s="532">
        <v>0.85416666666666663</v>
      </c>
      <c r="N419" s="532">
        <v>0.8125</v>
      </c>
      <c r="O419" s="532">
        <v>0.35416666666666669</v>
      </c>
      <c r="P419" s="532">
        <v>0.10416666666666667</v>
      </c>
      <c r="Q419" s="535" t="s">
        <v>445</v>
      </c>
      <c r="R419" s="535" t="s">
        <v>483</v>
      </c>
      <c r="S419" s="535"/>
      <c r="T419" s="200">
        <f>VLOOKUP(Table2[[#This Row],[Course Title]],'TSD-Data'!$A$1:$E$83,4,FALSE)</f>
        <v>1000</v>
      </c>
      <c r="U419" s="200">
        <f>VLOOKUP(Table2[[#This Row],[Course Title]],'TSD-Data'!$A$1:$F$83,6,FALSE)</f>
        <v>1.5</v>
      </c>
      <c r="V419" s="201">
        <f>VLOOKUP(Table2[[#This Row],[Course Title]],'TSD-Data'!$A$1:$F$83,5,FALSE)</f>
        <v>0.1</v>
      </c>
      <c r="W419" s="201"/>
      <c r="X419" s="200">
        <f>Table2[[#This Row],[Quotas]]-Table2[[#This Row],[Open Quotas]]</f>
        <v>87</v>
      </c>
      <c r="Y419" s="200">
        <v>0</v>
      </c>
      <c r="Z419" s="201">
        <v>10</v>
      </c>
      <c r="AA419" s="201">
        <v>0</v>
      </c>
      <c r="AB419" s="200">
        <v>0</v>
      </c>
      <c r="AC419" s="200">
        <v>0</v>
      </c>
      <c r="AD419" s="200">
        <v>0</v>
      </c>
      <c r="AE419" s="200" t="s">
        <v>428</v>
      </c>
      <c r="AF419" s="495">
        <f ca="1">Table2[[#This Row],[End Date]]+2-TODAY()</f>
        <v>-78</v>
      </c>
      <c r="AG419" s="496">
        <f>IF(ISBLANK(Table2[[#This Row],[Roster Received by]]),1,0)</f>
        <v>0</v>
      </c>
      <c r="AH419" s="496">
        <f ca="1">IF(Table2[[#This Row],[Start Date]]&gt;TODAY(),1,)</f>
        <v>0</v>
      </c>
      <c r="AI419" s="496">
        <f>IF(ISBLANK(Table2[[#This Row],[Primary Instructor]]),0,1)</f>
        <v>1</v>
      </c>
      <c r="AJ419" s="496">
        <f>IF(ISBLANK(Table2[[#This Row],[Instructor 2]]),0,1)</f>
        <v>1</v>
      </c>
      <c r="AK419" s="496">
        <f>AJ740</f>
        <v>0</v>
      </c>
      <c r="AL419" s="318">
        <v>913</v>
      </c>
      <c r="AM419" s="501">
        <v>3</v>
      </c>
      <c r="AN419" s="496" t="str">
        <f>VLOOKUP(Table2[[#This Row],[Course Title]],'TSD-Data'!$A$1:$G$83,7,FALSE)</f>
        <v>N8-RMI</v>
      </c>
      <c r="AO419" s="500">
        <f>Table2[[#This Row],[Quotas]]-Table2[[#This Row],[Graduates]]-Table2[[#This Row],[Fail]]</f>
        <v>990</v>
      </c>
    </row>
    <row r="420" spans="2:41" s="202" customFormat="1" ht="15" customHeight="1" x14ac:dyDescent="0.25">
      <c r="B420" s="530" t="s">
        <v>225</v>
      </c>
      <c r="C420" s="530" t="s">
        <v>218</v>
      </c>
      <c r="D420" s="200" t="str">
        <f>VLOOKUP(Table2[[#This Row],[Course Title]],'TSD-Data'!$A$1:$E$83,2,FALSE)</f>
        <v>Holiday</v>
      </c>
      <c r="E420" s="200" t="str">
        <f>VLOOKUP(Table2[[#This Row],[Course Title]],'TSD-Data'!$A$1:$E$83,3,FALSE)</f>
        <v>Holiday</v>
      </c>
      <c r="F420" s="530" t="s">
        <v>218</v>
      </c>
      <c r="G420" s="531">
        <v>46167</v>
      </c>
      <c r="H420" s="531">
        <v>46167</v>
      </c>
      <c r="I420" s="531" t="s">
        <v>434</v>
      </c>
      <c r="J420" s="532"/>
      <c r="K420" s="532"/>
      <c r="L420" s="531"/>
      <c r="M420" s="531"/>
      <c r="N420" s="531"/>
      <c r="O420" s="531"/>
      <c r="P420" s="531"/>
      <c r="Q420" s="535" t="s">
        <v>435</v>
      </c>
      <c r="R420" s="535"/>
      <c r="S420" s="542"/>
      <c r="T420" s="200">
        <f>VLOOKUP(Table2[[#This Row],[Course Title]],'TSD-Data'!$A$1:$E$83,4,FALSE)</f>
        <v>0</v>
      </c>
      <c r="U420" s="200">
        <f>VLOOKUP(Table2[[#This Row],[Course Title]],'TSD-Data'!$A$1:$F$83,6,FALSE)</f>
        <v>0</v>
      </c>
      <c r="V420" s="201">
        <f>VLOOKUP(Table2[[#This Row],[Course Title]],'TSD-Data'!$A$1:$F$83,5,FALSE)</f>
        <v>0</v>
      </c>
      <c r="W420" s="201">
        <v>0</v>
      </c>
      <c r="X420" s="200">
        <f>Table2[[#This Row],[Quotas]]-Table2[[#This Row],[Open Quotas]]</f>
        <v>0</v>
      </c>
      <c r="Y420" s="200">
        <v>0</v>
      </c>
      <c r="Z420" s="200">
        <v>0</v>
      </c>
      <c r="AA420" s="200">
        <v>0</v>
      </c>
      <c r="AB420" s="200">
        <v>0</v>
      </c>
      <c r="AC420" s="200">
        <v>0</v>
      </c>
      <c r="AD420" s="200">
        <v>0</v>
      </c>
      <c r="AE420" s="541" t="s">
        <v>436</v>
      </c>
      <c r="AF420" s="495">
        <f ca="1">Table2[[#This Row],[End Date]]+2-TODAY()</f>
        <v>-75</v>
      </c>
      <c r="AG420" s="496">
        <f>IF(ISBLANK(Table2[[#This Row],[Roster Received by]]),1,0)</f>
        <v>0</v>
      </c>
      <c r="AH420" s="496">
        <f ca="1">IF(Table2[[#This Row],[Start Date]]&gt;TODAY(),1,)</f>
        <v>0</v>
      </c>
      <c r="AI420" s="496">
        <f>IF(ISBLANK(Table2[[#This Row],[Primary Instructor]]),0,1)</f>
        <v>1</v>
      </c>
      <c r="AJ420" s="496">
        <f>IF(ISBLANK(Table2[[#This Row],[Instructor 2]]),0,1)</f>
        <v>0</v>
      </c>
      <c r="AK420" s="496">
        <f>Table2[[#This Row],[Course Length (Hours)]]/(Table2[[#This Row],[1 Instructor]]+Table2[[#This Row],[2 Instructors]])</f>
        <v>0</v>
      </c>
      <c r="AL420" s="318"/>
      <c r="AM420" s="496">
        <v>3</v>
      </c>
      <c r="AN420" s="496" t="str">
        <f>VLOOKUP(Table2[[#This Row],[Course Title]],'TSD-Data'!$A$1:$G$83,7,FALSE)</f>
        <v>TSD</v>
      </c>
      <c r="AO420" s="500">
        <f>Table2[[#This Row],[Quotas]]-Table2[[#This Row],[Graduates]]-Table2[[#This Row],[Fail]]</f>
        <v>0</v>
      </c>
    </row>
    <row r="421" spans="2:41" s="202" customFormat="1" ht="15" customHeight="1" x14ac:dyDescent="0.25">
      <c r="B421" s="530"/>
      <c r="C421" s="530" t="s">
        <v>56</v>
      </c>
      <c r="D421" s="200" t="str">
        <f>VLOOKUP(Table2[[#This Row],[Course Title]],'TSD-Data'!$A$1:$E$83,2,FALSE)</f>
        <v>A-493-0550</v>
      </c>
      <c r="E421" s="200" t="str">
        <f>VLOOKUP(Table2[[#This Row],[Course Title]],'TSD-Data'!$A$1:$E$83,3,FALSE)</f>
        <v>09K5</v>
      </c>
      <c r="F421" s="530" t="s">
        <v>54</v>
      </c>
      <c r="G421" s="531">
        <v>46168</v>
      </c>
      <c r="H421" s="531">
        <v>46171</v>
      </c>
      <c r="I421" s="531" t="s">
        <v>42</v>
      </c>
      <c r="J421" s="532"/>
      <c r="K421" s="532">
        <v>0.33333333333333331</v>
      </c>
      <c r="L421" s="532">
        <v>0.20833333333333334</v>
      </c>
      <c r="M421" s="532">
        <v>0.625</v>
      </c>
      <c r="N421" s="532">
        <v>0.54166666666666663</v>
      </c>
      <c r="O421" s="532">
        <v>8.3333333333333329E-2</v>
      </c>
      <c r="P421" s="532">
        <v>0.875</v>
      </c>
      <c r="Q421" s="535" t="s">
        <v>427</v>
      </c>
      <c r="R421" s="535"/>
      <c r="S421" s="535"/>
      <c r="T421" s="200">
        <f>VLOOKUP(Table2[[#This Row],[Course Title]],'TSD-Data'!$A$1:$E$83,4,FALSE)</f>
        <v>45</v>
      </c>
      <c r="U421" s="200">
        <f>VLOOKUP(Table2[[#This Row],[Course Title]],'TSD-Data'!$A$1:$F$83,6,FALSE)</f>
        <v>32</v>
      </c>
      <c r="V421" s="201">
        <f>VLOOKUP(Table2[[#This Row],[Course Title]],'TSD-Data'!$A$1:$F$83,5,FALSE)</f>
        <v>4</v>
      </c>
      <c r="W421" s="201">
        <v>455</v>
      </c>
      <c r="X421" s="200">
        <f>Table2[[#This Row],[Quotas]]-Table2[[#This Row],[Open Quotas]]</f>
        <v>44</v>
      </c>
      <c r="Y421" s="200">
        <v>0</v>
      </c>
      <c r="Z421" s="201">
        <v>33</v>
      </c>
      <c r="AA421" s="201">
        <v>1</v>
      </c>
      <c r="AB421" s="200">
        <v>10</v>
      </c>
      <c r="AC421" s="200">
        <v>0</v>
      </c>
      <c r="AD421" s="200">
        <v>0</v>
      </c>
      <c r="AE421" s="200" t="s">
        <v>431</v>
      </c>
      <c r="AF421" s="495">
        <f ca="1">Table2[[#This Row],[End Date]]+2-TODAY()</f>
        <v>-71</v>
      </c>
      <c r="AG421" s="496">
        <f>IF(ISBLANK(Table2[[#This Row],[Roster Received by]]),1,0)</f>
        <v>0</v>
      </c>
      <c r="AH421" s="496">
        <f ca="1">IF(Table2[[#This Row],[Start Date]]&gt;TODAY(),1,)</f>
        <v>0</v>
      </c>
      <c r="AI421" s="496">
        <f>IF(ISBLANK(Table2[[#This Row],[Primary Instructor]]),0,1)</f>
        <v>1</v>
      </c>
      <c r="AJ421" s="496">
        <f>IF(ISBLANK(Table2[[#This Row],[Instructor 2]]),0,1)</f>
        <v>0</v>
      </c>
      <c r="AK421" s="496">
        <f>Table2[[#This Row],[Course Length (Hours)]]/(Table2[[#This Row],[1 Instructor]]+Table2[[#This Row],[2 Instructors]])</f>
        <v>32</v>
      </c>
      <c r="AL421" s="318">
        <v>1</v>
      </c>
      <c r="AM421" s="496">
        <v>3</v>
      </c>
      <c r="AN421" s="496" t="str">
        <f>VLOOKUP(Table2[[#This Row],[Course Title]],'TSD-Data'!$A$1:$G$83,7,FALSE)</f>
        <v>N5</v>
      </c>
      <c r="AO421" s="500">
        <f>Table2[[#This Row],[Quotas]]-Table2[[#This Row],[Graduates]]-Table2[[#This Row],[Fail]]</f>
        <v>11</v>
      </c>
    </row>
    <row r="422" spans="2:41" s="202" customFormat="1" ht="15" customHeight="1" x14ac:dyDescent="0.25">
      <c r="B422" s="530" t="s">
        <v>485</v>
      </c>
      <c r="C422" s="530" t="s">
        <v>255</v>
      </c>
      <c r="D422" s="200" t="str">
        <f>VLOOKUP(Table2[[#This Row],[Course Title]],'TSD-Data'!$A$1:$E$83,2,FALSE)</f>
        <v>A-493-0085</v>
      </c>
      <c r="E422" s="200">
        <f>VLOOKUP(Table2[[#This Row],[Course Title]],'TSD-Data'!$A$1:$E$83,3,FALSE)</f>
        <v>3555</v>
      </c>
      <c r="F422" s="530" t="s">
        <v>54</v>
      </c>
      <c r="G422" s="531">
        <v>46168</v>
      </c>
      <c r="H422" s="531">
        <v>46171</v>
      </c>
      <c r="I422" s="531" t="s">
        <v>42</v>
      </c>
      <c r="J422" s="532"/>
      <c r="K422" s="532">
        <v>0.5</v>
      </c>
      <c r="L422" s="536">
        <v>0.375</v>
      </c>
      <c r="M422" s="536">
        <v>0.79166666666666663</v>
      </c>
      <c r="N422" s="536">
        <v>0.75</v>
      </c>
      <c r="O422" s="536">
        <v>0.25</v>
      </c>
      <c r="P422" s="536">
        <v>4.1666666666666664E-2</v>
      </c>
      <c r="Q422" s="535" t="s">
        <v>67</v>
      </c>
      <c r="R422" s="535"/>
      <c r="S422" s="535"/>
      <c r="T422" s="200">
        <f>VLOOKUP(Table2[[#This Row],[Course Title]],'TSD-Data'!$A$1:$E$83,4,FALSE)</f>
        <v>45</v>
      </c>
      <c r="U422" s="200">
        <f>VLOOKUP(Table2[[#This Row],[Course Title]],'TSD-Data'!$A$1:$F$83,6,FALSE)</f>
        <v>32</v>
      </c>
      <c r="V422" s="201">
        <f>VLOOKUP(Table2[[#This Row],[Course Title]],'TSD-Data'!$A$1:$F$83,5,FALSE)</f>
        <v>4</v>
      </c>
      <c r="W422" s="201">
        <v>688</v>
      </c>
      <c r="X422" s="200">
        <f>Table2[[#This Row],[Quotas]]-Table2[[#This Row],[Open Quotas]]</f>
        <v>28</v>
      </c>
      <c r="Y422" s="200">
        <v>0</v>
      </c>
      <c r="Z422" s="201">
        <v>23</v>
      </c>
      <c r="AA422" s="201">
        <v>1</v>
      </c>
      <c r="AB422" s="200">
        <v>4</v>
      </c>
      <c r="AC422" s="200">
        <v>0</v>
      </c>
      <c r="AD422" s="200">
        <v>0</v>
      </c>
      <c r="AE422" s="200" t="s">
        <v>428</v>
      </c>
      <c r="AF422" s="495">
        <f ca="1">Table2[[#This Row],[End Date]]+2-TODAY()</f>
        <v>-71</v>
      </c>
      <c r="AG422" s="496">
        <f>IF(ISBLANK(Table2[[#This Row],[Roster Received by]]),1,0)</f>
        <v>0</v>
      </c>
      <c r="AH422" s="496">
        <f ca="1">IF(Table2[[#This Row],[Start Date]]&gt;TODAY(),1,)</f>
        <v>0</v>
      </c>
      <c r="AI422" s="496">
        <f>IF(ISBLANK(Table2[[#This Row],[Primary Instructor]]),0,1)</f>
        <v>1</v>
      </c>
      <c r="AJ422" s="496">
        <f>IF(ISBLANK(Table2[[#This Row],[Instructor 2]]),0,1)</f>
        <v>0</v>
      </c>
      <c r="AK422" s="496">
        <f>Table2[[#This Row],[Course Length (Hours)]]/(Table2[[#This Row],[1 Instructor]]+Table2[[#This Row],[2 Instructors]])</f>
        <v>32</v>
      </c>
      <c r="AL422" s="318">
        <v>17</v>
      </c>
      <c r="AM422" s="496">
        <v>3</v>
      </c>
      <c r="AN422" s="496" t="str">
        <f>VLOOKUP(Table2[[#This Row],[Course Title]],'TSD-Data'!$A$1:$G$83,7,FALSE)</f>
        <v>N3</v>
      </c>
      <c r="AO422" s="500">
        <f>Table2[[#This Row],[Quotas]]-Table2[[#This Row],[Graduates]]-Table2[[#This Row],[Fail]]</f>
        <v>21</v>
      </c>
    </row>
    <row r="423" spans="2:41" ht="15" customHeight="1" x14ac:dyDescent="0.25">
      <c r="B423" s="7" t="s">
        <v>486</v>
      </c>
      <c r="C423" s="530" t="s">
        <v>453</v>
      </c>
      <c r="D423" s="200" t="str">
        <f>VLOOKUP(Table2[[#This Row],[Course Title]],'TSD-Data'!$A$1:$E$83,2,FALSE)</f>
        <v>Reserved</v>
      </c>
      <c r="E423" s="200" t="str">
        <f>VLOOKUP(Table2[[#This Row],[Course Title]],'TSD-Data'!$A$1:$E$83,3,FALSE)</f>
        <v xml:space="preserve">Reserved </v>
      </c>
      <c r="F423" s="530" t="s">
        <v>130</v>
      </c>
      <c r="G423" s="531">
        <v>46168</v>
      </c>
      <c r="H423" s="531">
        <v>46178</v>
      </c>
      <c r="I423" s="564" t="s">
        <v>434</v>
      </c>
      <c r="J423" s="532"/>
      <c r="K423" s="532"/>
      <c r="L423" s="531"/>
      <c r="M423" s="531"/>
      <c r="N423" s="531"/>
      <c r="O423" s="531"/>
      <c r="P423" s="531"/>
      <c r="Q423" s="535"/>
      <c r="R423" s="535"/>
      <c r="S423" s="535"/>
      <c r="T423" s="200">
        <f>VLOOKUP(Table2[[#This Row],[Course Title]],'TSD-Data'!$A$1:$E$83,4,FALSE)</f>
        <v>0</v>
      </c>
      <c r="U423" s="200">
        <f>VLOOKUP(Table2[[#This Row],[Course Title]],'TSD-Data'!$A$1:$F$83,6,FALSE)</f>
        <v>0</v>
      </c>
      <c r="V423" s="201">
        <f>VLOOKUP(Table2[[#This Row],[Course Title]],'TSD-Data'!$A$1:$F$83,5,FALSE)</f>
        <v>0</v>
      </c>
      <c r="W423" s="201"/>
      <c r="X423" s="200"/>
      <c r="Y423" s="200"/>
      <c r="Z423" s="201"/>
      <c r="AA423" s="201"/>
      <c r="AB423" s="200"/>
      <c r="AC423" s="200"/>
      <c r="AD423" s="200"/>
      <c r="AE423" s="541" t="s">
        <v>436</v>
      </c>
      <c r="AF423" s="201">
        <f ca="1">Table2[[#This Row],[End Date]]+2-TODAY()</f>
        <v>-64</v>
      </c>
      <c r="AG423" s="200">
        <f>IF(ISBLANK(Table2[[#This Row],[Roster Received by]]),1,0)</f>
        <v>0</v>
      </c>
      <c r="AH423" s="200">
        <f ca="1">IF(Table2[[#This Row],[Start Date]]&gt;TODAY(),1,)</f>
        <v>0</v>
      </c>
      <c r="AI423" s="200">
        <f>IF(ISBLANK(Table2[[#This Row],[Primary Instructor]]),0,1)</f>
        <v>0</v>
      </c>
      <c r="AJ423" s="200">
        <f>IF(ISBLANK(Table2[[#This Row],[Instructor 2]]),0,1)</f>
        <v>0</v>
      </c>
      <c r="AK423" s="200">
        <f>AJ778</f>
        <v>0</v>
      </c>
      <c r="AL423" s="318"/>
      <c r="AM423" s="517"/>
      <c r="AN423" s="200" t="str">
        <f>VLOOKUP(Table2[[#This Row],[Course Title]],'TSD-Data'!$A$1:$G$83,7,FALSE)</f>
        <v>TSD</v>
      </c>
      <c r="AO423" s="518">
        <f>Table2[[#This Row],[Quotas]]-Table2[[#This Row],[Graduates]]-Table2[[#This Row],[Fail]]</f>
        <v>0</v>
      </c>
    </row>
    <row r="424" spans="2:41" s="202" customFormat="1" ht="15" customHeight="1" x14ac:dyDescent="0.25">
      <c r="B424" s="530"/>
      <c r="C424" s="530" t="s">
        <v>275</v>
      </c>
      <c r="D424" s="200" t="str">
        <f>VLOOKUP(Table2[[#This Row],[Course Title]],'TSD-Data'!$A$1:$E$83,2,FALSE)</f>
        <v>A-493-0099</v>
      </c>
      <c r="E424" s="200" t="str">
        <f>VLOOKUP(Table2[[#This Row],[Course Title]],'TSD-Data'!$A$1:$E$83,3,FALSE)</f>
        <v>12JW</v>
      </c>
      <c r="F424" s="530" t="s">
        <v>54</v>
      </c>
      <c r="G424" s="531">
        <v>46169</v>
      </c>
      <c r="H424" s="531">
        <v>46171</v>
      </c>
      <c r="I424" s="531" t="s">
        <v>42</v>
      </c>
      <c r="J424" s="532"/>
      <c r="K424" s="532">
        <v>0.5</v>
      </c>
      <c r="L424" s="536">
        <v>0.375</v>
      </c>
      <c r="M424" s="536">
        <v>0.79166666666666663</v>
      </c>
      <c r="N424" s="536">
        <v>0.75</v>
      </c>
      <c r="O424" s="536">
        <v>0.25</v>
      </c>
      <c r="P424" s="536">
        <v>4.1666666666666664E-2</v>
      </c>
      <c r="Q424" s="535" t="s">
        <v>274</v>
      </c>
      <c r="R424" s="535"/>
      <c r="S424" s="535"/>
      <c r="T424" s="200">
        <f>VLOOKUP(Table2[[#This Row],[Course Title]],'TSD-Data'!$A$1:$E$83,4,FALSE)</f>
        <v>45</v>
      </c>
      <c r="U424" s="200">
        <f>VLOOKUP(Table2[[#This Row],[Course Title]],'TSD-Data'!$A$1:$F$83,6,FALSE)</f>
        <v>24</v>
      </c>
      <c r="V424" s="201">
        <f>VLOOKUP(Table2[[#This Row],[Course Title]],'TSD-Data'!$A$1:$F$83,5,FALSE)</f>
        <v>3</v>
      </c>
      <c r="W424" s="201">
        <v>1041</v>
      </c>
      <c r="X424" s="200">
        <f>Table2[[#This Row],[Quotas]]-Table2[[#This Row],[Open Quotas]]</f>
        <v>28</v>
      </c>
      <c r="Y424" s="200">
        <v>0</v>
      </c>
      <c r="Z424" s="201">
        <v>22</v>
      </c>
      <c r="AA424" s="201">
        <v>1</v>
      </c>
      <c r="AB424" s="200">
        <v>3</v>
      </c>
      <c r="AC424" s="200">
        <v>1</v>
      </c>
      <c r="AD424" s="200">
        <v>0</v>
      </c>
      <c r="AE424" s="200" t="s">
        <v>431</v>
      </c>
      <c r="AF424" s="495">
        <f ca="1">Table2[[#This Row],[End Date]]+2-TODAY()</f>
        <v>-71</v>
      </c>
      <c r="AG424" s="496">
        <f>IF(ISBLANK(Table2[[#This Row],[Roster Received by]]),1,0)</f>
        <v>0</v>
      </c>
      <c r="AH424" s="496">
        <f ca="1">IF(Table2[[#This Row],[Start Date]]&gt;TODAY(),1,)</f>
        <v>0</v>
      </c>
      <c r="AI424" s="496">
        <f>IF(ISBLANK(Table2[[#This Row],[Primary Instructor]]),0,1)</f>
        <v>1</v>
      </c>
      <c r="AJ424" s="496">
        <f>IF(ISBLANK(Table2[[#This Row],[Instructor 2]]),0,1)</f>
        <v>0</v>
      </c>
      <c r="AK424" s="496">
        <f>Table2[[#This Row],[Course Length (Hours)]]/(Table2[[#This Row],[1 Instructor]]+Table2[[#This Row],[2 Instructors]])</f>
        <v>24</v>
      </c>
      <c r="AL424" s="318">
        <v>17</v>
      </c>
      <c r="AM424" s="496">
        <v>3</v>
      </c>
      <c r="AN424" s="496" t="str">
        <f>VLOOKUP(Table2[[#This Row],[Course Title]],'TSD-Data'!$A$1:$G$83,7,FALSE)</f>
        <v>N5</v>
      </c>
      <c r="AO424" s="500">
        <f>Table2[[#This Row],[Quotas]]-Table2[[#This Row],[Graduates]]-Table2[[#This Row],[Fail]]</f>
        <v>22</v>
      </c>
    </row>
    <row r="425" spans="2:41" ht="15" customHeight="1" x14ac:dyDescent="0.25">
      <c r="B425" s="530"/>
      <c r="C425" s="530" t="s">
        <v>276</v>
      </c>
      <c r="D425" s="200" t="str">
        <f>VLOOKUP(Table2[[#This Row],[Course Title]],'TSD-Data'!$A$1:$E$83,2,FALSE)</f>
        <v>A-493-0103</v>
      </c>
      <c r="E425" s="200" t="str">
        <f>VLOOKUP(Table2[[#This Row],[Course Title]],'TSD-Data'!$A$1:$E$83,3,FALSE)</f>
        <v>12JY</v>
      </c>
      <c r="F425" s="530" t="s">
        <v>61</v>
      </c>
      <c r="G425" s="531">
        <v>46174</v>
      </c>
      <c r="H425" s="531">
        <v>46178</v>
      </c>
      <c r="I425" s="531" t="s">
        <v>42</v>
      </c>
      <c r="J425" s="532">
        <v>0.33333333333333331</v>
      </c>
      <c r="K425" s="532"/>
      <c r="L425" s="531"/>
      <c r="M425" s="531"/>
      <c r="N425" s="531"/>
      <c r="O425" s="531"/>
      <c r="P425" s="531"/>
      <c r="Q425" s="535" t="s">
        <v>280</v>
      </c>
      <c r="R425" s="535"/>
      <c r="S425" s="535"/>
      <c r="T425" s="200">
        <f>VLOOKUP(Table2[[#This Row],[Course Title]],'TSD-Data'!$A$1:$E$83,4,FALSE)</f>
        <v>25</v>
      </c>
      <c r="U425" s="200">
        <f>VLOOKUP(Table2[[#This Row],[Course Title]],'TSD-Data'!$A$1:$F$83,6,FALSE)</f>
        <v>40</v>
      </c>
      <c r="V425" s="201">
        <f>VLOOKUP(Table2[[#This Row],[Course Title]],'TSD-Data'!$A$1:$F$83,5,FALSE)</f>
        <v>5</v>
      </c>
      <c r="W425" s="201">
        <v>512</v>
      </c>
      <c r="X425" s="200">
        <f>Table2[[#This Row],[Quotas]]-Table2[[#This Row],[Open Quotas]]</f>
        <v>21</v>
      </c>
      <c r="Y425" s="200">
        <v>3</v>
      </c>
      <c r="Z425" s="201">
        <v>19</v>
      </c>
      <c r="AA425" s="201">
        <v>0</v>
      </c>
      <c r="AB425" s="200">
        <v>7</v>
      </c>
      <c r="AC425" s="200">
        <v>1</v>
      </c>
      <c r="AD425" s="200">
        <v>0</v>
      </c>
      <c r="AE425" s="200" t="s">
        <v>431</v>
      </c>
      <c r="AF425" s="495">
        <f ca="1">Table2[[#This Row],[End Date]]+2-TODAY()</f>
        <v>-64</v>
      </c>
      <c r="AG425" s="496">
        <f>IF(ISBLANK(Table2[[#This Row],[Roster Received by]]),1,0)</f>
        <v>0</v>
      </c>
      <c r="AH425" s="496">
        <f ca="1">IF(Table2[[#This Row],[Start Date]]&gt;TODAY(),1,)</f>
        <v>0</v>
      </c>
      <c r="AI425" s="496">
        <f>IF(ISBLANK(Table2[[#This Row],[Primary Instructor]]),0,1)</f>
        <v>1</v>
      </c>
      <c r="AJ425" s="496">
        <f>IF(ISBLANK(Table2[[#This Row],[Instructor 2]]),0,1)</f>
        <v>0</v>
      </c>
      <c r="AK425" s="496">
        <f>Table2[[#This Row],[Course Length (Hours)]]/(Table2[[#This Row],[1 Instructor]]+Table2[[#This Row],[2 Instructors]])</f>
        <v>40</v>
      </c>
      <c r="AL425" s="318">
        <v>4</v>
      </c>
      <c r="AM425" s="496">
        <v>3</v>
      </c>
      <c r="AN425" s="496" t="str">
        <f>VLOOKUP(Table2[[#This Row],[Course Title]],'TSD-Data'!$A$1:$G$83,7,FALSE)</f>
        <v>N5</v>
      </c>
      <c r="AO425" s="500">
        <f>Table2[[#This Row],[Quotas]]-Table2[[#This Row],[Graduates]]-Table2[[#This Row],[Fail]]</f>
        <v>6</v>
      </c>
    </row>
    <row r="426" spans="2:41" s="202" customFormat="1" ht="15" customHeight="1" x14ac:dyDescent="0.25">
      <c r="B426" s="530"/>
      <c r="C426" s="530" t="s">
        <v>276</v>
      </c>
      <c r="D426" s="200" t="str">
        <f>VLOOKUP(Table2[[#This Row],[Course Title]],'TSD-Data'!$A$1:$E$83,2,FALSE)</f>
        <v>A-493-0103</v>
      </c>
      <c r="E426" s="200" t="str">
        <f>VLOOKUP(Table2[[#This Row],[Course Title]],'TSD-Data'!$A$1:$E$83,3,FALSE)</f>
        <v>12JY</v>
      </c>
      <c r="F426" s="530" t="s">
        <v>125</v>
      </c>
      <c r="G426" s="531">
        <v>46174</v>
      </c>
      <c r="H426" s="531">
        <v>46178</v>
      </c>
      <c r="I426" s="531" t="s">
        <v>42</v>
      </c>
      <c r="J426" s="532">
        <v>0.33333333333333331</v>
      </c>
      <c r="K426" s="532"/>
      <c r="L426" s="531"/>
      <c r="M426" s="531"/>
      <c r="N426" s="531"/>
      <c r="O426" s="531"/>
      <c r="P426" s="531"/>
      <c r="Q426" s="535" t="s">
        <v>280</v>
      </c>
      <c r="R426" s="535"/>
      <c r="S426" s="535"/>
      <c r="T426" s="200">
        <f>VLOOKUP(Table2[[#This Row],[Course Title]],'TSD-Data'!$A$1:$E$83,4,FALSE)</f>
        <v>25</v>
      </c>
      <c r="U426" s="200">
        <f>VLOOKUP(Table2[[#This Row],[Course Title]],'TSD-Data'!$A$1:$F$83,6,FALSE)</f>
        <v>40</v>
      </c>
      <c r="V426" s="201">
        <f>VLOOKUP(Table2[[#This Row],[Course Title]],'TSD-Data'!$A$1:$F$83,5,FALSE)</f>
        <v>5</v>
      </c>
      <c r="W426" s="201">
        <v>39</v>
      </c>
      <c r="X426" s="200">
        <f>Table2[[#This Row],[Quotas]]-Table2[[#This Row],[Open Quotas]]</f>
        <v>14</v>
      </c>
      <c r="Y426" s="200">
        <v>0</v>
      </c>
      <c r="Z426" s="201">
        <v>15</v>
      </c>
      <c r="AA426" s="201">
        <v>0</v>
      </c>
      <c r="AB426" s="200">
        <v>3</v>
      </c>
      <c r="AC426" s="200">
        <v>2</v>
      </c>
      <c r="AD426" s="200">
        <v>0</v>
      </c>
      <c r="AE426" s="200" t="s">
        <v>431</v>
      </c>
      <c r="AF426" s="495">
        <f ca="1">Table2[[#This Row],[End Date]]+2-TODAY()</f>
        <v>-64</v>
      </c>
      <c r="AG426" s="496">
        <f>IF(ISBLANK(Table2[[#This Row],[Roster Received by]]),1,0)</f>
        <v>0</v>
      </c>
      <c r="AH426" s="496">
        <f ca="1">IF(Table2[[#This Row],[Start Date]]&gt;TODAY(),1,)</f>
        <v>0</v>
      </c>
      <c r="AI426" s="496">
        <f>IF(ISBLANK(Table2[[#This Row],[Primary Instructor]]),0,1)</f>
        <v>1</v>
      </c>
      <c r="AJ426" s="496">
        <f>IF(ISBLANK(Table2[[#This Row],[Instructor 2]]),0,1)</f>
        <v>0</v>
      </c>
      <c r="AK426" s="496">
        <f>Table2[[#This Row],[Course Length (Hours)]]/(Table2[[#This Row],[1 Instructor]]+Table2[[#This Row],[2 Instructors]])</f>
        <v>40</v>
      </c>
      <c r="AL426" s="318">
        <v>11</v>
      </c>
      <c r="AM426" s="496">
        <v>3</v>
      </c>
      <c r="AN426" s="496" t="str">
        <f>VLOOKUP(Table2[[#This Row],[Course Title]],'TSD-Data'!$A$1:$G$83,7,FALSE)</f>
        <v>N5</v>
      </c>
      <c r="AO426" s="500">
        <f>Table2[[#This Row],[Quotas]]-Table2[[#This Row],[Graduates]]-Table2[[#This Row],[Fail]]</f>
        <v>10</v>
      </c>
    </row>
    <row r="427" spans="2:41" s="202" customFormat="1" ht="15" customHeight="1" x14ac:dyDescent="0.25">
      <c r="B427" s="530"/>
      <c r="C427" s="565" t="s">
        <v>271</v>
      </c>
      <c r="D427" s="200" t="str">
        <f>VLOOKUP(Table2[[#This Row],[Course Title]],'TSD-Data'!$A$1:$E$83,2,FALSE)</f>
        <v>A-493-0061</v>
      </c>
      <c r="E427" s="200" t="str">
        <f>VLOOKUP(Table2[[#This Row],[Course Title]],'TSD-Data'!$A$1:$E$83,3,FALSE)</f>
        <v>288E</v>
      </c>
      <c r="F427" s="538" t="s">
        <v>54</v>
      </c>
      <c r="G427" s="531">
        <v>46174</v>
      </c>
      <c r="H427" s="531">
        <v>46177</v>
      </c>
      <c r="I427" s="531" t="s">
        <v>42</v>
      </c>
      <c r="J427" s="532"/>
      <c r="K427" s="532">
        <v>0.79166666666666663</v>
      </c>
      <c r="L427" s="536">
        <v>0.66666666666666663</v>
      </c>
      <c r="M427" s="536">
        <v>8.3333333333333329E-2</v>
      </c>
      <c r="N427" s="536">
        <v>0</v>
      </c>
      <c r="O427" s="536">
        <v>0.54166666666666663</v>
      </c>
      <c r="P427" s="536">
        <v>0.33333333333333331</v>
      </c>
      <c r="Q427" s="535" t="s">
        <v>148</v>
      </c>
      <c r="R427" s="535"/>
      <c r="S427" s="535"/>
      <c r="T427" s="200">
        <f>VLOOKUP(Table2[[#This Row],[Course Title]],'TSD-Data'!$A$1:$E$83,4,FALSE)</f>
        <v>45</v>
      </c>
      <c r="U427" s="200">
        <f>VLOOKUP(Table2[[#This Row],[Course Title]],'TSD-Data'!$A$1:$F$83,6,FALSE)</f>
        <v>30</v>
      </c>
      <c r="V427" s="201">
        <f>VLOOKUP(Table2[[#This Row],[Course Title]],'TSD-Data'!$A$1:$F$83,5,FALSE)</f>
        <v>4</v>
      </c>
      <c r="W427" s="201">
        <v>187</v>
      </c>
      <c r="X427" s="200">
        <f>Table2[[#This Row],[Quotas]]-Table2[[#This Row],[Open Quotas]]</f>
        <v>29</v>
      </c>
      <c r="Y427" s="200">
        <v>0</v>
      </c>
      <c r="Z427" s="201">
        <v>24</v>
      </c>
      <c r="AA427" s="201">
        <v>0</v>
      </c>
      <c r="AB427" s="200">
        <v>7</v>
      </c>
      <c r="AC427" s="200">
        <v>0</v>
      </c>
      <c r="AD427" s="200">
        <v>0</v>
      </c>
      <c r="AE427" s="200" t="s">
        <v>431</v>
      </c>
      <c r="AF427" s="495">
        <f ca="1">Table2[[#This Row],[End Date]]+2-TODAY()</f>
        <v>-65</v>
      </c>
      <c r="AG427" s="496">
        <f>IF(ISBLANK(Table2[[#This Row],[Roster Received by]]),1,0)</f>
        <v>0</v>
      </c>
      <c r="AH427" s="496">
        <f ca="1">IF(Table2[[#This Row],[Start Date]]&gt;TODAY(),1,)</f>
        <v>0</v>
      </c>
      <c r="AI427" s="496">
        <f>IF(ISBLANK(Table2[[#This Row],[Primary Instructor]]),0,1)</f>
        <v>1</v>
      </c>
      <c r="AJ427" s="496">
        <f>IF(ISBLANK(Table2[[#This Row],[Instructor 2]]),0,1)</f>
        <v>0</v>
      </c>
      <c r="AK427" s="496">
        <f>Table2[[#This Row],[Course Length (Hours)]]/(Table2[[#This Row],[1 Instructor]]+Table2[[#This Row],[2 Instructors]])</f>
        <v>30</v>
      </c>
      <c r="AL427" s="318">
        <v>16</v>
      </c>
      <c r="AM427" s="496">
        <v>3</v>
      </c>
      <c r="AN427" s="496" t="str">
        <f>VLOOKUP(Table2[[#This Row],[Course Title]],'TSD-Data'!$A$1:$G$83,7,FALSE)</f>
        <v>N5</v>
      </c>
      <c r="AO427" s="500">
        <f>Table2[[#This Row],[Quotas]]-Table2[[#This Row],[Graduates]]-Table2[[#This Row],[Fail]]</f>
        <v>21</v>
      </c>
    </row>
    <row r="428" spans="2:41" s="202" customFormat="1" ht="15" customHeight="1" x14ac:dyDescent="0.25">
      <c r="B428" s="530"/>
      <c r="C428" s="565" t="s">
        <v>213</v>
      </c>
      <c r="D428" s="200" t="str">
        <f>VLOOKUP(Table2[[#This Row],[Course Title]],'TSD-Data'!$A$1:$E$83,2,FALSE)</f>
        <v>A-322-2604</v>
      </c>
      <c r="E428" s="200" t="str">
        <f>VLOOKUP(Table2[[#This Row],[Course Title]],'TSD-Data'!$A$1:$E$83,3,FALSE)</f>
        <v>10ZZ</v>
      </c>
      <c r="F428" s="530" t="s">
        <v>54</v>
      </c>
      <c r="G428" s="531">
        <v>46174</v>
      </c>
      <c r="H428" s="531">
        <v>46176</v>
      </c>
      <c r="I428" s="531" t="s">
        <v>42</v>
      </c>
      <c r="J428" s="532"/>
      <c r="K428" s="558">
        <v>0.5</v>
      </c>
      <c r="L428" s="536">
        <v>0.375</v>
      </c>
      <c r="M428" s="536">
        <v>0.79166666666666663</v>
      </c>
      <c r="N428" s="536">
        <v>0.75</v>
      </c>
      <c r="O428" s="536">
        <v>0.25</v>
      </c>
      <c r="P428" s="536">
        <v>4.1666666666666664E-2</v>
      </c>
      <c r="Q428" s="535" t="s">
        <v>432</v>
      </c>
      <c r="R428" s="535"/>
      <c r="S428" s="535"/>
      <c r="T428" s="200">
        <f>VLOOKUP(Table2[[#This Row],[Course Title]],'TSD-Data'!$A$1:$E$83,4,FALSE)</f>
        <v>45</v>
      </c>
      <c r="U428" s="200">
        <f>VLOOKUP(Table2[[#This Row],[Course Title]],'TSD-Data'!$A$1:$F$83,6,FALSE)</f>
        <v>24</v>
      </c>
      <c r="V428" s="201">
        <f>VLOOKUP(Table2[[#This Row],[Course Title]],'TSD-Data'!$A$1:$F$83,5,FALSE)</f>
        <v>3</v>
      </c>
      <c r="W428" s="201">
        <v>621</v>
      </c>
      <c r="X428" s="200">
        <f>Table2[[#This Row],[Quotas]]-Table2[[#This Row],[Open Quotas]]</f>
        <v>44</v>
      </c>
      <c r="Y428" s="200">
        <v>0</v>
      </c>
      <c r="Z428" s="201">
        <v>38</v>
      </c>
      <c r="AA428" s="201">
        <v>1</v>
      </c>
      <c r="AB428" s="200">
        <v>7</v>
      </c>
      <c r="AC428" s="200">
        <v>0</v>
      </c>
      <c r="AD428" s="200">
        <v>0</v>
      </c>
      <c r="AE428" s="200" t="s">
        <v>431</v>
      </c>
      <c r="AF428" s="495">
        <f ca="1">Table2[[#This Row],[End Date]]+2-TODAY()</f>
        <v>-66</v>
      </c>
      <c r="AG428" s="496">
        <f>IF(ISBLANK(Table2[[#This Row],[Roster Received by]]),1,0)</f>
        <v>0</v>
      </c>
      <c r="AH428" s="496">
        <f ca="1">IF(Table2[[#This Row],[Start Date]]&gt;TODAY(),1,)</f>
        <v>0</v>
      </c>
      <c r="AI428" s="496">
        <f>IF(ISBLANK(Table2[[#This Row],[Primary Instructor]]),0,1)</f>
        <v>1</v>
      </c>
      <c r="AJ428" s="496">
        <f>IF(ISBLANK(Table2[[#This Row],[Instructor 2]]),0,1)</f>
        <v>0</v>
      </c>
      <c r="AK428" s="496">
        <f>Table2[[#This Row],[Course Length (Hours)]]/(Table2[[#This Row],[1 Instructor]]+Table2[[#This Row],[2 Instructors]])</f>
        <v>24</v>
      </c>
      <c r="AL428" s="318">
        <v>1</v>
      </c>
      <c r="AM428" s="496">
        <v>3</v>
      </c>
      <c r="AN428" s="496" t="str">
        <f>VLOOKUP(Table2[[#This Row],[Course Title]],'TSD-Data'!$A$1:$G$83,7,FALSE)</f>
        <v>N8</v>
      </c>
      <c r="AO428" s="500">
        <f>Table2[[#This Row],[Quotas]]-Table2[[#This Row],[Graduates]]-Table2[[#This Row],[Fail]]</f>
        <v>6</v>
      </c>
    </row>
    <row r="429" spans="2:41" s="202" customFormat="1" ht="15" customHeight="1" x14ac:dyDescent="0.25">
      <c r="B429" s="530"/>
      <c r="C429" s="565" t="s">
        <v>252</v>
      </c>
      <c r="D429" s="200" t="str">
        <f>VLOOKUP(Table2[[#This Row],[Course Title]],'TSD-Data'!$A$1:$E$83,2,FALSE)</f>
        <v>A-493-0335</v>
      </c>
      <c r="E429" s="200" t="str">
        <f>VLOOKUP(Table2[[#This Row],[Course Title]],'TSD-Data'!$A$1:$E$83,3,FALSE)</f>
        <v>09ND</v>
      </c>
      <c r="F429" s="530" t="s">
        <v>54</v>
      </c>
      <c r="G429" s="531">
        <v>46174</v>
      </c>
      <c r="H429" s="531">
        <v>46177</v>
      </c>
      <c r="I429" s="531" t="s">
        <v>42</v>
      </c>
      <c r="J429" s="532"/>
      <c r="K429" s="534">
        <v>0.79166666666666663</v>
      </c>
      <c r="L429" s="536">
        <v>0.66666666666666663</v>
      </c>
      <c r="M429" s="536">
        <v>8.3333333333333329E-2</v>
      </c>
      <c r="N429" s="536">
        <v>0</v>
      </c>
      <c r="O429" s="536">
        <v>0.54166666666666663</v>
      </c>
      <c r="P429" s="536">
        <v>0.33333333333333331</v>
      </c>
      <c r="Q429" s="535" t="s">
        <v>111</v>
      </c>
      <c r="R429" s="535"/>
      <c r="S429" s="535"/>
      <c r="T429" s="200">
        <f>VLOOKUP(Table2[[#This Row],[Course Title]],'TSD-Data'!$A$1:$E$83,4,FALSE)</f>
        <v>45</v>
      </c>
      <c r="U429" s="200">
        <f>VLOOKUP(Table2[[#This Row],[Course Title]],'TSD-Data'!$A$1:$F$83,6,FALSE)</f>
        <v>32</v>
      </c>
      <c r="V429" s="201">
        <f>VLOOKUP(Table2[[#This Row],[Course Title]],'TSD-Data'!$A$1:$F$83,5,FALSE)</f>
        <v>4</v>
      </c>
      <c r="W429" s="201">
        <v>119</v>
      </c>
      <c r="X429" s="200">
        <f>Table2[[#This Row],[Quotas]]-Table2[[#This Row],[Open Quotas]]</f>
        <v>10</v>
      </c>
      <c r="Y429" s="200">
        <v>0</v>
      </c>
      <c r="Z429" s="201">
        <v>6</v>
      </c>
      <c r="AA429" s="201">
        <v>2</v>
      </c>
      <c r="AB429" s="200">
        <v>3</v>
      </c>
      <c r="AC429" s="200">
        <v>0</v>
      </c>
      <c r="AD429" s="200">
        <v>0</v>
      </c>
      <c r="AE429" s="200" t="s">
        <v>428</v>
      </c>
      <c r="AF429" s="495">
        <f ca="1">Table2[[#This Row],[End Date]]+2-TODAY()</f>
        <v>-65</v>
      </c>
      <c r="AG429" s="496">
        <f>IF(ISBLANK(Table2[[#This Row],[Roster Received by]]),1,0)</f>
        <v>0</v>
      </c>
      <c r="AH429" s="496">
        <f ca="1">IF(Table2[[#This Row],[Start Date]]&gt;TODAY(),1,)</f>
        <v>0</v>
      </c>
      <c r="AI429" s="496">
        <f>IF(ISBLANK(Table2[[#This Row],[Primary Instructor]]),0,1)</f>
        <v>1</v>
      </c>
      <c r="AJ429" s="496">
        <f>IF(ISBLANK(Table2[[#This Row],[Instructor 2]]),0,1)</f>
        <v>0</v>
      </c>
      <c r="AK429" s="496">
        <f>Table2[[#This Row],[Course Length (Hours)]]/(Table2[[#This Row],[1 Instructor]]+Table2[[#This Row],[2 Instructors]])</f>
        <v>32</v>
      </c>
      <c r="AL429" s="318">
        <v>35</v>
      </c>
      <c r="AM429" s="496">
        <v>3</v>
      </c>
      <c r="AN429" s="496" t="str">
        <f>VLOOKUP(Table2[[#This Row],[Course Title]],'TSD-Data'!$A$1:$G$83,7,FALSE)</f>
        <v>N3</v>
      </c>
      <c r="AO429" s="500">
        <f>Table2[[#This Row],[Quotas]]-Table2[[#This Row],[Graduates]]-Table2[[#This Row],[Fail]]</f>
        <v>37</v>
      </c>
    </row>
    <row r="430" spans="2:41" s="202" customFormat="1" ht="15" customHeight="1" x14ac:dyDescent="0.25">
      <c r="B430" s="530"/>
      <c r="C430" s="565" t="s">
        <v>236</v>
      </c>
      <c r="D430" s="200" t="str">
        <f>VLOOKUP(Table2[[#This Row],[Course Title]],'TSD-Data'!$A$1:$E$83,2,FALSE)</f>
        <v>A-493-2098</v>
      </c>
      <c r="E430" s="200" t="str">
        <f>VLOOKUP(Table2[[#This Row],[Course Title]],'TSD-Data'!$A$1:$E$83,3,FALSE)</f>
        <v>09WW</v>
      </c>
      <c r="F430" s="530" t="s">
        <v>54</v>
      </c>
      <c r="G430" s="531">
        <v>46174</v>
      </c>
      <c r="H430" s="531">
        <v>46176</v>
      </c>
      <c r="I430" s="531" t="s">
        <v>42</v>
      </c>
      <c r="J430" s="532"/>
      <c r="K430" s="534">
        <v>0.5</v>
      </c>
      <c r="L430" s="536">
        <v>0.375</v>
      </c>
      <c r="M430" s="536">
        <v>0.79166666666666663</v>
      </c>
      <c r="N430" s="536">
        <v>0.75</v>
      </c>
      <c r="O430" s="536">
        <v>0.25</v>
      </c>
      <c r="P430" s="536">
        <v>4.1666666666666664E-2</v>
      </c>
      <c r="Q430" s="535" t="s">
        <v>43</v>
      </c>
      <c r="R430" s="535" t="s">
        <v>484</v>
      </c>
      <c r="S430" s="535"/>
      <c r="T430" s="200">
        <f>VLOOKUP(Table2[[#This Row],[Course Title]],'TSD-Data'!$A$1:$E$83,4,FALSE)</f>
        <v>100</v>
      </c>
      <c r="U430" s="200">
        <f>VLOOKUP(Table2[[#This Row],[Course Title]],'TSD-Data'!$A$1:$F$83,6,FALSE)</f>
        <v>16</v>
      </c>
      <c r="V430" s="201">
        <f>VLOOKUP(Table2[[#This Row],[Course Title]],'TSD-Data'!$A$1:$F$83,5,FALSE)</f>
        <v>3</v>
      </c>
      <c r="W430" s="201">
        <v>1882</v>
      </c>
      <c r="X430" s="200">
        <f>Table2[[#This Row],[Quotas]]-Table2[[#This Row],[Open Quotas]]</f>
        <v>97</v>
      </c>
      <c r="Y430" s="200">
        <v>0</v>
      </c>
      <c r="Z430" s="201">
        <v>78</v>
      </c>
      <c r="AA430" s="201">
        <v>2</v>
      </c>
      <c r="AB430" s="200">
        <v>19</v>
      </c>
      <c r="AC430" s="200">
        <v>0</v>
      </c>
      <c r="AD430" s="200">
        <v>0</v>
      </c>
      <c r="AE430" s="200" t="s">
        <v>428</v>
      </c>
      <c r="AF430" s="495">
        <f ca="1">Table2[[#This Row],[End Date]]+2-TODAY()</f>
        <v>-66</v>
      </c>
      <c r="AG430" s="496">
        <f>IF(ISBLANK(Table2[[#This Row],[Roster Received by]]),1,0)</f>
        <v>0</v>
      </c>
      <c r="AH430" s="496">
        <f ca="1">IF(Table2[[#This Row],[Start Date]]&gt;TODAY(),1,)</f>
        <v>0</v>
      </c>
      <c r="AI430" s="496">
        <f>IF(ISBLANK(Table2[[#This Row],[Primary Instructor]]),0,1)</f>
        <v>1</v>
      </c>
      <c r="AJ430" s="496">
        <f>IF(ISBLANK(Table2[[#This Row],[Instructor 2]]),0,1)</f>
        <v>1</v>
      </c>
      <c r="AK430" s="496">
        <f>Table2[[#This Row],[Course Length (Hours)]]/(Table2[[#This Row],[1 Instructor]]+Table2[[#This Row],[2 Instructors]])</f>
        <v>8</v>
      </c>
      <c r="AL430" s="318">
        <v>3</v>
      </c>
      <c r="AM430" s="496">
        <v>3</v>
      </c>
      <c r="AN430" s="496" t="str">
        <f>VLOOKUP(Table2[[#This Row],[Course Title]],'TSD-Data'!$A$1:$G$83,7,FALSE)</f>
        <v>N8</v>
      </c>
      <c r="AO430" s="500">
        <f>Table2[[#This Row],[Quotas]]-Table2[[#This Row],[Graduates]]-Table2[[#This Row],[Fail]]</f>
        <v>20</v>
      </c>
    </row>
    <row r="431" spans="2:41" s="202" customFormat="1" ht="15" customHeight="1" x14ac:dyDescent="0.25">
      <c r="B431" s="530"/>
      <c r="C431" s="565" t="s">
        <v>200</v>
      </c>
      <c r="D431" s="200" t="str">
        <f>VLOOKUP(Table2[[#This Row],[Course Title]],'TSD-Data'!$A$1:$E$83,2,FALSE)</f>
        <v>A-493-0665</v>
      </c>
      <c r="E431" s="200" t="str">
        <f>VLOOKUP(Table2[[#This Row],[Course Title]],'TSD-Data'!$A$1:$E$83,3,FALSE)</f>
        <v>10KW</v>
      </c>
      <c r="F431" s="530" t="s">
        <v>54</v>
      </c>
      <c r="G431" s="531">
        <v>46181</v>
      </c>
      <c r="H431" s="531">
        <v>46183</v>
      </c>
      <c r="I431" s="531" t="s">
        <v>42</v>
      </c>
      <c r="J431" s="532"/>
      <c r="K431" s="532">
        <v>0.79166666666666663</v>
      </c>
      <c r="L431" s="536">
        <v>0.66666666666666663</v>
      </c>
      <c r="M431" s="536">
        <v>8.3333333333333329E-2</v>
      </c>
      <c r="N431" s="536">
        <v>0</v>
      </c>
      <c r="O431" s="536">
        <v>0.54166666666666663</v>
      </c>
      <c r="P431" s="536">
        <v>0.33333333333333331</v>
      </c>
      <c r="Q431" s="535" t="s">
        <v>466</v>
      </c>
      <c r="R431" s="535"/>
      <c r="S431" s="535"/>
      <c r="T431" s="200">
        <f>VLOOKUP(Table2[[#This Row],[Course Title]],'TSD-Data'!$A$1:$E$83,4,FALSE)</f>
        <v>45</v>
      </c>
      <c r="U431" s="200">
        <f>VLOOKUP(Table2[[#This Row],[Course Title]],'TSD-Data'!$A$1:$F$83,6,FALSE)</f>
        <v>24</v>
      </c>
      <c r="V431" s="201">
        <f>VLOOKUP(Table2[[#This Row],[Course Title]],'TSD-Data'!$A$1:$F$83,5,FALSE)</f>
        <v>3</v>
      </c>
      <c r="W431" s="201">
        <v>82</v>
      </c>
      <c r="X431" s="200">
        <f>Table2[[#This Row],[Quotas]]-Table2[[#This Row],[Open Quotas]]</f>
        <v>35</v>
      </c>
      <c r="Y431" s="200">
        <v>0</v>
      </c>
      <c r="Z431" s="201">
        <v>23</v>
      </c>
      <c r="AA431" s="201">
        <v>9</v>
      </c>
      <c r="AB431" s="200">
        <v>2</v>
      </c>
      <c r="AC431" s="200">
        <v>0</v>
      </c>
      <c r="AD431" s="200">
        <v>0</v>
      </c>
      <c r="AE431" s="200" t="s">
        <v>442</v>
      </c>
      <c r="AF431" s="495">
        <f ca="1">Table2[[#This Row],[End Date]]+2-TODAY()</f>
        <v>-59</v>
      </c>
      <c r="AG431" s="496">
        <f>IF(ISBLANK(Table2[[#This Row],[Roster Received by]]),1,0)</f>
        <v>0</v>
      </c>
      <c r="AH431" s="496">
        <f ca="1">IF(Table2[[#This Row],[Start Date]]&gt;TODAY(),1,)</f>
        <v>0</v>
      </c>
      <c r="AI431" s="496">
        <f>IF(ISBLANK(Table2[[#This Row],[Primary Instructor]]),0,1)</f>
        <v>1</v>
      </c>
      <c r="AJ431" s="496">
        <f>IF(ISBLANK(Table2[[#This Row],[Instructor 2]]),0,1)</f>
        <v>0</v>
      </c>
      <c r="AK431" s="496">
        <f>Table2[[#This Row],[Course Length (Hours)]]/(Table2[[#This Row],[1 Instructor]]+Table2[[#This Row],[2 Instructors]])</f>
        <v>24</v>
      </c>
      <c r="AL431" s="318">
        <v>10</v>
      </c>
      <c r="AM431" s="496">
        <v>3</v>
      </c>
      <c r="AN431" s="496" t="str">
        <f>VLOOKUP(Table2[[#This Row],[Course Title]],'TSD-Data'!$A$1:$G$83,7,FALSE)</f>
        <v>N8</v>
      </c>
      <c r="AO431" s="500">
        <f>Table2[[#This Row],[Quotas]]-Table2[[#This Row],[Graduates]]-Table2[[#This Row],[Fail]]</f>
        <v>13</v>
      </c>
    </row>
    <row r="432" spans="2:41" ht="15" customHeight="1" x14ac:dyDescent="0.25">
      <c r="B432" s="530"/>
      <c r="C432" s="565" t="s">
        <v>276</v>
      </c>
      <c r="D432" s="200" t="str">
        <f>VLOOKUP(Table2[[#This Row],[Course Title]],'TSD-Data'!$A$1:$E$83,2,FALSE)</f>
        <v>A-493-0103</v>
      </c>
      <c r="E432" s="200" t="str">
        <f>VLOOKUP(Table2[[#This Row],[Course Title]],'TSD-Data'!$A$1:$E$83,3,FALSE)</f>
        <v>12JY</v>
      </c>
      <c r="F432" s="530" t="s">
        <v>61</v>
      </c>
      <c r="G432" s="531">
        <v>46181</v>
      </c>
      <c r="H432" s="531">
        <v>46185</v>
      </c>
      <c r="I432" s="531" t="s">
        <v>42</v>
      </c>
      <c r="J432" s="532">
        <v>0.33333333333333331</v>
      </c>
      <c r="K432" s="532"/>
      <c r="L432" s="531"/>
      <c r="M432" s="531"/>
      <c r="N432" s="531"/>
      <c r="O432" s="531"/>
      <c r="P432" s="531"/>
      <c r="Q432" s="535" t="s">
        <v>280</v>
      </c>
      <c r="R432" s="535"/>
      <c r="S432" s="535"/>
      <c r="T432" s="200">
        <f>VLOOKUP(Table2[[#This Row],[Course Title]],'TSD-Data'!$A$1:$E$83,4,FALSE)</f>
        <v>25</v>
      </c>
      <c r="U432" s="200">
        <f>VLOOKUP(Table2[[#This Row],[Course Title]],'TSD-Data'!$A$1:$F$83,6,FALSE)</f>
        <v>40</v>
      </c>
      <c r="V432" s="201">
        <f>VLOOKUP(Table2[[#This Row],[Course Title]],'TSD-Data'!$A$1:$F$83,5,FALSE)</f>
        <v>5</v>
      </c>
      <c r="W432" s="201">
        <v>512</v>
      </c>
      <c r="X432" s="200">
        <f>Table2[[#This Row],[Quotas]]-Table2[[#This Row],[Open Quotas]]</f>
        <v>23</v>
      </c>
      <c r="Y432" s="200">
        <v>1</v>
      </c>
      <c r="Z432" s="201">
        <v>24</v>
      </c>
      <c r="AA432" s="201">
        <v>0</v>
      </c>
      <c r="AB432" s="200">
        <v>3</v>
      </c>
      <c r="AC432" s="200">
        <v>1</v>
      </c>
      <c r="AD432" s="200">
        <v>0</v>
      </c>
      <c r="AE432" s="200" t="s">
        <v>431</v>
      </c>
      <c r="AF432" s="495">
        <f ca="1">Table2[[#This Row],[End Date]]+2-TODAY()</f>
        <v>-57</v>
      </c>
      <c r="AG432" s="496">
        <f>IF(ISBLANK(Table2[[#This Row],[Roster Received by]]),1,0)</f>
        <v>0</v>
      </c>
      <c r="AH432" s="496">
        <f ca="1">IF(Table2[[#This Row],[Start Date]]&gt;TODAY(),1,)</f>
        <v>0</v>
      </c>
      <c r="AI432" s="496">
        <f>IF(ISBLANK(Table2[[#This Row],[Primary Instructor]]),0,1)</f>
        <v>1</v>
      </c>
      <c r="AJ432" s="496">
        <f>IF(ISBLANK(Table2[[#This Row],[Instructor 2]]),0,1)</f>
        <v>0</v>
      </c>
      <c r="AK432" s="496">
        <f>Table2[[#This Row],[Course Length (Hours)]]/(Table2[[#This Row],[1 Instructor]]+Table2[[#This Row],[2 Instructors]])</f>
        <v>40</v>
      </c>
      <c r="AL432" s="318">
        <v>2</v>
      </c>
      <c r="AM432" s="496">
        <v>3</v>
      </c>
      <c r="AN432" s="496" t="str">
        <f>VLOOKUP(Table2[[#This Row],[Course Title]],'TSD-Data'!$A$1:$G$83,7,FALSE)</f>
        <v>N5</v>
      </c>
      <c r="AO432" s="500">
        <f>Table2[[#This Row],[Quotas]]-Table2[[#This Row],[Graduates]]-Table2[[#This Row],[Fail]]</f>
        <v>1</v>
      </c>
    </row>
    <row r="433" spans="2:41" s="202" customFormat="1" ht="15" customHeight="1" x14ac:dyDescent="0.25">
      <c r="B433" s="530"/>
      <c r="C433" s="565" t="s">
        <v>276</v>
      </c>
      <c r="D433" s="200" t="str">
        <f>VLOOKUP(Table2[[#This Row],[Course Title]],'TSD-Data'!$A$1:$E$83,2,FALSE)</f>
        <v>A-493-0103</v>
      </c>
      <c r="E433" s="200" t="str">
        <f>VLOOKUP(Table2[[#This Row],[Course Title]],'TSD-Data'!$A$1:$E$83,3,FALSE)</f>
        <v>12JY</v>
      </c>
      <c r="F433" s="530" t="s">
        <v>359</v>
      </c>
      <c r="G433" s="531">
        <v>46181</v>
      </c>
      <c r="H433" s="531">
        <v>46185</v>
      </c>
      <c r="I433" s="531" t="s">
        <v>42</v>
      </c>
      <c r="J433" s="532">
        <v>0.33333333333333331</v>
      </c>
      <c r="K433" s="532"/>
      <c r="L433" s="531"/>
      <c r="M433" s="531"/>
      <c r="N433" s="531"/>
      <c r="O433" s="531"/>
      <c r="P433" s="531"/>
      <c r="Q433" s="535" t="s">
        <v>280</v>
      </c>
      <c r="R433" s="535"/>
      <c r="S433" s="535"/>
      <c r="T433" s="200">
        <f>VLOOKUP(Table2[[#This Row],[Course Title]],'TSD-Data'!$A$1:$E$83,4,FALSE)</f>
        <v>25</v>
      </c>
      <c r="U433" s="200">
        <f>VLOOKUP(Table2[[#This Row],[Course Title]],'TSD-Data'!$A$1:$F$83,6,FALSE)</f>
        <v>40</v>
      </c>
      <c r="V433" s="201">
        <f>VLOOKUP(Table2[[#This Row],[Course Title]],'TSD-Data'!$A$1:$F$83,5,FALSE)</f>
        <v>5</v>
      </c>
      <c r="W433" s="201"/>
      <c r="X433" s="200">
        <f>Table2[[#This Row],[Quotas]]-Table2[[#This Row],[Open Quotas]]</f>
        <v>10</v>
      </c>
      <c r="Y433" s="200">
        <v>0</v>
      </c>
      <c r="Z433" s="201">
        <v>6</v>
      </c>
      <c r="AA433" s="201">
        <v>0</v>
      </c>
      <c r="AB433" s="200">
        <v>5</v>
      </c>
      <c r="AC433" s="200">
        <v>0</v>
      </c>
      <c r="AD433" s="200">
        <v>0</v>
      </c>
      <c r="AE433" s="200" t="s">
        <v>431</v>
      </c>
      <c r="AF433" s="495">
        <f ca="1">Table2[[#This Row],[End Date]]+2-TODAY()</f>
        <v>-57</v>
      </c>
      <c r="AG433" s="496">
        <f>IF(ISBLANK(Table2[[#This Row],[Roster Received by]]),1,0)</f>
        <v>0</v>
      </c>
      <c r="AH433" s="496">
        <f ca="1">IF(Table2[[#This Row],[Start Date]]&gt;TODAY(),1,)</f>
        <v>0</v>
      </c>
      <c r="AI433" s="496">
        <f>IF(ISBLANK(Table2[[#This Row],[Primary Instructor]]),0,1)</f>
        <v>1</v>
      </c>
      <c r="AJ433" s="496">
        <f>IF(ISBLANK(Table2[[#This Row],[Instructor 2]]),0,1)</f>
        <v>0</v>
      </c>
      <c r="AK433" s="496">
        <f>Table2[[#This Row],[Course Length (Hours)]]/(Table2[[#This Row],[1 Instructor]]+Table2[[#This Row],[2 Instructors]])</f>
        <v>40</v>
      </c>
      <c r="AL433" s="318">
        <v>15</v>
      </c>
      <c r="AM433" s="496">
        <v>3</v>
      </c>
      <c r="AN433" s="496" t="str">
        <f>VLOOKUP(Table2[[#This Row],[Course Title]],'TSD-Data'!$A$1:$G$83,7,FALSE)</f>
        <v>N5</v>
      </c>
      <c r="AO433" s="500">
        <f>Table2[[#This Row],[Quotas]]-Table2[[#This Row],[Graduates]]-Table2[[#This Row],[Fail]]</f>
        <v>19</v>
      </c>
    </row>
    <row r="434" spans="2:41" s="202" customFormat="1" ht="15" customHeight="1" x14ac:dyDescent="0.25">
      <c r="B434" s="530"/>
      <c r="C434" s="530" t="s">
        <v>229</v>
      </c>
      <c r="D434" s="200" t="str">
        <f>VLOOKUP(Table2[[#This Row],[Course Title]],'TSD-Data'!$A$1:$E$83,2,FALSE)</f>
        <v>A-570-0100</v>
      </c>
      <c r="E434" s="200" t="str">
        <f>VLOOKUP(Table2[[#This Row],[Course Title]],'TSD-Data'!$A$1:$E$83,3,FALSE)</f>
        <v>18B7</v>
      </c>
      <c r="F434" s="530" t="s">
        <v>54</v>
      </c>
      <c r="G434" s="531">
        <v>46181</v>
      </c>
      <c r="H434" s="531">
        <v>46182</v>
      </c>
      <c r="I434" s="531" t="s">
        <v>42</v>
      </c>
      <c r="J434" s="532"/>
      <c r="K434" s="532">
        <v>0.5</v>
      </c>
      <c r="L434" s="536">
        <v>0.375</v>
      </c>
      <c r="M434" s="536">
        <v>0.79166666666666663</v>
      </c>
      <c r="N434" s="536">
        <v>0.75</v>
      </c>
      <c r="O434" s="536">
        <v>0.25</v>
      </c>
      <c r="P434" s="536">
        <v>4.1666666666666664E-2</v>
      </c>
      <c r="Q434" s="535" t="s">
        <v>432</v>
      </c>
      <c r="R434" s="535" t="s">
        <v>462</v>
      </c>
      <c r="S434" s="535"/>
      <c r="T434" s="200">
        <f>VLOOKUP(Table2[[#This Row],[Course Title]],'TSD-Data'!$A$1:$E$83,4,FALSE)</f>
        <v>45</v>
      </c>
      <c r="U434" s="200">
        <f>VLOOKUP(Table2[[#This Row],[Course Title]],'TSD-Data'!$A$1:$F$83,6,FALSE)</f>
        <v>16</v>
      </c>
      <c r="V434" s="201">
        <f>VLOOKUP(Table2[[#This Row],[Course Title]],'TSD-Data'!$A$1:$F$83,5,FALSE)</f>
        <v>2</v>
      </c>
      <c r="W434" s="201">
        <v>663</v>
      </c>
      <c r="X434" s="200">
        <f>Table2[[#This Row],[Quotas]]-Table2[[#This Row],[Open Quotas]]</f>
        <v>30</v>
      </c>
      <c r="Y434" s="200">
        <v>0</v>
      </c>
      <c r="Z434" s="201">
        <v>17</v>
      </c>
      <c r="AA434" s="201">
        <v>0</v>
      </c>
      <c r="AB434" s="200">
        <v>14</v>
      </c>
      <c r="AC434" s="200">
        <v>0</v>
      </c>
      <c r="AD434" s="200">
        <v>0</v>
      </c>
      <c r="AE434" s="200" t="s">
        <v>442</v>
      </c>
      <c r="AF434" s="495">
        <f ca="1">Table2[[#This Row],[End Date]]+2-TODAY()</f>
        <v>-60</v>
      </c>
      <c r="AG434" s="496">
        <f>IF(ISBLANK(Table2[[#This Row],[Roster Received by]]),1,0)</f>
        <v>0</v>
      </c>
      <c r="AH434" s="496">
        <f ca="1">IF(Table2[[#This Row],[Start Date]]&gt;TODAY(),1,)</f>
        <v>0</v>
      </c>
      <c r="AI434" s="496">
        <f>IF(ISBLANK(Table2[[#This Row],[Primary Instructor]]),0,1)</f>
        <v>1</v>
      </c>
      <c r="AJ434" s="496">
        <f>IF(ISBLANK(Table2[[#This Row],[Instructor 2]]),0,1)</f>
        <v>1</v>
      </c>
      <c r="AK434" s="496">
        <f>Table2[[#This Row],[Course Length (Hours)]]/(Table2[[#This Row],[1 Instructor]]+Table2[[#This Row],[2 Instructors]])</f>
        <v>8</v>
      </c>
      <c r="AL434" s="318">
        <v>15</v>
      </c>
      <c r="AM434" s="496">
        <v>3</v>
      </c>
      <c r="AN434" s="496" t="str">
        <f>VLOOKUP(Table2[[#This Row],[Course Title]],'TSD-Data'!$A$1:$G$83,7,FALSE)</f>
        <v>N8</v>
      </c>
      <c r="AO434" s="500">
        <f>Table2[[#This Row],[Quotas]]-Table2[[#This Row],[Graduates]]-Table2[[#This Row],[Fail]]</f>
        <v>28</v>
      </c>
    </row>
    <row r="435" spans="2:41" s="202" customFormat="1" ht="15" customHeight="1" x14ac:dyDescent="0.25">
      <c r="B435" s="530"/>
      <c r="C435" s="530" t="s">
        <v>77</v>
      </c>
      <c r="D435" s="200" t="str">
        <f>VLOOKUP(Table2[[#This Row],[Course Title]],'TSD-Data'!$A$1:$E$83,2,FALSE)</f>
        <v>A-493-0072</v>
      </c>
      <c r="E435" s="200" t="str">
        <f>VLOOKUP(Table2[[#This Row],[Course Title]],'TSD-Data'!$A$1:$E$83,3,FALSE)</f>
        <v>713U</v>
      </c>
      <c r="F435" s="530" t="s">
        <v>130</v>
      </c>
      <c r="G435" s="531">
        <v>46181</v>
      </c>
      <c r="H435" s="531">
        <v>46185</v>
      </c>
      <c r="I435" s="531" t="s">
        <v>42</v>
      </c>
      <c r="J435" s="532">
        <v>0.33333333333333331</v>
      </c>
      <c r="K435" s="532"/>
      <c r="L435" s="531"/>
      <c r="M435" s="531"/>
      <c r="N435" s="531"/>
      <c r="O435" s="531"/>
      <c r="P435" s="531"/>
      <c r="Q435" s="535" t="s">
        <v>295</v>
      </c>
      <c r="R435" s="535" t="s">
        <v>55</v>
      </c>
      <c r="S435" s="535"/>
      <c r="T435" s="200">
        <f>VLOOKUP(Table2[[#This Row],[Course Title]],'TSD-Data'!$A$1:$E$83,4,FALSE)</f>
        <v>30</v>
      </c>
      <c r="U435" s="200">
        <f>VLOOKUP(Table2[[#This Row],[Course Title]],'TSD-Data'!$A$1:$F$83,6,FALSE)</f>
        <v>40</v>
      </c>
      <c r="V435" s="201">
        <f>VLOOKUP(Table2[[#This Row],[Course Title]],'TSD-Data'!$A$1:$F$83,5,FALSE)</f>
        <v>5</v>
      </c>
      <c r="W435" s="201">
        <v>178</v>
      </c>
      <c r="X435" s="200">
        <f>Table2[[#This Row],[Quotas]]-Table2[[#This Row],[Open Quotas]]</f>
        <v>27</v>
      </c>
      <c r="Y435" s="200">
        <v>0</v>
      </c>
      <c r="Z435" s="201">
        <v>25</v>
      </c>
      <c r="AA435" s="201">
        <v>0</v>
      </c>
      <c r="AB435" s="200">
        <v>6</v>
      </c>
      <c r="AC435" s="200">
        <v>2</v>
      </c>
      <c r="AD435" s="200">
        <v>0</v>
      </c>
      <c r="AE435" s="200" t="s">
        <v>431</v>
      </c>
      <c r="AF435" s="495">
        <f ca="1">Table2[[#This Row],[End Date]]+2-TODAY()</f>
        <v>-57</v>
      </c>
      <c r="AG435" s="496">
        <f>IF(ISBLANK(Table2[[#This Row],[Roster Received by]]),1,0)</f>
        <v>0</v>
      </c>
      <c r="AH435" s="496">
        <f ca="1">IF(Table2[[#This Row],[Start Date]]&gt;TODAY(),1,)</f>
        <v>0</v>
      </c>
      <c r="AI435" s="496">
        <f>IF(ISBLANK(Table2[[#This Row],[Primary Instructor]]),0,1)</f>
        <v>1</v>
      </c>
      <c r="AJ435" s="496">
        <f>IF(ISBLANK(Table2[[#This Row],[Instructor 2]]),0,1)</f>
        <v>1</v>
      </c>
      <c r="AK435" s="496">
        <f>Table2[[#This Row],[Course Length (Hours)]]/(Table2[[#This Row],[1 Instructor]]+Table2[[#This Row],[2 Instructors]])</f>
        <v>20</v>
      </c>
      <c r="AL435" s="318">
        <v>3</v>
      </c>
      <c r="AM435" s="496">
        <v>3</v>
      </c>
      <c r="AN435" s="496" t="str">
        <f>VLOOKUP(Table2[[#This Row],[Course Title]],'TSD-Data'!$A$1:$G$83,7,FALSE)</f>
        <v>N3</v>
      </c>
      <c r="AO435" s="500">
        <f>Table2[[#This Row],[Quotas]]-Table2[[#This Row],[Graduates]]-Table2[[#This Row],[Fail]]</f>
        <v>5</v>
      </c>
    </row>
    <row r="436" spans="2:41" s="202" customFormat="1" ht="15" customHeight="1" x14ac:dyDescent="0.25">
      <c r="B436" s="530"/>
      <c r="C436" s="542" t="s">
        <v>249</v>
      </c>
      <c r="D436" s="200" t="str">
        <f>VLOOKUP(Table2[[#This Row],[Course Title]],'TSD-Data'!$A$1:$E$83,2,FALSE)</f>
        <v>A-493-0331</v>
      </c>
      <c r="E436" s="200" t="str">
        <f>VLOOKUP(Table2[[#This Row],[Course Title]],'TSD-Data'!$A$1:$E$83,3,FALSE)</f>
        <v>10UG</v>
      </c>
      <c r="F436" s="530" t="s">
        <v>54</v>
      </c>
      <c r="G436" s="531">
        <v>46182</v>
      </c>
      <c r="H436" s="531">
        <v>46184</v>
      </c>
      <c r="I436" s="531" t="s">
        <v>42</v>
      </c>
      <c r="J436" s="532"/>
      <c r="K436" s="532">
        <v>0.33333333333333331</v>
      </c>
      <c r="L436" s="532">
        <v>0.20833333333333334</v>
      </c>
      <c r="M436" s="532">
        <v>0.625</v>
      </c>
      <c r="N436" s="532">
        <v>0.54166666666666663</v>
      </c>
      <c r="O436" s="532">
        <v>8.3333333333333329E-2</v>
      </c>
      <c r="P436" s="532">
        <v>0.875</v>
      </c>
      <c r="Q436" s="535" t="s">
        <v>111</v>
      </c>
      <c r="R436" s="535"/>
      <c r="S436" s="535"/>
      <c r="T436" s="200">
        <f>VLOOKUP(Table2[[#This Row],[Course Title]],'TSD-Data'!$A$1:$E$83,4,FALSE)</f>
        <v>45</v>
      </c>
      <c r="U436" s="200">
        <f>VLOOKUP(Table2[[#This Row],[Course Title]],'TSD-Data'!$A$1:$F$83,6,FALSE)</f>
        <v>24</v>
      </c>
      <c r="V436" s="201">
        <f>VLOOKUP(Table2[[#This Row],[Course Title]],'TSD-Data'!$A$1:$F$83,5,FALSE)</f>
        <v>3</v>
      </c>
      <c r="W436" s="201">
        <v>470</v>
      </c>
      <c r="X436" s="200">
        <f>Table2[[#This Row],[Quotas]]-Table2[[#This Row],[Open Quotas]]</f>
        <v>45</v>
      </c>
      <c r="Y436" s="200">
        <v>0</v>
      </c>
      <c r="Z436" s="201">
        <v>42</v>
      </c>
      <c r="AA436" s="201">
        <v>0</v>
      </c>
      <c r="AB436" s="200">
        <v>4</v>
      </c>
      <c r="AC436" s="200">
        <v>0</v>
      </c>
      <c r="AD436" s="200">
        <v>0</v>
      </c>
      <c r="AE436" s="200" t="s">
        <v>431</v>
      </c>
      <c r="AF436" s="495">
        <f ca="1">Table2[[#This Row],[End Date]]+2-TODAY()</f>
        <v>-58</v>
      </c>
      <c r="AG436" s="496">
        <f>IF(ISBLANK(Table2[[#This Row],[Roster Received by]]),1,0)</f>
        <v>0</v>
      </c>
      <c r="AH436" s="496">
        <f ca="1">IF(Table2[[#This Row],[Start Date]]&gt;TODAY(),1,)</f>
        <v>0</v>
      </c>
      <c r="AI436" s="496">
        <f>IF(ISBLANK(Table2[[#This Row],[Primary Instructor]]),0,1)</f>
        <v>1</v>
      </c>
      <c r="AJ436" s="496">
        <f>IF(ISBLANK(Table2[[#This Row],[Instructor 2]]),0,1)</f>
        <v>0</v>
      </c>
      <c r="AK436" s="496">
        <f>Table2[[#This Row],[Course Length (Hours)]]/(Table2[[#This Row],[1 Instructor]]+Table2[[#This Row],[2 Instructors]])</f>
        <v>24</v>
      </c>
      <c r="AL436" s="318">
        <v>0</v>
      </c>
      <c r="AM436" s="496">
        <v>3</v>
      </c>
      <c r="AN436" s="496" t="str">
        <f>VLOOKUP(Table2[[#This Row],[Course Title]],'TSD-Data'!$A$1:$G$83,7,FALSE)</f>
        <v>N3</v>
      </c>
      <c r="AO436" s="500">
        <f>Table2[[#This Row],[Quotas]]-Table2[[#This Row],[Graduates]]-Table2[[#This Row],[Fail]]</f>
        <v>3</v>
      </c>
    </row>
    <row r="437" spans="2:41" s="202" customFormat="1" ht="15" customHeight="1" x14ac:dyDescent="0.25">
      <c r="B437" s="530"/>
      <c r="C437" s="530" t="s">
        <v>276</v>
      </c>
      <c r="D437" s="200" t="str">
        <f>VLOOKUP(Table2[[#This Row],[Course Title]],'TSD-Data'!$A$1:$E$83,2,FALSE)</f>
        <v>A-493-0103</v>
      </c>
      <c r="E437" s="200" t="str">
        <f>VLOOKUP(Table2[[#This Row],[Course Title]],'TSD-Data'!$A$1:$E$83,3,FALSE)</f>
        <v>12JY</v>
      </c>
      <c r="F437" s="550" t="s">
        <v>121</v>
      </c>
      <c r="G437" s="531">
        <v>46188</v>
      </c>
      <c r="H437" s="531">
        <v>46192</v>
      </c>
      <c r="I437" s="531" t="s">
        <v>42</v>
      </c>
      <c r="J437" s="532">
        <v>0.33333333333333331</v>
      </c>
      <c r="K437" s="532"/>
      <c r="L437" s="531"/>
      <c r="M437" s="531"/>
      <c r="N437" s="531"/>
      <c r="O437" s="531"/>
      <c r="P437" s="531"/>
      <c r="Q437" s="535" t="s">
        <v>280</v>
      </c>
      <c r="R437" s="535"/>
      <c r="S437" s="535"/>
      <c r="T437" s="200">
        <f>VLOOKUP(Table2[[#This Row],[Course Title]],'TSD-Data'!$A$1:$E$83,4,FALSE)</f>
        <v>25</v>
      </c>
      <c r="U437" s="200">
        <f>VLOOKUP(Table2[[#This Row],[Course Title]],'TSD-Data'!$A$1:$F$83,6,FALSE)</f>
        <v>40</v>
      </c>
      <c r="V437" s="201">
        <f>VLOOKUP(Table2[[#This Row],[Course Title]],'TSD-Data'!$A$1:$F$83,5,FALSE)</f>
        <v>5</v>
      </c>
      <c r="W437" s="201">
        <v>225</v>
      </c>
      <c r="X437" s="200">
        <f>Table2[[#This Row],[Quotas]]-Table2[[#This Row],[Open Quotas]]</f>
        <v>25</v>
      </c>
      <c r="Y437" s="200">
        <v>0</v>
      </c>
      <c r="Z437" s="201">
        <v>20</v>
      </c>
      <c r="AA437" s="201">
        <v>0</v>
      </c>
      <c r="AB437" s="200">
        <v>6</v>
      </c>
      <c r="AC437" s="200">
        <v>2</v>
      </c>
      <c r="AD437" s="200">
        <v>0</v>
      </c>
      <c r="AE437" s="200" t="s">
        <v>431</v>
      </c>
      <c r="AF437" s="495">
        <f ca="1">Table2[[#This Row],[End Date]]+2-TODAY()</f>
        <v>-50</v>
      </c>
      <c r="AG437" s="496">
        <f>IF(ISBLANK(Table2[[#This Row],[Roster Received by]]),1,0)</f>
        <v>0</v>
      </c>
      <c r="AH437" s="496">
        <f ca="1">IF(Table2[[#This Row],[Start Date]]&gt;TODAY(),1,)</f>
        <v>0</v>
      </c>
      <c r="AI437" s="496">
        <f>IF(ISBLANK(Table2[[#This Row],[Primary Instructor]]),0,1)</f>
        <v>1</v>
      </c>
      <c r="AJ437" s="496">
        <f>IF(ISBLANK(Table2[[#This Row],[Instructor 2]]),0,1)</f>
        <v>0</v>
      </c>
      <c r="AK437" s="496">
        <f>Table2[[#This Row],[Course Length (Hours)]]/(Table2[[#This Row],[1 Instructor]]+Table2[[#This Row],[2 Instructors]])</f>
        <v>40</v>
      </c>
      <c r="AL437" s="318">
        <v>0</v>
      </c>
      <c r="AM437" s="496">
        <v>3</v>
      </c>
      <c r="AN437" s="496" t="str">
        <f>VLOOKUP(Table2[[#This Row],[Course Title]],'TSD-Data'!$A$1:$G$83,7,FALSE)</f>
        <v>N5</v>
      </c>
      <c r="AO437" s="500">
        <f>Table2[[#This Row],[Quotas]]-Table2[[#This Row],[Graduates]]-Table2[[#This Row],[Fail]]</f>
        <v>5</v>
      </c>
    </row>
    <row r="438" spans="2:41" ht="15" customHeight="1" x14ac:dyDescent="0.25">
      <c r="B438" s="530" t="s">
        <v>487</v>
      </c>
      <c r="C438" s="530" t="s">
        <v>56</v>
      </c>
      <c r="D438" s="200" t="str">
        <f>VLOOKUP(Table2[[#This Row],[Course Title]],'TSD-Data'!$A$1:$E$83,2,FALSE)</f>
        <v>A-493-0550</v>
      </c>
      <c r="E438" s="200" t="str">
        <f>VLOOKUP(Table2[[#This Row],[Course Title]],'TSD-Data'!$A$1:$E$83,3,FALSE)</f>
        <v>09K5</v>
      </c>
      <c r="F438" s="530" t="s">
        <v>54</v>
      </c>
      <c r="G438" s="531">
        <v>46188</v>
      </c>
      <c r="H438" s="531">
        <v>46191</v>
      </c>
      <c r="I438" s="531" t="s">
        <v>42</v>
      </c>
      <c r="J438" s="532"/>
      <c r="K438" s="532">
        <v>0.45833333333333331</v>
      </c>
      <c r="L438" s="532">
        <v>0.33333333333333331</v>
      </c>
      <c r="M438" s="532">
        <v>0.75</v>
      </c>
      <c r="N438" s="532">
        <v>0.70833333333333337</v>
      </c>
      <c r="O438" s="532">
        <v>0.25</v>
      </c>
      <c r="P438" s="532">
        <v>6.9444444444444447E-4</v>
      </c>
      <c r="Q438" s="535" t="s">
        <v>427</v>
      </c>
      <c r="R438" s="535"/>
      <c r="S438" s="535"/>
      <c r="T438" s="200">
        <f>VLOOKUP(Table2[[#This Row],[Course Title]],'TSD-Data'!$A$1:$E$83,4,FALSE)</f>
        <v>45</v>
      </c>
      <c r="U438" s="200">
        <f>VLOOKUP(Table2[[#This Row],[Course Title]],'TSD-Data'!$A$1:$F$83,6,FALSE)</f>
        <v>32</v>
      </c>
      <c r="V438" s="201">
        <f>VLOOKUP(Table2[[#This Row],[Course Title]],'TSD-Data'!$A$1:$F$83,5,FALSE)</f>
        <v>4</v>
      </c>
      <c r="W438" s="201">
        <v>180</v>
      </c>
      <c r="X438" s="200">
        <f>Table2[[#This Row],[Quotas]]-Table2[[#This Row],[Open Quotas]]</f>
        <v>42</v>
      </c>
      <c r="Y438" s="200">
        <v>5</v>
      </c>
      <c r="Z438" s="201">
        <v>13</v>
      </c>
      <c r="AA438" s="201">
        <v>0</v>
      </c>
      <c r="AB438" s="200">
        <v>1</v>
      </c>
      <c r="AC438" s="200">
        <v>0</v>
      </c>
      <c r="AD438" s="200">
        <v>0</v>
      </c>
      <c r="AE438" s="200" t="s">
        <v>431</v>
      </c>
      <c r="AF438" s="495">
        <f ca="1">Table2[[#This Row],[End Date]]+2-TODAY()</f>
        <v>-51</v>
      </c>
      <c r="AG438" s="496">
        <f>IF(ISBLANK(Table2[[#This Row],[Roster Received by]]),1,0)</f>
        <v>0</v>
      </c>
      <c r="AH438" s="496">
        <f ca="1">IF(Table2[[#This Row],[Start Date]]&gt;TODAY(),1,)</f>
        <v>0</v>
      </c>
      <c r="AI438" s="496">
        <f>IF(ISBLANK(Table2[[#This Row],[Primary Instructor]]),0,1)</f>
        <v>1</v>
      </c>
      <c r="AJ438" s="496">
        <f>IF(ISBLANK(Table2[[#This Row],[Instructor 2]]),0,1)</f>
        <v>0</v>
      </c>
      <c r="AK438" s="496">
        <f>Table2[[#This Row],[Course Length (Hours)]]/(Table2[[#This Row],[1 Instructor]]+Table2[[#This Row],[2 Instructors]])</f>
        <v>32</v>
      </c>
      <c r="AL438" s="318">
        <v>3</v>
      </c>
      <c r="AM438" s="496">
        <v>3</v>
      </c>
      <c r="AN438" s="496" t="str">
        <f>VLOOKUP(Table2[[#This Row],[Course Title]],'TSD-Data'!$A$1:$G$83,7,FALSE)</f>
        <v>N5</v>
      </c>
      <c r="AO438" s="500">
        <f>Table2[[#This Row],[Quotas]]-Table2[[#This Row],[Graduates]]-Table2[[#This Row],[Fail]]</f>
        <v>32</v>
      </c>
    </row>
    <row r="439" spans="2:41" s="202" customFormat="1" ht="15" customHeight="1" x14ac:dyDescent="0.25">
      <c r="B439" s="530"/>
      <c r="C439" s="530" t="s">
        <v>53</v>
      </c>
      <c r="D439" s="200" t="str">
        <f>VLOOKUP(Table2[[#This Row],[Course Title]],'TSD-Data'!$A$1:$E$83,2,FALSE)</f>
        <v>A-493-0078</v>
      </c>
      <c r="E439" s="200">
        <f>VLOOKUP(Table2[[#This Row],[Course Title]],'TSD-Data'!$A$1:$E$83,3,FALSE)</f>
        <v>1228</v>
      </c>
      <c r="F439" s="530" t="s">
        <v>54</v>
      </c>
      <c r="G439" s="531">
        <v>46188</v>
      </c>
      <c r="H439" s="531">
        <v>46191</v>
      </c>
      <c r="I439" s="531" t="s">
        <v>42</v>
      </c>
      <c r="J439" s="532"/>
      <c r="K439" s="532">
        <v>0.79166666666666663</v>
      </c>
      <c r="L439" s="536">
        <v>0.66666666666666663</v>
      </c>
      <c r="M439" s="536">
        <v>8.3333333333333329E-2</v>
      </c>
      <c r="N439" s="536">
        <v>0</v>
      </c>
      <c r="O439" s="536">
        <v>0.54166666666666663</v>
      </c>
      <c r="P439" s="536">
        <v>0.33333333333333331</v>
      </c>
      <c r="Q439" s="535" t="s">
        <v>55</v>
      </c>
      <c r="R439" s="535"/>
      <c r="S439" s="535"/>
      <c r="T439" s="200">
        <f>VLOOKUP(Table2[[#This Row],[Course Title]],'TSD-Data'!$A$1:$E$83,4,FALSE)</f>
        <v>45</v>
      </c>
      <c r="U439" s="200">
        <f>VLOOKUP(Table2[[#This Row],[Course Title]],'TSD-Data'!$A$1:$F$83,6,FALSE)</f>
        <v>32</v>
      </c>
      <c r="V439" s="201">
        <f>VLOOKUP(Table2[[#This Row],[Course Title]],'TSD-Data'!$A$1:$F$83,5,FALSE)</f>
        <v>4</v>
      </c>
      <c r="W439" s="201">
        <v>181</v>
      </c>
      <c r="X439" s="200">
        <f>Table2[[#This Row],[Quotas]]-Table2[[#This Row],[Open Quotas]]</f>
        <v>43</v>
      </c>
      <c r="Y439" s="200">
        <v>0</v>
      </c>
      <c r="Z439" s="201">
        <v>35</v>
      </c>
      <c r="AA439" s="201">
        <v>0</v>
      </c>
      <c r="AB439" s="200">
        <v>11</v>
      </c>
      <c r="AC439" s="200">
        <v>1</v>
      </c>
      <c r="AD439" s="200">
        <v>0</v>
      </c>
      <c r="AE439" s="200" t="s">
        <v>431</v>
      </c>
      <c r="AF439" s="495">
        <f ca="1">Table2[[#This Row],[End Date]]+2-TODAY()</f>
        <v>-51</v>
      </c>
      <c r="AG439" s="496">
        <f>IF(ISBLANK(Table2[[#This Row],[Roster Received by]]),1,0)</f>
        <v>0</v>
      </c>
      <c r="AH439" s="496">
        <f ca="1">IF(Table2[[#This Row],[Start Date]]&gt;TODAY(),1,)</f>
        <v>0</v>
      </c>
      <c r="AI439" s="496">
        <f>IF(ISBLANK(Table2[[#This Row],[Primary Instructor]]),0,1)</f>
        <v>1</v>
      </c>
      <c r="AJ439" s="496">
        <f>IF(ISBLANK(Table2[[#This Row],[Instructor 2]]),0,1)</f>
        <v>0</v>
      </c>
      <c r="AK439" s="496">
        <f>Table2[[#This Row],[Course Length (Hours)]]/(Table2[[#This Row],[1 Instructor]]+Table2[[#This Row],[2 Instructors]])</f>
        <v>32</v>
      </c>
      <c r="AL439" s="318">
        <v>2</v>
      </c>
      <c r="AM439" s="496">
        <v>3</v>
      </c>
      <c r="AN439" s="496" t="str">
        <f>VLOOKUP(Table2[[#This Row],[Course Title]],'TSD-Data'!$A$1:$G$83,7,FALSE)</f>
        <v>N5</v>
      </c>
      <c r="AO439" s="500">
        <f>Table2[[#This Row],[Quotas]]-Table2[[#This Row],[Graduates]]-Table2[[#This Row],[Fail]]</f>
        <v>10</v>
      </c>
    </row>
    <row r="440" spans="2:41" ht="15" customHeight="1" x14ac:dyDescent="0.25">
      <c r="B440" s="530"/>
      <c r="C440" s="530" t="s">
        <v>401</v>
      </c>
      <c r="D440" s="200" t="str">
        <f>VLOOKUP(Table2[[#This Row],[Course Title]],'TSD-Data'!$A$1:$E$83,2,FALSE)</f>
        <v>A-493-3002</v>
      </c>
      <c r="E440" s="200" t="str">
        <f>VLOOKUP(Table2[[#This Row],[Course Title]],'TSD-Data'!$A$1:$E$83,3,FALSE)</f>
        <v>31V4</v>
      </c>
      <c r="F440" s="530" t="s">
        <v>54</v>
      </c>
      <c r="G440" s="531">
        <v>46188</v>
      </c>
      <c r="H440" s="531">
        <v>46188</v>
      </c>
      <c r="I440" s="531" t="s">
        <v>42</v>
      </c>
      <c r="J440" s="532"/>
      <c r="K440" s="532">
        <v>0.58333333333333337</v>
      </c>
      <c r="L440" s="532">
        <v>0.45833333333333331</v>
      </c>
      <c r="M440" s="532">
        <v>0.875</v>
      </c>
      <c r="N440" s="532">
        <v>0.83333333333333337</v>
      </c>
      <c r="O440" s="532">
        <v>0.375</v>
      </c>
      <c r="P440" s="532">
        <v>0.125</v>
      </c>
      <c r="Q440" s="535" t="s">
        <v>445</v>
      </c>
      <c r="R440" s="535" t="s">
        <v>483</v>
      </c>
      <c r="S440" s="535"/>
      <c r="T440" s="200">
        <f>VLOOKUP(Table2[[#This Row],[Course Title]],'TSD-Data'!$A$1:$E$83,4,FALSE)</f>
        <v>1000</v>
      </c>
      <c r="U440" s="200">
        <f>VLOOKUP(Table2[[#This Row],[Course Title]],'TSD-Data'!$A$1:$F$83,6,FALSE)</f>
        <v>8</v>
      </c>
      <c r="V440" s="201">
        <f>VLOOKUP(Table2[[#This Row],[Course Title]],'TSD-Data'!$A$1:$F$83,5,FALSE)</f>
        <v>1</v>
      </c>
      <c r="W440" s="201"/>
      <c r="X440" s="200">
        <f>Table2[[#This Row],[Quotas]]-Table2[[#This Row],[Open Quotas]]</f>
        <v>124</v>
      </c>
      <c r="Y440" s="200">
        <v>0</v>
      </c>
      <c r="Z440" s="201">
        <v>18</v>
      </c>
      <c r="AA440" s="201">
        <v>0</v>
      </c>
      <c r="AB440" s="200">
        <v>0</v>
      </c>
      <c r="AC440" s="200">
        <v>0</v>
      </c>
      <c r="AD440" s="200">
        <v>0</v>
      </c>
      <c r="AE440" s="200" t="s">
        <v>442</v>
      </c>
      <c r="AF440" s="495">
        <f ca="1">Table2[[#This Row],[End Date]]+2-TODAY()</f>
        <v>-54</v>
      </c>
      <c r="AG440" s="496">
        <f>IF(ISBLANK(Table2[[#This Row],[Roster Received by]]),1,0)</f>
        <v>0</v>
      </c>
      <c r="AH440" s="496">
        <f ca="1">IF(Table2[[#This Row],[Start Date]]&gt;TODAY(),1,)</f>
        <v>0</v>
      </c>
      <c r="AI440" s="496">
        <f>IF(ISBLANK(Table2[[#This Row],[Primary Instructor]]),0,1)</f>
        <v>1</v>
      </c>
      <c r="AJ440" s="496">
        <f>IF(ISBLANK(Table2[[#This Row],[Instructor 2]]),0,1)</f>
        <v>1</v>
      </c>
      <c r="AK440" s="496">
        <f>AJ769</f>
        <v>0</v>
      </c>
      <c r="AL440" s="318">
        <v>876</v>
      </c>
      <c r="AM440" s="501">
        <v>3</v>
      </c>
      <c r="AN440" s="496" t="str">
        <f>VLOOKUP(Table2[[#This Row],[Course Title]],'TSD-Data'!$A$1:$G$83,7,FALSE)</f>
        <v>N8-RMI</v>
      </c>
      <c r="AO440" s="500">
        <f>Table2[[#This Row],[Quotas]]-Table2[[#This Row],[Graduates]]-Table2[[#This Row],[Fail]]</f>
        <v>982</v>
      </c>
    </row>
    <row r="441" spans="2:41" s="202" customFormat="1" ht="15" customHeight="1" x14ac:dyDescent="0.25">
      <c r="B441" s="530"/>
      <c r="C441" s="530" t="s">
        <v>407</v>
      </c>
      <c r="D441" s="200" t="str">
        <f>VLOOKUP(Table2[[#This Row],[Course Title]],'TSD-Data'!$A$1:$E$83,2,FALSE)</f>
        <v>A-493-3003</v>
      </c>
      <c r="E441" s="200" t="str">
        <f>VLOOKUP(Table2[[#This Row],[Course Title]],'TSD-Data'!$A$1:$E$83,3,FALSE)</f>
        <v>31V5</v>
      </c>
      <c r="F441" s="530" t="s">
        <v>54</v>
      </c>
      <c r="G441" s="531">
        <v>46188</v>
      </c>
      <c r="H441" s="531">
        <v>46188</v>
      </c>
      <c r="I441" s="531" t="s">
        <v>42</v>
      </c>
      <c r="J441" s="532"/>
      <c r="K441" s="532">
        <v>0.875</v>
      </c>
      <c r="L441" s="532">
        <v>0.75</v>
      </c>
      <c r="M441" s="532">
        <v>0.16666666666666666</v>
      </c>
      <c r="N441" s="532">
        <v>0.125</v>
      </c>
      <c r="O441" s="532">
        <v>0.66666666666666663</v>
      </c>
      <c r="P441" s="532">
        <v>0.41666666666666669</v>
      </c>
      <c r="Q441" s="535" t="s">
        <v>445</v>
      </c>
      <c r="R441" s="535" t="s">
        <v>483</v>
      </c>
      <c r="S441" s="535"/>
      <c r="T441" s="200">
        <f>VLOOKUP(Table2[[#This Row],[Course Title]],'TSD-Data'!$A$1:$E$83,4,FALSE)</f>
        <v>1000</v>
      </c>
      <c r="U441" s="200">
        <f>VLOOKUP(Table2[[#This Row],[Course Title]],'TSD-Data'!$A$1:$F$83,6,FALSE)</f>
        <v>2</v>
      </c>
      <c r="V441" s="201">
        <f>VLOOKUP(Table2[[#This Row],[Course Title]],'TSD-Data'!$A$1:$F$83,5,FALSE)</f>
        <v>0.25</v>
      </c>
      <c r="W441" s="201"/>
      <c r="X441" s="200">
        <f>Table2[[#This Row],[Quotas]]-Table2[[#This Row],[Open Quotas]]</f>
        <v>124</v>
      </c>
      <c r="Y441" s="200">
        <v>0</v>
      </c>
      <c r="Z441" s="201">
        <v>13</v>
      </c>
      <c r="AA441" s="201">
        <v>0</v>
      </c>
      <c r="AB441" s="200">
        <v>0</v>
      </c>
      <c r="AC441" s="200">
        <v>0</v>
      </c>
      <c r="AD441" s="200">
        <v>0</v>
      </c>
      <c r="AE441" s="200" t="s">
        <v>442</v>
      </c>
      <c r="AF441" s="495">
        <f ca="1">Table2[[#This Row],[End Date]]+2-TODAY()</f>
        <v>-54</v>
      </c>
      <c r="AG441" s="496">
        <f>IF(ISBLANK(Table2[[#This Row],[Roster Received by]]),1,0)</f>
        <v>0</v>
      </c>
      <c r="AH441" s="496">
        <f ca="1">IF(Table2[[#This Row],[Start Date]]&gt;TODAY(),1,)</f>
        <v>0</v>
      </c>
      <c r="AI441" s="496">
        <f>IF(ISBLANK(Table2[[#This Row],[Primary Instructor]]),0,1)</f>
        <v>1</v>
      </c>
      <c r="AJ441" s="496">
        <f>IF(ISBLANK(Table2[[#This Row],[Instructor 2]]),0,1)</f>
        <v>1</v>
      </c>
      <c r="AK441" s="496">
        <f>AJ758</f>
        <v>0</v>
      </c>
      <c r="AL441" s="318">
        <v>876</v>
      </c>
      <c r="AM441" s="501">
        <v>3</v>
      </c>
      <c r="AN441" s="496" t="str">
        <f>VLOOKUP(Table2[[#This Row],[Course Title]],'TSD-Data'!$A$1:$G$83,7,FALSE)</f>
        <v>N8-RMI</v>
      </c>
      <c r="AO441" s="500">
        <f>Table2[[#This Row],[Quotas]]-Table2[[#This Row],[Graduates]]-Table2[[#This Row],[Fail]]</f>
        <v>987</v>
      </c>
    </row>
    <row r="442" spans="2:41" s="202" customFormat="1" ht="15" customHeight="1" x14ac:dyDescent="0.25">
      <c r="B442" s="530"/>
      <c r="C442" s="530" t="s">
        <v>410</v>
      </c>
      <c r="D442" s="200" t="str">
        <f>VLOOKUP(Table2[[#This Row],[Course Title]],'TSD-Data'!$A$1:$E$83,2,FALSE)</f>
        <v>A-493-3006</v>
      </c>
      <c r="E442" s="200" t="str">
        <f>VLOOKUP(Table2[[#This Row],[Course Title]],'TSD-Data'!$A$1:$E$83,3,FALSE)</f>
        <v>31V8</v>
      </c>
      <c r="F442" s="530" t="s">
        <v>54</v>
      </c>
      <c r="G442" s="531">
        <v>46188</v>
      </c>
      <c r="H442" s="531">
        <v>46188</v>
      </c>
      <c r="I442" s="531" t="s">
        <v>42</v>
      </c>
      <c r="J442" s="532"/>
      <c r="K442" s="532">
        <v>0.79166666666666663</v>
      </c>
      <c r="L442" s="532">
        <v>0.66666666666666663</v>
      </c>
      <c r="M442" s="532">
        <v>8.3333333333333329E-2</v>
      </c>
      <c r="N442" s="532">
        <v>4.1666666666666664E-2</v>
      </c>
      <c r="O442" s="532">
        <v>0.58333333333333337</v>
      </c>
      <c r="P442" s="532">
        <v>0.33333333333333331</v>
      </c>
      <c r="Q442" s="535" t="s">
        <v>445</v>
      </c>
      <c r="R442" s="535" t="s">
        <v>483</v>
      </c>
      <c r="S442" s="535"/>
      <c r="T442" s="200">
        <f>VLOOKUP(Table2[[#This Row],[Course Title]],'TSD-Data'!$A$1:$E$83,4,FALSE)</f>
        <v>1000</v>
      </c>
      <c r="U442" s="200">
        <f>VLOOKUP(Table2[[#This Row],[Course Title]],'TSD-Data'!$A$1:$F$83,6,FALSE)</f>
        <v>2</v>
      </c>
      <c r="V442" s="201">
        <f>VLOOKUP(Table2[[#This Row],[Course Title]],'TSD-Data'!$A$1:$F$83,5,FALSE)</f>
        <v>0.1</v>
      </c>
      <c r="W442" s="201"/>
      <c r="X442" s="200">
        <f>Table2[[#This Row],[Quotas]]-Table2[[#This Row],[Open Quotas]]</f>
        <v>124</v>
      </c>
      <c r="Y442" s="200">
        <v>0</v>
      </c>
      <c r="Z442" s="201">
        <v>15</v>
      </c>
      <c r="AA442" s="201">
        <v>0</v>
      </c>
      <c r="AB442" s="200">
        <v>0</v>
      </c>
      <c r="AC442" s="200">
        <v>0</v>
      </c>
      <c r="AD442" s="200">
        <v>0</v>
      </c>
      <c r="AE442" s="200" t="s">
        <v>442</v>
      </c>
      <c r="AF442" s="495">
        <f ca="1">Table2[[#This Row],[End Date]]+2-TODAY()</f>
        <v>-54</v>
      </c>
      <c r="AG442" s="496">
        <f>IF(ISBLANK(Table2[[#This Row],[Roster Received by]]),1,0)</f>
        <v>0</v>
      </c>
      <c r="AH442" s="496">
        <f ca="1">IF(Table2[[#This Row],[Start Date]]&gt;TODAY(),1,)</f>
        <v>0</v>
      </c>
      <c r="AI442" s="496">
        <f>IF(ISBLANK(Table2[[#This Row],[Primary Instructor]]),0,1)</f>
        <v>1</v>
      </c>
      <c r="AJ442" s="496">
        <f>IF(ISBLANK(Table2[[#This Row],[Instructor 2]]),0,1)</f>
        <v>1</v>
      </c>
      <c r="AK442" s="496">
        <f>AJ760</f>
        <v>0</v>
      </c>
      <c r="AL442" s="318">
        <v>876</v>
      </c>
      <c r="AM442" s="501">
        <v>3</v>
      </c>
      <c r="AN442" s="496" t="str">
        <f>VLOOKUP(Table2[[#This Row],[Course Title]],'TSD-Data'!$A$1:$G$83,7,FALSE)</f>
        <v>N8-RMI</v>
      </c>
      <c r="AO442" s="500">
        <f>Table2[[#This Row],[Quotas]]-Table2[[#This Row],[Graduates]]-Table2[[#This Row],[Fail]]</f>
        <v>985</v>
      </c>
    </row>
    <row r="443" spans="2:41" s="202" customFormat="1" ht="15" customHeight="1" x14ac:dyDescent="0.25">
      <c r="B443" s="530"/>
      <c r="C443" s="530" t="s">
        <v>413</v>
      </c>
      <c r="D443" s="200" t="str">
        <f>VLOOKUP(Table2[[#This Row],[Course Title]],'TSD-Data'!$A$1:$E$83,2,FALSE)</f>
        <v>A-493-3007</v>
      </c>
      <c r="E443" s="200" t="str">
        <f>VLOOKUP(Table2[[#This Row],[Course Title]],'TSD-Data'!$A$1:$E$83,3,FALSE)</f>
        <v>31V9</v>
      </c>
      <c r="F443" s="530" t="s">
        <v>54</v>
      </c>
      <c r="G443" s="531">
        <v>46188</v>
      </c>
      <c r="H443" s="531">
        <v>46188</v>
      </c>
      <c r="I443" s="531" t="s">
        <v>42</v>
      </c>
      <c r="J443" s="532"/>
      <c r="K443" s="532">
        <v>0.83333333333333337</v>
      </c>
      <c r="L443" s="532">
        <v>0.70833333333333337</v>
      </c>
      <c r="M443" s="532">
        <v>0.125</v>
      </c>
      <c r="N443" s="532">
        <v>8.3333333333333329E-2</v>
      </c>
      <c r="O443" s="532">
        <v>0.625</v>
      </c>
      <c r="P443" s="532">
        <v>0.375</v>
      </c>
      <c r="Q443" s="535" t="s">
        <v>445</v>
      </c>
      <c r="R443" s="535" t="s">
        <v>483</v>
      </c>
      <c r="S443" s="535"/>
      <c r="T443" s="200">
        <f>VLOOKUP(Table2[[#This Row],[Course Title]],'TSD-Data'!$A$1:$E$83,4,FALSE)</f>
        <v>1000</v>
      </c>
      <c r="U443" s="200">
        <f>VLOOKUP(Table2[[#This Row],[Course Title]],'TSD-Data'!$A$1:$F$83,6,FALSE)</f>
        <v>2.5</v>
      </c>
      <c r="V443" s="201">
        <f>VLOOKUP(Table2[[#This Row],[Course Title]],'TSD-Data'!$A$1:$F$83,5,FALSE)</f>
        <v>0.3</v>
      </c>
      <c r="W443" s="201"/>
      <c r="X443" s="200">
        <f>Table2[[#This Row],[Quotas]]-Table2[[#This Row],[Open Quotas]]</f>
        <v>124</v>
      </c>
      <c r="Y443" s="200">
        <v>0</v>
      </c>
      <c r="Z443" s="201">
        <v>14</v>
      </c>
      <c r="AA443" s="201">
        <v>0</v>
      </c>
      <c r="AB443" s="200">
        <v>0</v>
      </c>
      <c r="AC443" s="200">
        <v>0</v>
      </c>
      <c r="AD443" s="200">
        <v>0</v>
      </c>
      <c r="AE443" s="200" t="s">
        <v>442</v>
      </c>
      <c r="AF443" s="495">
        <f ca="1">Table2[[#This Row],[End Date]]+2-TODAY()</f>
        <v>-54</v>
      </c>
      <c r="AG443" s="496">
        <f>IF(ISBLANK(Table2[[#This Row],[Roster Received by]]),1,0)</f>
        <v>0</v>
      </c>
      <c r="AH443" s="496">
        <f ca="1">IF(Table2[[#This Row],[Start Date]]&gt;TODAY(),1,)</f>
        <v>0</v>
      </c>
      <c r="AI443" s="496">
        <f>IF(ISBLANK(Table2[[#This Row],[Primary Instructor]]),0,1)</f>
        <v>1</v>
      </c>
      <c r="AJ443" s="496">
        <f>IF(ISBLANK(Table2[[#This Row],[Instructor 2]]),0,1)</f>
        <v>1</v>
      </c>
      <c r="AK443" s="496">
        <f>AJ761</f>
        <v>0</v>
      </c>
      <c r="AL443" s="318">
        <v>876</v>
      </c>
      <c r="AM443" s="501">
        <v>3</v>
      </c>
      <c r="AN443" s="496" t="str">
        <f>VLOOKUP(Table2[[#This Row],[Course Title]],'TSD-Data'!$A$1:$G$83,7,FALSE)</f>
        <v>N8-RMI</v>
      </c>
      <c r="AO443" s="500">
        <f>Table2[[#This Row],[Quotas]]-Table2[[#This Row],[Graduates]]-Table2[[#This Row],[Fail]]</f>
        <v>986</v>
      </c>
    </row>
    <row r="444" spans="2:41" s="202" customFormat="1" ht="15" customHeight="1" x14ac:dyDescent="0.25">
      <c r="B444" s="530"/>
      <c r="C444" s="530" t="s">
        <v>236</v>
      </c>
      <c r="D444" s="200" t="str">
        <f>VLOOKUP(Table2[[#This Row],[Course Title]],'TSD-Data'!$A$1:$E$83,2,FALSE)</f>
        <v>A-493-2098</v>
      </c>
      <c r="E444" s="200" t="str">
        <f>VLOOKUP(Table2[[#This Row],[Course Title]],'TSD-Data'!$A$1:$E$83,3,FALSE)</f>
        <v>09WW</v>
      </c>
      <c r="F444" s="530" t="s">
        <v>54</v>
      </c>
      <c r="G444" s="531">
        <v>46188</v>
      </c>
      <c r="H444" s="531">
        <v>46190</v>
      </c>
      <c r="I444" s="531" t="s">
        <v>42</v>
      </c>
      <c r="J444" s="532"/>
      <c r="K444" s="532">
        <v>0.5</v>
      </c>
      <c r="L444" s="536">
        <v>0.375</v>
      </c>
      <c r="M444" s="536">
        <v>0.79166666666666663</v>
      </c>
      <c r="N444" s="536">
        <v>0.75</v>
      </c>
      <c r="O444" s="536">
        <v>0.25</v>
      </c>
      <c r="P444" s="536">
        <v>4.1666666666666664E-2</v>
      </c>
      <c r="Q444" s="535" t="s">
        <v>43</v>
      </c>
      <c r="R444" s="535" t="s">
        <v>484</v>
      </c>
      <c r="S444" s="535"/>
      <c r="T444" s="200">
        <f>VLOOKUP(Table2[[#This Row],[Course Title]],'TSD-Data'!$A$1:$E$83,4,FALSE)</f>
        <v>100</v>
      </c>
      <c r="U444" s="200">
        <f>VLOOKUP(Table2[[#This Row],[Course Title]],'TSD-Data'!$A$1:$F$83,6,FALSE)</f>
        <v>16</v>
      </c>
      <c r="V444" s="201">
        <f>VLOOKUP(Table2[[#This Row],[Course Title]],'TSD-Data'!$A$1:$F$83,5,FALSE)</f>
        <v>3</v>
      </c>
      <c r="W444" s="201"/>
      <c r="X444" s="200">
        <f>Table2[[#This Row],[Quotas]]-Table2[[#This Row],[Open Quotas]]</f>
        <v>99</v>
      </c>
      <c r="Y444" s="200">
        <v>0</v>
      </c>
      <c r="Z444" s="201">
        <v>70</v>
      </c>
      <c r="AA444" s="201">
        <v>1</v>
      </c>
      <c r="AB444" s="200">
        <v>31</v>
      </c>
      <c r="AC444" s="200">
        <v>0</v>
      </c>
      <c r="AD444" s="200">
        <v>0</v>
      </c>
      <c r="AE444" s="200" t="s">
        <v>428</v>
      </c>
      <c r="AF444" s="495">
        <f ca="1">Table2[[#This Row],[End Date]]+2-TODAY()</f>
        <v>-52</v>
      </c>
      <c r="AG444" s="496">
        <f>IF(ISBLANK(Table2[[#This Row],[Roster Received by]]),1,0)</f>
        <v>0</v>
      </c>
      <c r="AH444" s="496">
        <f ca="1">IF(Table2[[#This Row],[Start Date]]&gt;TODAY(),1,)</f>
        <v>0</v>
      </c>
      <c r="AI444" s="496">
        <f>IF(ISBLANK(Table2[[#This Row],[Primary Instructor]]),0,1)</f>
        <v>1</v>
      </c>
      <c r="AJ444" s="496">
        <f>IF(ISBLANK(Table2[[#This Row],[Instructor 2]]),0,1)</f>
        <v>1</v>
      </c>
      <c r="AK444" s="496">
        <f>Table2[[#This Row],[Course Length (Hours)]]/(Table2[[#This Row],[1 Instructor]]+Table2[[#This Row],[2 Instructors]])</f>
        <v>8</v>
      </c>
      <c r="AL444" s="318">
        <v>1</v>
      </c>
      <c r="AM444" s="496">
        <v>3</v>
      </c>
      <c r="AN444" s="496" t="str">
        <f>VLOOKUP(Table2[[#This Row],[Course Title]],'TSD-Data'!$A$1:$G$83,7,FALSE)</f>
        <v>N8</v>
      </c>
      <c r="AO444" s="500">
        <f>Table2[[#This Row],[Quotas]]-Table2[[#This Row],[Graduates]]-Table2[[#This Row],[Fail]]</f>
        <v>29</v>
      </c>
    </row>
    <row r="445" spans="2:41" s="202" customFormat="1" ht="15" customHeight="1" x14ac:dyDescent="0.25">
      <c r="B445" s="530"/>
      <c r="C445" s="530" t="s">
        <v>239</v>
      </c>
      <c r="D445" s="200" t="str">
        <f>VLOOKUP(Table2[[#This Row],[Course Title]],'TSD-Data'!$A$1:$E$83,2,FALSE)</f>
        <v>F-4J-0023</v>
      </c>
      <c r="E445" s="200" t="str">
        <f>VLOOKUP(Table2[[#This Row],[Course Title]],'TSD-Data'!$A$1:$E$83,3,FALSE)</f>
        <v>11A2</v>
      </c>
      <c r="F445" s="530" t="s">
        <v>54</v>
      </c>
      <c r="G445" s="531">
        <v>46188</v>
      </c>
      <c r="H445" s="531">
        <v>46189</v>
      </c>
      <c r="I445" s="531" t="s">
        <v>42</v>
      </c>
      <c r="J445" s="532"/>
      <c r="K445" s="532">
        <v>0.5</v>
      </c>
      <c r="L445" s="536">
        <v>0.375</v>
      </c>
      <c r="M445" s="536">
        <v>0.79166666666666663</v>
      </c>
      <c r="N445" s="536">
        <v>0.75</v>
      </c>
      <c r="O445" s="536">
        <v>0.25</v>
      </c>
      <c r="P445" s="536">
        <v>4.1666666666666664E-2</v>
      </c>
      <c r="Q445" s="535" t="s">
        <v>462</v>
      </c>
      <c r="R445" s="535"/>
      <c r="S445" s="535"/>
      <c r="T445" s="200">
        <f>VLOOKUP(Table2[[#This Row],[Course Title]],'TSD-Data'!$A$1:$E$83,4,FALSE)</f>
        <v>45</v>
      </c>
      <c r="U445" s="200">
        <f>VLOOKUP(Table2[[#This Row],[Course Title]],'TSD-Data'!$A$1:$F$83,6,FALSE)</f>
        <v>16</v>
      </c>
      <c r="V445" s="201">
        <f>VLOOKUP(Table2[[#This Row],[Course Title]],'TSD-Data'!$A$1:$F$83,5,FALSE)</f>
        <v>2</v>
      </c>
      <c r="W445" s="201">
        <v>1882</v>
      </c>
      <c r="X445" s="200">
        <f>Table2[[#This Row],[Quotas]]-Table2[[#This Row],[Open Quotas]]</f>
        <v>19</v>
      </c>
      <c r="Y445" s="200">
        <v>0</v>
      </c>
      <c r="Z445" s="201">
        <v>16</v>
      </c>
      <c r="AA445" s="201">
        <v>0</v>
      </c>
      <c r="AB445" s="200">
        <v>4</v>
      </c>
      <c r="AC445" s="200">
        <v>0</v>
      </c>
      <c r="AD445" s="200">
        <v>0</v>
      </c>
      <c r="AE445" s="200" t="s">
        <v>429</v>
      </c>
      <c r="AF445" s="495">
        <f ca="1">Table2[[#This Row],[End Date]]+2-TODAY()</f>
        <v>-53</v>
      </c>
      <c r="AG445" s="496">
        <f>IF(ISBLANK(Table2[[#This Row],[Roster Received by]]),1,0)</f>
        <v>0</v>
      </c>
      <c r="AH445" s="496">
        <f ca="1">IF(Table2[[#This Row],[Start Date]]&gt;TODAY(),1,)</f>
        <v>0</v>
      </c>
      <c r="AI445" s="496">
        <f>IF(ISBLANK(Table2[[#This Row],[Primary Instructor]]),0,1)</f>
        <v>1</v>
      </c>
      <c r="AJ445" s="496">
        <f>IF(ISBLANK(Table2[[#This Row],[Instructor 2]]),0,1)</f>
        <v>0</v>
      </c>
      <c r="AK445" s="496">
        <f>Table2[[#This Row],[Course Length (Hours)]]/(Table2[[#This Row],[1 Instructor]]+Table2[[#This Row],[2 Instructors]])</f>
        <v>16</v>
      </c>
      <c r="AL445" s="318">
        <v>26</v>
      </c>
      <c r="AM445" s="496">
        <v>3</v>
      </c>
      <c r="AN445" s="496" t="str">
        <f>VLOOKUP(Table2[[#This Row],[Course Title]],'TSD-Data'!$A$1:$G$83,7,FALSE)</f>
        <v>N8</v>
      </c>
      <c r="AO445" s="500">
        <f>Table2[[#This Row],[Quotas]]-Table2[[#This Row],[Graduates]]-Table2[[#This Row],[Fail]]</f>
        <v>29</v>
      </c>
    </row>
    <row r="446" spans="2:41" s="202" customFormat="1" ht="15" customHeight="1" x14ac:dyDescent="0.25">
      <c r="B446" s="530"/>
      <c r="C446" s="530" t="s">
        <v>275</v>
      </c>
      <c r="D446" s="200" t="str">
        <f>VLOOKUP(Table2[[#This Row],[Course Title]],'TSD-Data'!$A$1:$E$83,2,FALSE)</f>
        <v>A-493-0099</v>
      </c>
      <c r="E446" s="200" t="str">
        <f>VLOOKUP(Table2[[#This Row],[Course Title]],'TSD-Data'!$A$1:$E$83,3,FALSE)</f>
        <v>12JW</v>
      </c>
      <c r="F446" s="530" t="s">
        <v>54</v>
      </c>
      <c r="G446" s="531">
        <v>46189</v>
      </c>
      <c r="H446" s="531">
        <v>46191</v>
      </c>
      <c r="I446" s="531" t="s">
        <v>42</v>
      </c>
      <c r="J446" s="532"/>
      <c r="K446" s="532">
        <v>0.33333333333333331</v>
      </c>
      <c r="L446" s="532">
        <v>0.20833333333333334</v>
      </c>
      <c r="M446" s="532">
        <v>0.625</v>
      </c>
      <c r="N446" s="532">
        <v>0.54166666666666663</v>
      </c>
      <c r="O446" s="532">
        <v>8.3333333333333329E-2</v>
      </c>
      <c r="P446" s="532">
        <v>0.875</v>
      </c>
      <c r="Q446" s="535" t="s">
        <v>274</v>
      </c>
      <c r="R446" s="535"/>
      <c r="S446" s="535"/>
      <c r="T446" s="200">
        <f>VLOOKUP(Table2[[#This Row],[Course Title]],'TSD-Data'!$A$1:$E$83,4,FALSE)</f>
        <v>45</v>
      </c>
      <c r="U446" s="200">
        <f>VLOOKUP(Table2[[#This Row],[Course Title]],'TSD-Data'!$A$1:$F$83,6,FALSE)</f>
        <v>24</v>
      </c>
      <c r="V446" s="201">
        <f>VLOOKUP(Table2[[#This Row],[Course Title]],'TSD-Data'!$A$1:$F$83,5,FALSE)</f>
        <v>3</v>
      </c>
      <c r="W446" s="201">
        <v>406</v>
      </c>
      <c r="X446" s="200">
        <f>Table2[[#This Row],[Quotas]]-Table2[[#This Row],[Open Quotas]]</f>
        <v>32</v>
      </c>
      <c r="Y446" s="200">
        <v>0</v>
      </c>
      <c r="Z446" s="201">
        <v>24</v>
      </c>
      <c r="AA446" s="201">
        <v>1</v>
      </c>
      <c r="AB446" s="200">
        <v>9</v>
      </c>
      <c r="AC446" s="200">
        <v>0</v>
      </c>
      <c r="AD446" s="200">
        <v>0</v>
      </c>
      <c r="AE446" s="200" t="s">
        <v>431</v>
      </c>
      <c r="AF446" s="495">
        <f ca="1">Table2[[#This Row],[End Date]]+2-TODAY()</f>
        <v>-51</v>
      </c>
      <c r="AG446" s="496">
        <f>IF(ISBLANK(Table2[[#This Row],[Roster Received by]]),1,0)</f>
        <v>0</v>
      </c>
      <c r="AH446" s="496">
        <f ca="1">IF(Table2[[#This Row],[Start Date]]&gt;TODAY(),1,)</f>
        <v>0</v>
      </c>
      <c r="AI446" s="496">
        <f>IF(ISBLANK(Table2[[#This Row],[Primary Instructor]]),0,1)</f>
        <v>1</v>
      </c>
      <c r="AJ446" s="496">
        <f>IF(ISBLANK(Table2[[#This Row],[Instructor 2]]),0,1)</f>
        <v>0</v>
      </c>
      <c r="AK446" s="496">
        <f>Table2[[#This Row],[Course Length (Hours)]]/(Table2[[#This Row],[1 Instructor]]+Table2[[#This Row],[2 Instructors]])</f>
        <v>24</v>
      </c>
      <c r="AL446" s="318">
        <v>13</v>
      </c>
      <c r="AM446" s="496">
        <v>3</v>
      </c>
      <c r="AN446" s="496" t="str">
        <f>VLOOKUP(Table2[[#This Row],[Course Title]],'TSD-Data'!$A$1:$G$83,7,FALSE)</f>
        <v>N5</v>
      </c>
      <c r="AO446" s="500">
        <f>Table2[[#This Row],[Quotas]]-Table2[[#This Row],[Graduates]]-Table2[[#This Row],[Fail]]</f>
        <v>20</v>
      </c>
    </row>
    <row r="447" spans="2:41" s="202" customFormat="1" ht="15" customHeight="1" x14ac:dyDescent="0.25">
      <c r="B447" s="530"/>
      <c r="C447" s="557" t="s">
        <v>72</v>
      </c>
      <c r="D447" s="200" t="str">
        <f>VLOOKUP(Table2[[#This Row],[Course Title]],'TSD-Data'!$A$1:$E$83,2,FALSE)</f>
        <v>A-493-0092</v>
      </c>
      <c r="E447" s="200">
        <f>VLOOKUP(Table2[[#This Row],[Course Title]],'TSD-Data'!$A$1:$E$83,3,FALSE)</f>
        <v>5891</v>
      </c>
      <c r="F447" s="530" t="s">
        <v>258</v>
      </c>
      <c r="G447" s="531">
        <v>46189</v>
      </c>
      <c r="H447" s="531">
        <v>46191</v>
      </c>
      <c r="I447" s="531" t="s">
        <v>42</v>
      </c>
      <c r="J447" s="532">
        <v>0.33333333333333331</v>
      </c>
      <c r="K447" s="532"/>
      <c r="L447" s="531"/>
      <c r="M447" s="531"/>
      <c r="N447" s="531"/>
      <c r="O447" s="531"/>
      <c r="P447" s="531"/>
      <c r="Q447" s="535" t="s">
        <v>62</v>
      </c>
      <c r="R447" s="535"/>
      <c r="S447" s="535" t="s">
        <v>451</v>
      </c>
      <c r="T447" s="200">
        <f>VLOOKUP(Table2[[#This Row],[Course Title]],'TSD-Data'!$A$1:$E$83,4,FALSE)</f>
        <v>25</v>
      </c>
      <c r="U447" s="200">
        <f>VLOOKUP(Table2[[#This Row],[Course Title]],'TSD-Data'!$A$1:$F$83,6,FALSE)</f>
        <v>24</v>
      </c>
      <c r="V447" s="201">
        <f>VLOOKUP(Table2[[#This Row],[Course Title]],'TSD-Data'!$A$1:$F$83,5,FALSE)</f>
        <v>3</v>
      </c>
      <c r="W447" s="201">
        <v>49</v>
      </c>
      <c r="X447" s="200">
        <f>Table2[[#This Row],[Quotas]]-Table2[[#This Row],[Open Quotas]]</f>
        <v>9</v>
      </c>
      <c r="Y447" s="200">
        <v>0</v>
      </c>
      <c r="Z447" s="201">
        <v>9</v>
      </c>
      <c r="AA447" s="201">
        <v>0</v>
      </c>
      <c r="AB447" s="200">
        <v>2</v>
      </c>
      <c r="AC447" s="200">
        <v>0</v>
      </c>
      <c r="AD447" s="200">
        <v>0</v>
      </c>
      <c r="AE447" s="200" t="s">
        <v>429</v>
      </c>
      <c r="AF447" s="495">
        <f ca="1">Table2[[#This Row],[End Date]]+2-TODAY()</f>
        <v>-51</v>
      </c>
      <c r="AG447" s="496">
        <f>IF(ISBLANK(Table2[[#This Row],[Roster Received by]]),1,0)</f>
        <v>0</v>
      </c>
      <c r="AH447" s="496">
        <f ca="1">IF(Table2[[#This Row],[Start Date]]&gt;TODAY(),1,)</f>
        <v>0</v>
      </c>
      <c r="AI447" s="496">
        <f>IF(ISBLANK(Table2[[#This Row],[Primary Instructor]]),0,1)</f>
        <v>1</v>
      </c>
      <c r="AJ447" s="496">
        <f>IF(ISBLANK(Table2[[#This Row],[Instructor 2]]),0,1)</f>
        <v>0</v>
      </c>
      <c r="AK447" s="496">
        <f>Table2[[#This Row],[Course Length (Hours)]]/(Table2[[#This Row],[1 Instructor]]+Table2[[#This Row],[2 Instructors]])</f>
        <v>24</v>
      </c>
      <c r="AL447" s="318">
        <v>16</v>
      </c>
      <c r="AM447" s="496">
        <v>3</v>
      </c>
      <c r="AN447" s="496" t="str">
        <f>VLOOKUP(Table2[[#This Row],[Course Title]],'TSD-Data'!$A$1:$G$83,7,FALSE)</f>
        <v>N3</v>
      </c>
      <c r="AO447" s="500">
        <f>Table2[[#This Row],[Quotas]]-Table2[[#This Row],[Graduates]]-Table2[[#This Row],[Fail]]</f>
        <v>16</v>
      </c>
    </row>
    <row r="448" spans="2:41" s="202" customFormat="1" ht="15" customHeight="1" x14ac:dyDescent="0.25">
      <c r="B448" s="530"/>
      <c r="C448" s="530" t="s">
        <v>399</v>
      </c>
      <c r="D448" s="200" t="str">
        <f>VLOOKUP(Table2[[#This Row],[Course Title]],'TSD-Data'!$A$1:$E$83,2,FALSE)</f>
        <v>A-493-3011</v>
      </c>
      <c r="E448" s="200" t="str">
        <f>VLOOKUP(Table2[[#This Row],[Course Title]],'TSD-Data'!$A$1:$E$83,3,FALSE)</f>
        <v>31VD</v>
      </c>
      <c r="F448" s="530" t="s">
        <v>54</v>
      </c>
      <c r="G448" s="531">
        <v>46189</v>
      </c>
      <c r="H448" s="531">
        <v>46189</v>
      </c>
      <c r="I448" s="531" t="s">
        <v>42</v>
      </c>
      <c r="J448" s="532"/>
      <c r="K448" s="532">
        <v>0.79166666666666663</v>
      </c>
      <c r="L448" s="532">
        <v>0.66666666666666663</v>
      </c>
      <c r="M448" s="532">
        <v>8.3333333333333329E-2</v>
      </c>
      <c r="N448" s="532">
        <v>4.1666666666666664E-2</v>
      </c>
      <c r="O448" s="532">
        <v>0.58333333333333337</v>
      </c>
      <c r="P448" s="532">
        <v>0.33333333333333331</v>
      </c>
      <c r="Q448" s="535" t="s">
        <v>445</v>
      </c>
      <c r="R448" s="535" t="s">
        <v>483</v>
      </c>
      <c r="S448" s="535"/>
      <c r="T448" s="200">
        <f>VLOOKUP(Table2[[#This Row],[Course Title]],'TSD-Data'!$A$1:$E$83,4,FALSE)</f>
        <v>1000</v>
      </c>
      <c r="U448" s="200">
        <f>VLOOKUP(Table2[[#This Row],[Course Title]],'TSD-Data'!$A$1:$F$83,6,FALSE)</f>
        <v>2.5</v>
      </c>
      <c r="V448" s="201">
        <f>VLOOKUP(Table2[[#This Row],[Course Title]],'TSD-Data'!$A$1:$F$83,5,FALSE)</f>
        <v>0.3</v>
      </c>
      <c r="W448" s="201"/>
      <c r="X448" s="200">
        <f>Table2[[#This Row],[Quotas]]-Table2[[#This Row],[Open Quotas]]</f>
        <v>124</v>
      </c>
      <c r="Y448" s="200">
        <v>0</v>
      </c>
      <c r="Z448" s="201">
        <v>16</v>
      </c>
      <c r="AA448" s="201">
        <v>0</v>
      </c>
      <c r="AB448" s="200">
        <v>0</v>
      </c>
      <c r="AC448" s="200">
        <v>0</v>
      </c>
      <c r="AD448" s="200">
        <v>0</v>
      </c>
      <c r="AE448" s="200" t="s">
        <v>442</v>
      </c>
      <c r="AF448" s="495">
        <f ca="1">Table2[[#This Row],[End Date]]+2-TODAY()</f>
        <v>-53</v>
      </c>
      <c r="AG448" s="496">
        <f>IF(ISBLANK(Table2[[#This Row],[Roster Received by]]),1,0)</f>
        <v>0</v>
      </c>
      <c r="AH448" s="496">
        <f ca="1">IF(Table2[[#This Row],[Start Date]]&gt;TODAY(),1,)</f>
        <v>0</v>
      </c>
      <c r="AI448" s="496">
        <f>IF(ISBLANK(Table2[[#This Row],[Primary Instructor]]),0,1)</f>
        <v>1</v>
      </c>
      <c r="AJ448" s="496">
        <f>IF(ISBLANK(Table2[[#This Row],[Instructor 2]]),0,1)</f>
        <v>1</v>
      </c>
      <c r="AK448" s="496">
        <f t="shared" ref="AK448:AK454" si="2">AJ766</f>
        <v>0</v>
      </c>
      <c r="AL448" s="318">
        <v>876</v>
      </c>
      <c r="AM448" s="501">
        <v>3</v>
      </c>
      <c r="AN448" s="496" t="str">
        <f>VLOOKUP(Table2[[#This Row],[Course Title]],'TSD-Data'!$A$1:$G$83,7,FALSE)</f>
        <v>N8-RMI</v>
      </c>
      <c r="AO448" s="500">
        <f>Table2[[#This Row],[Quotas]]-Table2[[#This Row],[Graduates]]-Table2[[#This Row],[Fail]]</f>
        <v>984</v>
      </c>
    </row>
    <row r="449" spans="2:41" ht="15" customHeight="1" x14ac:dyDescent="0.25">
      <c r="B449" s="530"/>
      <c r="C449" s="530" t="s">
        <v>400</v>
      </c>
      <c r="D449" s="200" t="str">
        <f>VLOOKUP(Table2[[#This Row],[Course Title]],'TSD-Data'!$A$1:$E$83,2,FALSE)</f>
        <v>A-493-3010</v>
      </c>
      <c r="E449" s="200" t="str">
        <f>VLOOKUP(Table2[[#This Row],[Course Title]],'TSD-Data'!$A$1:$E$83,3,FALSE)</f>
        <v>31VC</v>
      </c>
      <c r="F449" s="530" t="s">
        <v>54</v>
      </c>
      <c r="G449" s="531">
        <v>46189</v>
      </c>
      <c r="H449" s="531">
        <v>46189</v>
      </c>
      <c r="I449" s="531" t="s">
        <v>42</v>
      </c>
      <c r="J449" s="532"/>
      <c r="K449" s="532">
        <v>0.58333333333333337</v>
      </c>
      <c r="L449" s="532">
        <v>0.45833333333333331</v>
      </c>
      <c r="M449" s="532">
        <v>0.875</v>
      </c>
      <c r="N449" s="532">
        <v>0.83333333333333337</v>
      </c>
      <c r="O449" s="532">
        <v>0.375</v>
      </c>
      <c r="P449" s="532">
        <v>0.125</v>
      </c>
      <c r="Q449" s="535" t="s">
        <v>445</v>
      </c>
      <c r="R449" s="535" t="s">
        <v>483</v>
      </c>
      <c r="S449" s="535"/>
      <c r="T449" s="200">
        <f>VLOOKUP(Table2[[#This Row],[Course Title]],'TSD-Data'!$A$1:$E$83,4,FALSE)</f>
        <v>1000</v>
      </c>
      <c r="U449" s="200">
        <f>VLOOKUP(Table2[[#This Row],[Course Title]],'TSD-Data'!$A$1:$F$83,6,FALSE)</f>
        <v>4</v>
      </c>
      <c r="V449" s="201">
        <f>VLOOKUP(Table2[[#This Row],[Course Title]],'TSD-Data'!$A$1:$F$83,5,FALSE)</f>
        <v>0.5</v>
      </c>
      <c r="W449" s="201"/>
      <c r="X449" s="200">
        <f>Table2[[#This Row],[Quotas]]-Table2[[#This Row],[Open Quotas]]</f>
        <v>124</v>
      </c>
      <c r="Y449" s="200">
        <v>0</v>
      </c>
      <c r="Z449" s="201">
        <v>19</v>
      </c>
      <c r="AA449" s="201">
        <v>0</v>
      </c>
      <c r="AB449" s="200">
        <v>0</v>
      </c>
      <c r="AC449" s="200">
        <v>0</v>
      </c>
      <c r="AD449" s="200">
        <v>0</v>
      </c>
      <c r="AE449" s="200" t="s">
        <v>442</v>
      </c>
      <c r="AF449" s="495">
        <f ca="1">Table2[[#This Row],[End Date]]+2-TODAY()</f>
        <v>-53</v>
      </c>
      <c r="AG449" s="496">
        <f>IF(ISBLANK(Table2[[#This Row],[Roster Received by]]),1,0)</f>
        <v>0</v>
      </c>
      <c r="AH449" s="496">
        <f ca="1">IF(Table2[[#This Row],[Start Date]]&gt;TODAY(),1,)</f>
        <v>0</v>
      </c>
      <c r="AI449" s="496">
        <f>IF(ISBLANK(Table2[[#This Row],[Primary Instructor]]),0,1)</f>
        <v>1</v>
      </c>
      <c r="AJ449" s="496">
        <f>IF(ISBLANK(Table2[[#This Row],[Instructor 2]]),0,1)</f>
        <v>1</v>
      </c>
      <c r="AK449" s="496">
        <f t="shared" si="2"/>
        <v>0</v>
      </c>
      <c r="AL449" s="318">
        <v>876</v>
      </c>
      <c r="AM449" s="501">
        <v>3</v>
      </c>
      <c r="AN449" s="496" t="str">
        <f>VLOOKUP(Table2[[#This Row],[Course Title]],'TSD-Data'!$A$1:$G$83,7,FALSE)</f>
        <v>N8-RMI</v>
      </c>
      <c r="AO449" s="500">
        <f>Table2[[#This Row],[Quotas]]-Table2[[#This Row],[Graduates]]-Table2[[#This Row],[Fail]]</f>
        <v>981</v>
      </c>
    </row>
    <row r="450" spans="2:41" s="202" customFormat="1" ht="15" customHeight="1" x14ac:dyDescent="0.25">
      <c r="B450" s="530"/>
      <c r="C450" s="530" t="s">
        <v>396</v>
      </c>
      <c r="D450" s="200" t="str">
        <f>VLOOKUP(Table2[[#This Row],[Course Title]],'TSD-Data'!$A$1:$E$83,2,FALSE)</f>
        <v>A-493-3018</v>
      </c>
      <c r="E450" s="200" t="str">
        <f>VLOOKUP(Table2[[#This Row],[Course Title]],'TSD-Data'!$A$1:$E$83,3,FALSE)</f>
        <v>31YM</v>
      </c>
      <c r="F450" s="530" t="s">
        <v>54</v>
      </c>
      <c r="G450" s="531">
        <v>46190</v>
      </c>
      <c r="H450" s="531">
        <v>46190</v>
      </c>
      <c r="I450" s="531" t="s">
        <v>42</v>
      </c>
      <c r="J450" s="532"/>
      <c r="K450" s="532">
        <v>0.85416666666666663</v>
      </c>
      <c r="L450" s="532">
        <v>0.72916666666666663</v>
      </c>
      <c r="M450" s="532">
        <v>0.14583333333333334</v>
      </c>
      <c r="N450" s="532">
        <v>0.10416666666666667</v>
      </c>
      <c r="O450" s="532">
        <v>0.64583333333333337</v>
      </c>
      <c r="P450" s="532">
        <v>0.39583333333333331</v>
      </c>
      <c r="Q450" s="535" t="s">
        <v>445</v>
      </c>
      <c r="R450" s="535" t="s">
        <v>483</v>
      </c>
      <c r="S450" s="535"/>
      <c r="T450" s="200">
        <f>VLOOKUP(Table2[[#This Row],[Course Title]],'TSD-Data'!$A$1:$E$83,4,FALSE)</f>
        <v>1000</v>
      </c>
      <c r="U450" s="200">
        <f>VLOOKUP(Table2[[#This Row],[Course Title]],'TSD-Data'!$A$1:$F$83,6,FALSE)</f>
        <v>2</v>
      </c>
      <c r="V450" s="201">
        <f>VLOOKUP(Table2[[#This Row],[Course Title]],'TSD-Data'!$A$1:$F$83,5,FALSE)</f>
        <v>0.25</v>
      </c>
      <c r="W450" s="201"/>
      <c r="X450" s="200">
        <f>Table2[[#This Row],[Quotas]]-Table2[[#This Row],[Open Quotas]]</f>
        <v>124</v>
      </c>
      <c r="Y450" s="200">
        <v>0</v>
      </c>
      <c r="Z450" s="201">
        <v>13</v>
      </c>
      <c r="AA450" s="201">
        <v>0</v>
      </c>
      <c r="AB450" s="200">
        <v>0</v>
      </c>
      <c r="AC450" s="200">
        <v>0</v>
      </c>
      <c r="AD450" s="200">
        <v>0</v>
      </c>
      <c r="AE450" s="200" t="s">
        <v>442</v>
      </c>
      <c r="AF450" s="495">
        <f ca="1">Table2[[#This Row],[End Date]]+2-TODAY()</f>
        <v>-52</v>
      </c>
      <c r="AG450" s="496">
        <f>IF(ISBLANK(Table2[[#This Row],[Roster Received by]]),1,0)</f>
        <v>0</v>
      </c>
      <c r="AH450" s="496">
        <f ca="1">IF(Table2[[#This Row],[Start Date]]&gt;TODAY(),1,)</f>
        <v>0</v>
      </c>
      <c r="AI450" s="496">
        <f>IF(ISBLANK(Table2[[#This Row],[Primary Instructor]]),0,1)</f>
        <v>1</v>
      </c>
      <c r="AJ450" s="496">
        <f>IF(ISBLANK(Table2[[#This Row],[Instructor 2]]),0,1)</f>
        <v>1</v>
      </c>
      <c r="AK450" s="496">
        <f t="shared" si="2"/>
        <v>0</v>
      </c>
      <c r="AL450" s="318">
        <v>876</v>
      </c>
      <c r="AM450" s="501">
        <v>3</v>
      </c>
      <c r="AN450" s="496" t="str">
        <f>VLOOKUP(Table2[[#This Row],[Course Title]],'TSD-Data'!$A$1:$G$83,7,FALSE)</f>
        <v>N8-RMI</v>
      </c>
      <c r="AO450" s="500">
        <f>Table2[[#This Row],[Quotas]]-Table2[[#This Row],[Graduates]]-Table2[[#This Row],[Fail]]</f>
        <v>987</v>
      </c>
    </row>
    <row r="451" spans="2:41" s="202" customFormat="1" ht="15" customHeight="1" x14ac:dyDescent="0.25">
      <c r="B451" s="530"/>
      <c r="C451" s="530" t="s">
        <v>398</v>
      </c>
      <c r="D451" s="200" t="str">
        <f>VLOOKUP(Table2[[#This Row],[Course Title]],'TSD-Data'!$A$1:$E$83,2,FALSE)</f>
        <v>A-493-3004</v>
      </c>
      <c r="E451" s="200" t="str">
        <f>VLOOKUP(Table2[[#This Row],[Course Title]],'TSD-Data'!$A$1:$E$83,3,FALSE)</f>
        <v>31V6</v>
      </c>
      <c r="F451" s="530" t="s">
        <v>54</v>
      </c>
      <c r="G451" s="531">
        <v>46190</v>
      </c>
      <c r="H451" s="531">
        <v>46190</v>
      </c>
      <c r="I451" s="531" t="s">
        <v>42</v>
      </c>
      <c r="J451" s="532"/>
      <c r="K451" s="532">
        <v>0.77083333333333337</v>
      </c>
      <c r="L451" s="532">
        <v>0.64583333333333337</v>
      </c>
      <c r="M451" s="532">
        <v>6.25E-2</v>
      </c>
      <c r="N451" s="532">
        <v>2.0833333333333332E-2</v>
      </c>
      <c r="O451" s="532">
        <v>0.5625</v>
      </c>
      <c r="P451" s="532">
        <v>0.3125</v>
      </c>
      <c r="Q451" s="535" t="s">
        <v>445</v>
      </c>
      <c r="R451" s="535" t="s">
        <v>483</v>
      </c>
      <c r="S451" s="535"/>
      <c r="T451" s="200">
        <f>VLOOKUP(Table2[[#This Row],[Course Title]],'TSD-Data'!$A$1:$E$83,4,FALSE)</f>
        <v>1000</v>
      </c>
      <c r="U451" s="200">
        <f>VLOOKUP(Table2[[#This Row],[Course Title]],'TSD-Data'!$A$1:$F$83,6,FALSE)</f>
        <v>2</v>
      </c>
      <c r="V451" s="201">
        <f>VLOOKUP(Table2[[#This Row],[Course Title]],'TSD-Data'!$A$1:$F$83,5,FALSE)</f>
        <v>0.25</v>
      </c>
      <c r="W451" s="201"/>
      <c r="X451" s="200">
        <f>Table2[[#This Row],[Quotas]]-Table2[[#This Row],[Open Quotas]]</f>
        <v>124</v>
      </c>
      <c r="Y451" s="200">
        <v>0</v>
      </c>
      <c r="Z451" s="201">
        <v>15</v>
      </c>
      <c r="AA451" s="201">
        <v>0</v>
      </c>
      <c r="AB451" s="200">
        <v>0</v>
      </c>
      <c r="AC451" s="200">
        <v>0</v>
      </c>
      <c r="AD451" s="200">
        <v>0</v>
      </c>
      <c r="AE451" s="200" t="s">
        <v>442</v>
      </c>
      <c r="AF451" s="495">
        <f ca="1">Table2[[#This Row],[End Date]]+2-TODAY()</f>
        <v>-52</v>
      </c>
      <c r="AG451" s="496">
        <f>IF(ISBLANK(Table2[[#This Row],[Roster Received by]]),1,0)</f>
        <v>0</v>
      </c>
      <c r="AH451" s="496">
        <f ca="1">IF(Table2[[#This Row],[Start Date]]&gt;TODAY(),1,)</f>
        <v>0</v>
      </c>
      <c r="AI451" s="496">
        <f>IF(ISBLANK(Table2[[#This Row],[Primary Instructor]]),0,1)</f>
        <v>1</v>
      </c>
      <c r="AJ451" s="496">
        <f>IF(ISBLANK(Table2[[#This Row],[Instructor 2]]),0,1)</f>
        <v>1</v>
      </c>
      <c r="AK451" s="496">
        <f t="shared" si="2"/>
        <v>0</v>
      </c>
      <c r="AL451" s="318">
        <v>876</v>
      </c>
      <c r="AM451" s="501">
        <v>3</v>
      </c>
      <c r="AN451" s="496" t="str">
        <f>VLOOKUP(Table2[[#This Row],[Course Title]],'TSD-Data'!$A$1:$G$83,7,FALSE)</f>
        <v>N8-RMI</v>
      </c>
      <c r="AO451" s="500">
        <f>Table2[[#This Row],[Quotas]]-Table2[[#This Row],[Graduates]]-Table2[[#This Row],[Fail]]</f>
        <v>985</v>
      </c>
    </row>
    <row r="452" spans="2:41" s="202" customFormat="1" ht="15" customHeight="1" x14ac:dyDescent="0.25">
      <c r="B452" s="530"/>
      <c r="C452" s="530" t="s">
        <v>409</v>
      </c>
      <c r="D452" s="200" t="str">
        <f>VLOOKUP(Table2[[#This Row],[Course Title]],'TSD-Data'!$A$1:$E$83,2,FALSE)</f>
        <v>A-493-3001</v>
      </c>
      <c r="E452" s="200" t="str">
        <f>VLOOKUP(Table2[[#This Row],[Course Title]],'TSD-Data'!$A$1:$E$83,3,FALSE)</f>
        <v>31V3</v>
      </c>
      <c r="F452" s="530" t="s">
        <v>54</v>
      </c>
      <c r="G452" s="531">
        <v>46190</v>
      </c>
      <c r="H452" s="531">
        <v>46190</v>
      </c>
      <c r="I452" s="531" t="s">
        <v>42</v>
      </c>
      <c r="J452" s="532"/>
      <c r="K452" s="532">
        <v>0.58333333333333337</v>
      </c>
      <c r="L452" s="532">
        <v>0.45833333333333331</v>
      </c>
      <c r="M452" s="532">
        <v>0.875</v>
      </c>
      <c r="N452" s="532">
        <v>0.83333333333333337</v>
      </c>
      <c r="O452" s="532">
        <v>0.375</v>
      </c>
      <c r="P452" s="532">
        <v>0.125</v>
      </c>
      <c r="Q452" s="535" t="s">
        <v>445</v>
      </c>
      <c r="R452" s="535" t="s">
        <v>483</v>
      </c>
      <c r="S452" s="535"/>
      <c r="T452" s="200">
        <f>VLOOKUP(Table2[[#This Row],[Course Title]],'TSD-Data'!$A$1:$E$83,4,FALSE)</f>
        <v>1000</v>
      </c>
      <c r="U452" s="200">
        <f>VLOOKUP(Table2[[#This Row],[Course Title]],'TSD-Data'!$A$1:$F$83,6,FALSE)</f>
        <v>2</v>
      </c>
      <c r="V452" s="201">
        <f>VLOOKUP(Table2[[#This Row],[Course Title]],'TSD-Data'!$A$1:$F$83,5,FALSE)</f>
        <v>0.25</v>
      </c>
      <c r="W452" s="201"/>
      <c r="X452" s="200">
        <f>Table2[[#This Row],[Quotas]]-Table2[[#This Row],[Open Quotas]]</f>
        <v>124</v>
      </c>
      <c r="Y452" s="200">
        <v>0</v>
      </c>
      <c r="Z452" s="201">
        <v>17</v>
      </c>
      <c r="AA452" s="201">
        <v>0</v>
      </c>
      <c r="AB452" s="200">
        <v>0</v>
      </c>
      <c r="AC452" s="200">
        <v>0</v>
      </c>
      <c r="AD452" s="200">
        <v>0</v>
      </c>
      <c r="AE452" s="200" t="s">
        <v>442</v>
      </c>
      <c r="AF452" s="495">
        <f ca="1">Table2[[#This Row],[End Date]]+2-TODAY()</f>
        <v>-52</v>
      </c>
      <c r="AG452" s="496">
        <f>IF(ISBLANK(Table2[[#This Row],[Roster Received by]]),1,0)</f>
        <v>0</v>
      </c>
      <c r="AH452" s="496">
        <f ca="1">IF(Table2[[#This Row],[Start Date]]&gt;TODAY(),1,)</f>
        <v>0</v>
      </c>
      <c r="AI452" s="496">
        <f>IF(ISBLANK(Table2[[#This Row],[Primary Instructor]]),0,1)</f>
        <v>1</v>
      </c>
      <c r="AJ452" s="496">
        <f>IF(ISBLANK(Table2[[#This Row],[Instructor 2]]),0,1)</f>
        <v>1</v>
      </c>
      <c r="AK452" s="496">
        <f t="shared" si="2"/>
        <v>0</v>
      </c>
      <c r="AL452" s="318">
        <v>876</v>
      </c>
      <c r="AM452" s="501">
        <v>3</v>
      </c>
      <c r="AN452" s="496" t="str">
        <f>VLOOKUP(Table2[[#This Row],[Course Title]],'TSD-Data'!$A$1:$G$83,7,FALSE)</f>
        <v>N8-RMI</v>
      </c>
      <c r="AO452" s="500">
        <f>Table2[[#This Row],[Quotas]]-Table2[[#This Row],[Graduates]]-Table2[[#This Row],[Fail]]</f>
        <v>983</v>
      </c>
    </row>
    <row r="453" spans="2:41" s="202" customFormat="1" ht="15" customHeight="1" x14ac:dyDescent="0.25">
      <c r="B453" s="530"/>
      <c r="C453" s="530" t="s">
        <v>403</v>
      </c>
      <c r="D453" s="200" t="str">
        <f>VLOOKUP(Table2[[#This Row],[Course Title]],'TSD-Data'!$A$1:$E$83,2,FALSE)</f>
        <v>A-493-3013</v>
      </c>
      <c r="E453" s="200" t="str">
        <f>VLOOKUP(Table2[[#This Row],[Course Title]],'TSD-Data'!$A$1:$E$83,3,FALSE)</f>
        <v>31YG</v>
      </c>
      <c r="F453" s="530" t="s">
        <v>54</v>
      </c>
      <c r="G453" s="531">
        <v>46191</v>
      </c>
      <c r="H453" s="531">
        <v>46191</v>
      </c>
      <c r="I453" s="531" t="s">
        <v>42</v>
      </c>
      <c r="J453" s="532"/>
      <c r="K453" s="532">
        <v>0.6875</v>
      </c>
      <c r="L453" s="532">
        <v>0.5625</v>
      </c>
      <c r="M453" s="532">
        <v>0.97916666666666663</v>
      </c>
      <c r="N453" s="532">
        <v>0.9375</v>
      </c>
      <c r="O453" s="532">
        <v>0.47916666666666669</v>
      </c>
      <c r="P453" s="532">
        <v>0.22916666666666666</v>
      </c>
      <c r="Q453" s="535" t="s">
        <v>445</v>
      </c>
      <c r="R453" s="535" t="s">
        <v>483</v>
      </c>
      <c r="S453" s="535"/>
      <c r="T453" s="200">
        <f>VLOOKUP(Table2[[#This Row],[Course Title]],'TSD-Data'!$A$1:$E$83,4,FALSE)</f>
        <v>1000</v>
      </c>
      <c r="U453" s="200">
        <f>VLOOKUP(Table2[[#This Row],[Course Title]],'TSD-Data'!$A$1:$F$83,6,FALSE)</f>
        <v>2</v>
      </c>
      <c r="V453" s="201">
        <f>VLOOKUP(Table2[[#This Row],[Course Title]],'TSD-Data'!$A$1:$F$83,5,FALSE)</f>
        <v>0.25</v>
      </c>
      <c r="W453" s="201"/>
      <c r="X453" s="200">
        <f>Table2[[#This Row],[Quotas]]-Table2[[#This Row],[Open Quotas]]</f>
        <v>124</v>
      </c>
      <c r="Y453" s="200">
        <v>0</v>
      </c>
      <c r="Z453" s="201">
        <v>15</v>
      </c>
      <c r="AA453" s="201">
        <v>0</v>
      </c>
      <c r="AB453" s="200">
        <v>0</v>
      </c>
      <c r="AC453" s="200">
        <v>0</v>
      </c>
      <c r="AD453" s="200">
        <v>0</v>
      </c>
      <c r="AE453" s="200" t="s">
        <v>442</v>
      </c>
      <c r="AF453" s="495">
        <f ca="1">Table2[[#This Row],[End Date]]+2-TODAY()</f>
        <v>-51</v>
      </c>
      <c r="AG453" s="496">
        <f>IF(ISBLANK(Table2[[#This Row],[Roster Received by]]),1,0)</f>
        <v>0</v>
      </c>
      <c r="AH453" s="496">
        <f ca="1">IF(Table2[[#This Row],[Start Date]]&gt;TODAY(),1,)</f>
        <v>0</v>
      </c>
      <c r="AI453" s="496">
        <f>IF(ISBLANK(Table2[[#This Row],[Primary Instructor]]),0,1)</f>
        <v>1</v>
      </c>
      <c r="AJ453" s="496">
        <f>IF(ISBLANK(Table2[[#This Row],[Instructor 2]]),0,1)</f>
        <v>1</v>
      </c>
      <c r="AK453" s="496">
        <f t="shared" si="2"/>
        <v>0</v>
      </c>
      <c r="AL453" s="318">
        <v>876</v>
      </c>
      <c r="AM453" s="501">
        <v>3</v>
      </c>
      <c r="AN453" s="496" t="str">
        <f>VLOOKUP(Table2[[#This Row],[Course Title]],'TSD-Data'!$A$1:$G$83,7,FALSE)</f>
        <v>N8-RMI</v>
      </c>
      <c r="AO453" s="500">
        <f>Table2[[#This Row],[Quotas]]-Table2[[#This Row],[Graduates]]-Table2[[#This Row],[Fail]]</f>
        <v>985</v>
      </c>
    </row>
    <row r="454" spans="2:41" s="202" customFormat="1" ht="15" customHeight="1" x14ac:dyDescent="0.25">
      <c r="B454" s="530"/>
      <c r="C454" s="530" t="s">
        <v>404</v>
      </c>
      <c r="D454" s="200" t="str">
        <f>VLOOKUP(Table2[[#This Row],[Course Title]],'TSD-Data'!$A$1:$E$83,2,FALSE)</f>
        <v>A-493-3014</v>
      </c>
      <c r="E454" s="200" t="str">
        <f>VLOOKUP(Table2[[#This Row],[Course Title]],'TSD-Data'!$A$1:$E$83,3,FALSE)</f>
        <v>31Yh</v>
      </c>
      <c r="F454" s="530" t="s">
        <v>54</v>
      </c>
      <c r="G454" s="531">
        <v>46191</v>
      </c>
      <c r="H454" s="531">
        <v>46191</v>
      </c>
      <c r="I454" s="531" t="s">
        <v>42</v>
      </c>
      <c r="J454" s="532"/>
      <c r="K454" s="532">
        <v>0.77083333333333337</v>
      </c>
      <c r="L454" s="532">
        <v>0.64583333333333337</v>
      </c>
      <c r="M454" s="532">
        <v>6.25E-2</v>
      </c>
      <c r="N454" s="532">
        <v>2.0833333333333332E-2</v>
      </c>
      <c r="O454" s="532">
        <v>0.5625</v>
      </c>
      <c r="P454" s="532">
        <v>0.3125</v>
      </c>
      <c r="Q454" s="535" t="s">
        <v>445</v>
      </c>
      <c r="R454" s="535" t="s">
        <v>483</v>
      </c>
      <c r="S454" s="535"/>
      <c r="T454" s="200">
        <f>VLOOKUP(Table2[[#This Row],[Course Title]],'TSD-Data'!$A$1:$E$83,4,FALSE)</f>
        <v>1000</v>
      </c>
      <c r="U454" s="200">
        <f>VLOOKUP(Table2[[#This Row],[Course Title]],'TSD-Data'!$A$1:$F$83,6,FALSE)</f>
        <v>1.5</v>
      </c>
      <c r="V454" s="201">
        <f>VLOOKUP(Table2[[#This Row],[Course Title]],'TSD-Data'!$A$1:$F$83,5,FALSE)</f>
        <v>0.1</v>
      </c>
      <c r="W454" s="201"/>
      <c r="X454" s="200">
        <f>Table2[[#This Row],[Quotas]]-Table2[[#This Row],[Open Quotas]]</f>
        <v>124</v>
      </c>
      <c r="Y454" s="200">
        <v>0</v>
      </c>
      <c r="Z454" s="201">
        <v>12</v>
      </c>
      <c r="AA454" s="201">
        <v>0</v>
      </c>
      <c r="AB454" s="200">
        <v>0</v>
      </c>
      <c r="AC454" s="200">
        <v>0</v>
      </c>
      <c r="AD454" s="200">
        <v>0</v>
      </c>
      <c r="AE454" s="200" t="s">
        <v>442</v>
      </c>
      <c r="AF454" s="495">
        <f ca="1">Table2[[#This Row],[End Date]]+2-TODAY()</f>
        <v>-51</v>
      </c>
      <c r="AG454" s="496">
        <f>IF(ISBLANK(Table2[[#This Row],[Roster Received by]]),1,0)</f>
        <v>0</v>
      </c>
      <c r="AH454" s="496">
        <f ca="1">IF(Table2[[#This Row],[Start Date]]&gt;TODAY(),1,)</f>
        <v>0</v>
      </c>
      <c r="AI454" s="496">
        <f>IF(ISBLANK(Table2[[#This Row],[Primary Instructor]]),0,1)</f>
        <v>1</v>
      </c>
      <c r="AJ454" s="496">
        <f>IF(ISBLANK(Table2[[#This Row],[Instructor 2]]),0,1)</f>
        <v>1</v>
      </c>
      <c r="AK454" s="496">
        <f t="shared" si="2"/>
        <v>0</v>
      </c>
      <c r="AL454" s="318">
        <v>876</v>
      </c>
      <c r="AM454" s="501">
        <v>3</v>
      </c>
      <c r="AN454" s="496" t="str">
        <f>VLOOKUP(Table2[[#This Row],[Course Title]],'TSD-Data'!$A$1:$G$83,7,FALSE)</f>
        <v>N8-RMI</v>
      </c>
      <c r="AO454" s="500">
        <f>Table2[[#This Row],[Quotas]]-Table2[[#This Row],[Graduates]]-Table2[[#This Row],[Fail]]</f>
        <v>988</v>
      </c>
    </row>
    <row r="455" spans="2:41" s="202" customFormat="1" ht="15" customHeight="1" x14ac:dyDescent="0.25">
      <c r="B455" s="530"/>
      <c r="C455" s="530" t="s">
        <v>405</v>
      </c>
      <c r="D455" s="200" t="str">
        <f>VLOOKUP(Table2[[#This Row],[Course Title]],'TSD-Data'!$A$1:$E$83,2,FALSE)</f>
        <v>A-493-3015</v>
      </c>
      <c r="E455" s="200" t="str">
        <f>VLOOKUP(Table2[[#This Row],[Course Title]],'TSD-Data'!$A$1:$E$83,3,FALSE)</f>
        <v>31YJ</v>
      </c>
      <c r="F455" s="530" t="s">
        <v>54</v>
      </c>
      <c r="G455" s="531">
        <v>46191</v>
      </c>
      <c r="H455" s="531">
        <v>46191</v>
      </c>
      <c r="I455" s="531" t="s">
        <v>42</v>
      </c>
      <c r="J455" s="532"/>
      <c r="K455" s="532">
        <v>0.58333333333333337</v>
      </c>
      <c r="L455" s="532">
        <v>0.45833333333333331</v>
      </c>
      <c r="M455" s="532">
        <v>0.875</v>
      </c>
      <c r="N455" s="532">
        <v>0.83333333333333337</v>
      </c>
      <c r="O455" s="532">
        <v>0.375</v>
      </c>
      <c r="P455" s="532">
        <v>0.125</v>
      </c>
      <c r="Q455" s="535" t="s">
        <v>445</v>
      </c>
      <c r="R455" s="535" t="s">
        <v>483</v>
      </c>
      <c r="S455" s="535"/>
      <c r="T455" s="200">
        <f>VLOOKUP(Table2[[#This Row],[Course Title]],'TSD-Data'!$A$1:$E$83,4,FALSE)</f>
        <v>1000</v>
      </c>
      <c r="U455" s="200">
        <f>VLOOKUP(Table2[[#This Row],[Course Title]],'TSD-Data'!$A$1:$F$83,6,FALSE)</f>
        <v>1.5</v>
      </c>
      <c r="V455" s="201">
        <f>VLOOKUP(Table2[[#This Row],[Course Title]],'TSD-Data'!$A$1:$F$83,5,FALSE)</f>
        <v>0.1</v>
      </c>
      <c r="W455" s="201"/>
      <c r="X455" s="200">
        <f>Table2[[#This Row],[Quotas]]-Table2[[#This Row],[Open Quotas]]</f>
        <v>124</v>
      </c>
      <c r="Y455" s="200">
        <v>0</v>
      </c>
      <c r="Z455" s="201">
        <v>17</v>
      </c>
      <c r="AA455" s="201">
        <v>0</v>
      </c>
      <c r="AB455" s="200">
        <v>0</v>
      </c>
      <c r="AC455" s="200">
        <v>0</v>
      </c>
      <c r="AD455" s="200">
        <v>0</v>
      </c>
      <c r="AE455" s="200" t="s">
        <v>442</v>
      </c>
      <c r="AF455" s="495">
        <f ca="1">Table2[[#This Row],[End Date]]+2-TODAY()</f>
        <v>-51</v>
      </c>
      <c r="AG455" s="496">
        <f>IF(ISBLANK(Table2[[#This Row],[Roster Received by]]),1,0)</f>
        <v>0</v>
      </c>
      <c r="AH455" s="496">
        <f ca="1">IF(Table2[[#This Row],[Start Date]]&gt;TODAY(),1,)</f>
        <v>0</v>
      </c>
      <c r="AI455" s="496">
        <f>IF(ISBLANK(Table2[[#This Row],[Primary Instructor]]),0,1)</f>
        <v>1</v>
      </c>
      <c r="AJ455" s="496">
        <f>IF(ISBLANK(Table2[[#This Row],[Instructor 2]]),0,1)</f>
        <v>1</v>
      </c>
      <c r="AK455" s="496">
        <f>AJ780</f>
        <v>0</v>
      </c>
      <c r="AL455" s="318">
        <v>876</v>
      </c>
      <c r="AM455" s="501">
        <v>3</v>
      </c>
      <c r="AN455" s="496" t="str">
        <f>VLOOKUP(Table2[[#This Row],[Course Title]],'TSD-Data'!$A$1:$G$83,7,FALSE)</f>
        <v>N8-RMI</v>
      </c>
      <c r="AO455" s="500">
        <f>Table2[[#This Row],[Quotas]]-Table2[[#This Row],[Graduates]]-Table2[[#This Row],[Fail]]</f>
        <v>983</v>
      </c>
    </row>
    <row r="456" spans="2:41" s="202" customFormat="1" ht="15" customHeight="1" x14ac:dyDescent="0.25">
      <c r="B456" s="530"/>
      <c r="C456" s="530" t="s">
        <v>406</v>
      </c>
      <c r="D456" s="200" t="str">
        <f>VLOOKUP(Table2[[#This Row],[Course Title]],'TSD-Data'!$A$1:$E$83,2,FALSE)</f>
        <v>A-493-3016</v>
      </c>
      <c r="E456" s="200" t="str">
        <f>VLOOKUP(Table2[[#This Row],[Course Title]],'TSD-Data'!$A$1:$E$83,3,FALSE)</f>
        <v>31Yk</v>
      </c>
      <c r="F456" s="530" t="s">
        <v>54</v>
      </c>
      <c r="G456" s="531">
        <v>46191</v>
      </c>
      <c r="H456" s="531">
        <v>46191</v>
      </c>
      <c r="I456" s="531" t="s">
        <v>42</v>
      </c>
      <c r="J456" s="532"/>
      <c r="K456" s="532">
        <v>0.85416666666666663</v>
      </c>
      <c r="L456" s="532">
        <v>0.72916666666666663</v>
      </c>
      <c r="M456" s="532">
        <v>0.14583333333333334</v>
      </c>
      <c r="N456" s="532">
        <v>0.10416666666666667</v>
      </c>
      <c r="O456" s="532">
        <v>0.64583333333333337</v>
      </c>
      <c r="P456" s="532">
        <v>0.39583333333333331</v>
      </c>
      <c r="Q456" s="535" t="s">
        <v>445</v>
      </c>
      <c r="R456" s="535" t="s">
        <v>483</v>
      </c>
      <c r="S456" s="535"/>
      <c r="T456" s="200">
        <f>VLOOKUP(Table2[[#This Row],[Course Title]],'TSD-Data'!$A$1:$E$83,4,FALSE)</f>
        <v>1000</v>
      </c>
      <c r="U456" s="200">
        <f>VLOOKUP(Table2[[#This Row],[Course Title]],'TSD-Data'!$A$1:$F$83,6,FALSE)</f>
        <v>1.5</v>
      </c>
      <c r="V456" s="201">
        <f>VLOOKUP(Table2[[#This Row],[Course Title]],'TSD-Data'!$A$1:$F$83,5,FALSE)</f>
        <v>0.1</v>
      </c>
      <c r="W456" s="201"/>
      <c r="X456" s="200">
        <f>Table2[[#This Row],[Quotas]]-Table2[[#This Row],[Open Quotas]]</f>
        <v>124</v>
      </c>
      <c r="Y456" s="200">
        <v>0</v>
      </c>
      <c r="Z456" s="201">
        <v>13</v>
      </c>
      <c r="AA456" s="201">
        <v>0</v>
      </c>
      <c r="AB456" s="200">
        <v>0</v>
      </c>
      <c r="AC456" s="200">
        <v>0</v>
      </c>
      <c r="AD456" s="200">
        <v>0</v>
      </c>
      <c r="AE456" s="200" t="s">
        <v>442</v>
      </c>
      <c r="AF456" s="495">
        <f ca="1">Table2[[#This Row],[End Date]]+2-TODAY()</f>
        <v>-51</v>
      </c>
      <c r="AG456" s="496">
        <f>IF(ISBLANK(Table2[[#This Row],[Roster Received by]]),1,0)</f>
        <v>0</v>
      </c>
      <c r="AH456" s="496">
        <f ca="1">IF(Table2[[#This Row],[Start Date]]&gt;TODAY(),1,)</f>
        <v>0</v>
      </c>
      <c r="AI456" s="496">
        <f>IF(ISBLANK(Table2[[#This Row],[Primary Instructor]]),0,1)</f>
        <v>1</v>
      </c>
      <c r="AJ456" s="496">
        <f>IF(ISBLANK(Table2[[#This Row],[Instructor 2]]),0,1)</f>
        <v>1</v>
      </c>
      <c r="AK456" s="496">
        <f>AJ774</f>
        <v>0</v>
      </c>
      <c r="AL456" s="318">
        <v>876</v>
      </c>
      <c r="AM456" s="501">
        <v>3</v>
      </c>
      <c r="AN456" s="496" t="str">
        <f>VLOOKUP(Table2[[#This Row],[Course Title]],'TSD-Data'!$A$1:$G$83,7,FALSE)</f>
        <v>N8-RMI</v>
      </c>
      <c r="AO456" s="500">
        <f>Table2[[#This Row],[Quotas]]-Table2[[#This Row],[Graduates]]-Table2[[#This Row],[Fail]]</f>
        <v>987</v>
      </c>
    </row>
    <row r="457" spans="2:41" ht="15" customHeight="1" x14ac:dyDescent="0.25">
      <c r="B457" s="530" t="s">
        <v>226</v>
      </c>
      <c r="C457" s="530" t="s">
        <v>218</v>
      </c>
      <c r="D457" s="200" t="str">
        <f>VLOOKUP(Table2[[#This Row],[Course Title]],'TSD-Data'!$A$1:$E$83,2,FALSE)</f>
        <v>Holiday</v>
      </c>
      <c r="E457" s="200" t="str">
        <f>VLOOKUP(Table2[[#This Row],[Course Title]],'TSD-Data'!$A$1:$E$83,3,FALSE)</f>
        <v>Holiday</v>
      </c>
      <c r="F457" s="530" t="s">
        <v>218</v>
      </c>
      <c r="G457" s="531">
        <v>46192</v>
      </c>
      <c r="H457" s="531">
        <v>46192</v>
      </c>
      <c r="I457" s="531" t="s">
        <v>434</v>
      </c>
      <c r="J457" s="532"/>
      <c r="K457" s="532"/>
      <c r="L457" s="531"/>
      <c r="M457" s="531"/>
      <c r="N457" s="531"/>
      <c r="O457" s="531"/>
      <c r="P457" s="531"/>
      <c r="Q457" s="535" t="s">
        <v>435</v>
      </c>
      <c r="R457" s="535"/>
      <c r="S457" s="542"/>
      <c r="T457" s="200">
        <f>VLOOKUP(Table2[[#This Row],[Course Title]],'TSD-Data'!$A$1:$E$83,4,FALSE)</f>
        <v>0</v>
      </c>
      <c r="U457" s="200">
        <f>VLOOKUP(Table2[[#This Row],[Course Title]],'TSD-Data'!$A$1:$F$83,6,FALSE)</f>
        <v>0</v>
      </c>
      <c r="V457" s="201">
        <f>VLOOKUP(Table2[[#This Row],[Course Title]],'TSD-Data'!$A$1:$F$83,5,FALSE)</f>
        <v>0</v>
      </c>
      <c r="W457" s="201">
        <v>0</v>
      </c>
      <c r="X457" s="200">
        <f>Table2[[#This Row],[Quotas]]-Table2[[#This Row],[Open Quotas]]</f>
        <v>0</v>
      </c>
      <c r="Y457" s="200">
        <v>0</v>
      </c>
      <c r="Z457" s="200">
        <v>0</v>
      </c>
      <c r="AA457" s="200">
        <v>0</v>
      </c>
      <c r="AB457" s="200">
        <v>0</v>
      </c>
      <c r="AC457" s="200">
        <v>0</v>
      </c>
      <c r="AD457" s="200">
        <v>0</v>
      </c>
      <c r="AE457" s="541" t="s">
        <v>436</v>
      </c>
      <c r="AF457" s="495">
        <f ca="1">Table2[[#This Row],[End Date]]+2-TODAY()</f>
        <v>-50</v>
      </c>
      <c r="AG457" s="496">
        <f>IF(ISBLANK(Table2[[#This Row],[Roster Received by]]),1,0)</f>
        <v>0</v>
      </c>
      <c r="AH457" s="496">
        <f ca="1">IF(Table2[[#This Row],[Start Date]]&gt;TODAY(),1,)</f>
        <v>0</v>
      </c>
      <c r="AI457" s="496">
        <f>IF(ISBLANK(Table2[[#This Row],[Primary Instructor]]),0,1)</f>
        <v>1</v>
      </c>
      <c r="AJ457" s="496">
        <f>IF(ISBLANK(Table2[[#This Row],[Instructor 2]]),0,1)</f>
        <v>0</v>
      </c>
      <c r="AK457" s="496">
        <f>Table2[[#This Row],[Course Length (Hours)]]/(Table2[[#This Row],[1 Instructor]]+Table2[[#This Row],[2 Instructors]])</f>
        <v>0</v>
      </c>
      <c r="AL457" s="318"/>
      <c r="AM457" s="496">
        <v>3</v>
      </c>
      <c r="AN457" s="496" t="str">
        <f>VLOOKUP(Table2[[#This Row],[Course Title]],'TSD-Data'!$A$1:$G$83,7,FALSE)</f>
        <v>TSD</v>
      </c>
      <c r="AO457" s="500">
        <f>Table2[[#This Row],[Quotas]]-Table2[[#This Row],[Graduates]]-Table2[[#This Row],[Fail]]</f>
        <v>0</v>
      </c>
    </row>
    <row r="458" spans="2:41" s="202" customFormat="1" ht="15" customHeight="1" x14ac:dyDescent="0.25">
      <c r="B458" s="530"/>
      <c r="C458" s="530" t="s">
        <v>196</v>
      </c>
      <c r="D458" s="200" t="str">
        <f>VLOOKUP(Table2[[#This Row],[Course Title]],'TSD-Data'!$A$1:$E$83,2,FALSE)</f>
        <v>A-4J-0022</v>
      </c>
      <c r="E458" s="200" t="str">
        <f>VLOOKUP(Table2[[#This Row],[Course Title]],'TSD-Data'!$A$1:$E$83,3,FALSE)</f>
        <v>09ER</v>
      </c>
      <c r="F458" s="530" t="s">
        <v>54</v>
      </c>
      <c r="G458" s="531">
        <v>46195</v>
      </c>
      <c r="H458" s="531">
        <v>46199</v>
      </c>
      <c r="I458" s="531" t="s">
        <v>42</v>
      </c>
      <c r="J458" s="532"/>
      <c r="K458" s="532">
        <v>0.33333333333333331</v>
      </c>
      <c r="L458" s="532">
        <v>0.20833333333333334</v>
      </c>
      <c r="M458" s="532">
        <v>0.625</v>
      </c>
      <c r="N458" s="532">
        <v>0.54166666666666663</v>
      </c>
      <c r="O458" s="532">
        <v>8.3333333333333329E-2</v>
      </c>
      <c r="P458" s="532">
        <v>0.875</v>
      </c>
      <c r="Q458" s="535" t="s">
        <v>295</v>
      </c>
      <c r="R458" s="535"/>
      <c r="S458" s="535"/>
      <c r="T458" s="200">
        <f>VLOOKUP(Table2[[#This Row],[Course Title]],'TSD-Data'!$A$1:$E$83,4,FALSE)</f>
        <v>45</v>
      </c>
      <c r="U458" s="200">
        <f>VLOOKUP(Table2[[#This Row],[Course Title]],'TSD-Data'!$A$1:$F$83,6,FALSE)</f>
        <v>40</v>
      </c>
      <c r="V458" s="201">
        <f>VLOOKUP(Table2[[#This Row],[Course Title]],'TSD-Data'!$A$1:$F$83,5,FALSE)</f>
        <v>2</v>
      </c>
      <c r="W458" s="201">
        <v>141</v>
      </c>
      <c r="X458" s="200">
        <f>Table2[[#This Row],[Quotas]]-Table2[[#This Row],[Open Quotas]]</f>
        <v>20</v>
      </c>
      <c r="Y458" s="200">
        <v>0</v>
      </c>
      <c r="Z458" s="201">
        <v>16</v>
      </c>
      <c r="AA458" s="201">
        <v>0</v>
      </c>
      <c r="AB458" s="200">
        <v>5</v>
      </c>
      <c r="AC458" s="200">
        <v>1</v>
      </c>
      <c r="AD458" s="200">
        <v>0</v>
      </c>
      <c r="AE458" s="200" t="s">
        <v>428</v>
      </c>
      <c r="AF458" s="495">
        <f ca="1">Table2[[#This Row],[End Date]]+2-TODAY()</f>
        <v>-43</v>
      </c>
      <c r="AG458" s="496">
        <f>IF(ISBLANK(Table2[[#This Row],[Roster Received by]]),1,0)</f>
        <v>0</v>
      </c>
      <c r="AH458" s="496">
        <f ca="1">IF(Table2[[#This Row],[Start Date]]&gt;TODAY(),1,)</f>
        <v>0</v>
      </c>
      <c r="AI458" s="496">
        <f>IF(ISBLANK(Table2[[#This Row],[Primary Instructor]]),0,1)</f>
        <v>1</v>
      </c>
      <c r="AJ458" s="496">
        <f>IF(ISBLANK(Table2[[#This Row],[Instructor 2]]),0,1)</f>
        <v>0</v>
      </c>
      <c r="AK458" s="496">
        <f>Table2[[#This Row],[Course Length (Hours)]]/(Table2[[#This Row],[1 Instructor]]+Table2[[#This Row],[2 Instructors]])</f>
        <v>40</v>
      </c>
      <c r="AL458" s="318">
        <v>25</v>
      </c>
      <c r="AM458" s="496">
        <v>3</v>
      </c>
      <c r="AN458" s="496" t="str">
        <f>VLOOKUP(Table2[[#This Row],[Course Title]],'TSD-Data'!$A$1:$G$83,7,FALSE)</f>
        <v>N4</v>
      </c>
      <c r="AO458" s="500">
        <f>Table2[[#This Row],[Quotas]]-Table2[[#This Row],[Graduates]]-Table2[[#This Row],[Fail]]</f>
        <v>29</v>
      </c>
    </row>
    <row r="459" spans="2:41" s="202" customFormat="1" ht="15" customHeight="1" x14ac:dyDescent="0.25">
      <c r="B459" s="530" t="s">
        <v>479</v>
      </c>
      <c r="C459" s="530" t="s">
        <v>157</v>
      </c>
      <c r="D459" s="200" t="str">
        <f>VLOOKUP(Table2[[#This Row],[Course Title]],'TSD-Data'!$A$1:$E$83,2,FALSE)</f>
        <v>A-493-0021</v>
      </c>
      <c r="E459" s="200" t="str">
        <f>VLOOKUP(Table2[[#This Row],[Course Title]],'TSD-Data'!$A$1:$E$83,3,FALSE)</f>
        <v>18BN</v>
      </c>
      <c r="F459" s="530" t="s">
        <v>121</v>
      </c>
      <c r="G459" s="531">
        <v>46195</v>
      </c>
      <c r="H459" s="531">
        <v>46199</v>
      </c>
      <c r="I459" s="531" t="s">
        <v>42</v>
      </c>
      <c r="J459" s="532">
        <v>0.33333333333333331</v>
      </c>
      <c r="K459" s="532"/>
      <c r="L459" s="531"/>
      <c r="M459" s="531"/>
      <c r="N459" s="531"/>
      <c r="O459" s="531"/>
      <c r="P459" s="531"/>
      <c r="Q459" s="535" t="s">
        <v>280</v>
      </c>
      <c r="R459" s="535"/>
      <c r="S459" s="535"/>
      <c r="T459" s="200">
        <f>VLOOKUP(Table2[[#This Row],[Course Title]],'TSD-Data'!$A$1:$E$83,4,FALSE)</f>
        <v>35</v>
      </c>
      <c r="U459" s="200">
        <f>VLOOKUP(Table2[[#This Row],[Course Title]],'TSD-Data'!$A$1:$F$83,6,FALSE)</f>
        <v>30</v>
      </c>
      <c r="V459" s="201">
        <f>VLOOKUP(Table2[[#This Row],[Course Title]],'TSD-Data'!$A$1:$F$83,5,FALSE)</f>
        <v>5</v>
      </c>
      <c r="W459" s="201">
        <v>20</v>
      </c>
      <c r="X459" s="200">
        <f>Table2[[#This Row],[Quotas]]-Table2[[#This Row],[Open Quotas]]</f>
        <v>10</v>
      </c>
      <c r="Y459" s="200">
        <v>0</v>
      </c>
      <c r="Z459" s="201">
        <v>9</v>
      </c>
      <c r="AA459" s="201">
        <v>0</v>
      </c>
      <c r="AB459" s="200">
        <v>1</v>
      </c>
      <c r="AC459" s="200">
        <v>0</v>
      </c>
      <c r="AD459" s="200">
        <v>0</v>
      </c>
      <c r="AE459" s="200" t="s">
        <v>431</v>
      </c>
      <c r="AF459" s="495">
        <f ca="1">Table2[[#This Row],[End Date]]+2-TODAY()</f>
        <v>-43</v>
      </c>
      <c r="AG459" s="496">
        <f>IF(ISBLANK(Table2[[#This Row],[Roster Received by]]),1,0)</f>
        <v>0</v>
      </c>
      <c r="AH459" s="496">
        <f ca="1">IF(Table2[[#This Row],[Start Date]]&gt;TODAY(),1,)</f>
        <v>0</v>
      </c>
      <c r="AI459" s="496">
        <f>IF(ISBLANK(Table2[[#This Row],[Primary Instructor]]),0,1)</f>
        <v>1</v>
      </c>
      <c r="AJ459" s="496">
        <f>IF(ISBLANK(Table2[[#This Row],[Instructor 2]]),0,1)</f>
        <v>0</v>
      </c>
      <c r="AK459" s="496">
        <f>Table2[[#This Row],[Course Length (Hours)]]/(Table2[[#This Row],[1 Instructor]]+Table2[[#This Row],[2 Instructors]])</f>
        <v>30</v>
      </c>
      <c r="AL459" s="318">
        <v>25</v>
      </c>
      <c r="AM459" s="496">
        <v>3</v>
      </c>
      <c r="AN459" s="496" t="str">
        <f>VLOOKUP(Table2[[#This Row],[Course Title]],'TSD-Data'!$A$1:$G$83,7,FALSE)</f>
        <v>N5</v>
      </c>
      <c r="AO459" s="500">
        <f>Table2[[#This Row],[Quotas]]-Table2[[#This Row],[Graduates]]-Table2[[#This Row],[Fail]]</f>
        <v>26</v>
      </c>
    </row>
    <row r="460" spans="2:41" s="202" customFormat="1" ht="15" customHeight="1" x14ac:dyDescent="0.25">
      <c r="B460" s="530"/>
      <c r="C460" s="530" t="s">
        <v>271</v>
      </c>
      <c r="D460" s="200" t="str">
        <f>VLOOKUP(Table2[[#This Row],[Course Title]],'TSD-Data'!$A$1:$E$83,2,FALSE)</f>
        <v>A-493-0061</v>
      </c>
      <c r="E460" s="200" t="str">
        <f>VLOOKUP(Table2[[#This Row],[Course Title]],'TSD-Data'!$A$1:$E$83,3,FALSE)</f>
        <v>288E</v>
      </c>
      <c r="F460" s="530" t="s">
        <v>54</v>
      </c>
      <c r="G460" s="531">
        <v>46195</v>
      </c>
      <c r="H460" s="531">
        <v>46198</v>
      </c>
      <c r="I460" s="531" t="s">
        <v>42</v>
      </c>
      <c r="J460" s="532"/>
      <c r="K460" s="532">
        <v>0.33333333333333331</v>
      </c>
      <c r="L460" s="532">
        <v>0.20833333333333334</v>
      </c>
      <c r="M460" s="532">
        <v>0.625</v>
      </c>
      <c r="N460" s="532">
        <v>0.54166666666666663</v>
      </c>
      <c r="O460" s="532">
        <v>8.3333333333333329E-2</v>
      </c>
      <c r="P460" s="532">
        <v>0.875</v>
      </c>
      <c r="Q460" s="535" t="s">
        <v>148</v>
      </c>
      <c r="R460" s="535"/>
      <c r="S460" s="535"/>
      <c r="T460" s="200">
        <f>VLOOKUP(Table2[[#This Row],[Course Title]],'TSD-Data'!$A$1:$E$83,4,FALSE)</f>
        <v>45</v>
      </c>
      <c r="U460" s="200">
        <f>VLOOKUP(Table2[[#This Row],[Course Title]],'TSD-Data'!$A$1:$F$83,6,FALSE)</f>
        <v>30</v>
      </c>
      <c r="V460" s="201">
        <f>VLOOKUP(Table2[[#This Row],[Course Title]],'TSD-Data'!$A$1:$F$83,5,FALSE)</f>
        <v>4</v>
      </c>
      <c r="W460" s="201">
        <v>366</v>
      </c>
      <c r="X460" s="200">
        <f>Table2[[#This Row],[Quotas]]-Table2[[#This Row],[Open Quotas]]</f>
        <v>42</v>
      </c>
      <c r="Y460" s="200">
        <v>0</v>
      </c>
      <c r="Z460" s="201">
        <v>36</v>
      </c>
      <c r="AA460" s="201">
        <v>0</v>
      </c>
      <c r="AB460" s="200">
        <v>8</v>
      </c>
      <c r="AC460" s="200">
        <v>1</v>
      </c>
      <c r="AD460" s="200">
        <v>0</v>
      </c>
      <c r="AE460" s="200" t="s">
        <v>431</v>
      </c>
      <c r="AF460" s="495">
        <f ca="1">Table2[[#This Row],[End Date]]+2-TODAY()</f>
        <v>-44</v>
      </c>
      <c r="AG460" s="496">
        <f>IF(ISBLANK(Table2[[#This Row],[Roster Received by]]),1,0)</f>
        <v>0</v>
      </c>
      <c r="AH460" s="496">
        <f ca="1">IF(Table2[[#This Row],[Start Date]]&gt;TODAY(),1,)</f>
        <v>0</v>
      </c>
      <c r="AI460" s="496">
        <f>IF(ISBLANK(Table2[[#This Row],[Primary Instructor]]),0,1)</f>
        <v>1</v>
      </c>
      <c r="AJ460" s="496">
        <f>IF(ISBLANK(Table2[[#This Row],[Instructor 2]]),0,1)</f>
        <v>0</v>
      </c>
      <c r="AK460" s="496">
        <f>Table2[[#This Row],[Course Length (Hours)]]/(Table2[[#This Row],[1 Instructor]]+Table2[[#This Row],[2 Instructors]])</f>
        <v>30</v>
      </c>
      <c r="AL460" s="318">
        <v>3</v>
      </c>
      <c r="AM460" s="496">
        <v>3</v>
      </c>
      <c r="AN460" s="496" t="str">
        <f>VLOOKUP(Table2[[#This Row],[Course Title]],'TSD-Data'!$A$1:$G$83,7,FALSE)</f>
        <v>N5</v>
      </c>
      <c r="AO460" s="500">
        <f>Table2[[#This Row],[Quotas]]-Table2[[#This Row],[Graduates]]-Table2[[#This Row],[Fail]]</f>
        <v>9</v>
      </c>
    </row>
    <row r="461" spans="2:41" ht="15" customHeight="1" x14ac:dyDescent="0.25">
      <c r="B461" s="530"/>
      <c r="C461" s="530" t="s">
        <v>252</v>
      </c>
      <c r="D461" s="200" t="str">
        <f>VLOOKUP(Table2[[#This Row],[Course Title]],'TSD-Data'!$A$1:$E$83,2,FALSE)</f>
        <v>A-493-0335</v>
      </c>
      <c r="E461" s="200" t="str">
        <f>VLOOKUP(Table2[[#This Row],[Course Title]],'TSD-Data'!$A$1:$E$83,3,FALSE)</f>
        <v>09ND</v>
      </c>
      <c r="F461" s="530" t="s">
        <v>54</v>
      </c>
      <c r="G461" s="531">
        <v>46195</v>
      </c>
      <c r="H461" s="531">
        <v>46198</v>
      </c>
      <c r="I461" s="531" t="s">
        <v>42</v>
      </c>
      <c r="J461" s="532"/>
      <c r="K461" s="532">
        <v>0.5</v>
      </c>
      <c r="L461" s="536">
        <v>0.375</v>
      </c>
      <c r="M461" s="536">
        <v>0.79166666666666663</v>
      </c>
      <c r="N461" s="536">
        <v>0.75</v>
      </c>
      <c r="O461" s="536">
        <v>0.25</v>
      </c>
      <c r="P461" s="536">
        <v>4.1666666666666664E-2</v>
      </c>
      <c r="Q461" s="535" t="s">
        <v>111</v>
      </c>
      <c r="R461" s="535"/>
      <c r="S461" s="535"/>
      <c r="T461" s="200">
        <f>VLOOKUP(Table2[[#This Row],[Course Title]],'TSD-Data'!$A$1:$E$83,4,FALSE)</f>
        <v>45</v>
      </c>
      <c r="U461" s="200">
        <f>VLOOKUP(Table2[[#This Row],[Course Title]],'TSD-Data'!$A$1:$F$83,6,FALSE)</f>
        <v>32</v>
      </c>
      <c r="V461" s="201">
        <f>VLOOKUP(Table2[[#This Row],[Course Title]],'TSD-Data'!$A$1:$F$83,5,FALSE)</f>
        <v>4</v>
      </c>
      <c r="W461" s="201">
        <v>537</v>
      </c>
      <c r="X461" s="200">
        <f>Table2[[#This Row],[Quotas]]-Table2[[#This Row],[Open Quotas]]</f>
        <v>20</v>
      </c>
      <c r="Y461" s="200">
        <v>0</v>
      </c>
      <c r="Z461" s="201">
        <v>17</v>
      </c>
      <c r="AA461" s="201">
        <v>0</v>
      </c>
      <c r="AB461" s="200">
        <v>3</v>
      </c>
      <c r="AC461" s="200">
        <v>0</v>
      </c>
      <c r="AD461" s="200">
        <v>0</v>
      </c>
      <c r="AE461" s="200" t="s">
        <v>429</v>
      </c>
      <c r="AF461" s="495">
        <f ca="1">Table2[[#This Row],[End Date]]+2-TODAY()</f>
        <v>-44</v>
      </c>
      <c r="AG461" s="496">
        <f>IF(ISBLANK(Table2[[#This Row],[Roster Received by]]),1,0)</f>
        <v>0</v>
      </c>
      <c r="AH461" s="496">
        <f ca="1">IF(Table2[[#This Row],[Start Date]]&gt;TODAY(),1,)</f>
        <v>0</v>
      </c>
      <c r="AI461" s="496">
        <f>IF(ISBLANK(Table2[[#This Row],[Primary Instructor]]),0,1)</f>
        <v>1</v>
      </c>
      <c r="AJ461" s="496">
        <f>IF(ISBLANK(Table2[[#This Row],[Instructor 2]]),0,1)</f>
        <v>0</v>
      </c>
      <c r="AK461" s="496">
        <f>Table2[[#This Row],[Course Length (Hours)]]/(Table2[[#This Row],[1 Instructor]]+Table2[[#This Row],[2 Instructors]])</f>
        <v>32</v>
      </c>
      <c r="AL461" s="318">
        <v>25</v>
      </c>
      <c r="AM461" s="496">
        <v>3</v>
      </c>
      <c r="AN461" s="496" t="str">
        <f>VLOOKUP(Table2[[#This Row],[Course Title]],'TSD-Data'!$A$1:$G$83,7,FALSE)</f>
        <v>N3</v>
      </c>
      <c r="AO461" s="500">
        <f>Table2[[#This Row],[Quotas]]-Table2[[#This Row],[Graduates]]-Table2[[#This Row],[Fail]]</f>
        <v>28</v>
      </c>
    </row>
    <row r="462" spans="2:41" ht="15" customHeight="1" x14ac:dyDescent="0.25">
      <c r="B462" s="530"/>
      <c r="C462" s="530" t="s">
        <v>255</v>
      </c>
      <c r="D462" s="200" t="str">
        <f>VLOOKUP(Table2[[#This Row],[Course Title]],'TSD-Data'!$A$1:$E$83,2,FALSE)</f>
        <v>A-493-0085</v>
      </c>
      <c r="E462" s="200">
        <f>VLOOKUP(Table2[[#This Row],[Course Title]],'TSD-Data'!$A$1:$E$83,3,FALSE)</f>
        <v>3555</v>
      </c>
      <c r="F462" s="530" t="s">
        <v>54</v>
      </c>
      <c r="G462" s="531">
        <v>46195</v>
      </c>
      <c r="H462" s="531">
        <v>46198</v>
      </c>
      <c r="I462" s="531" t="s">
        <v>42</v>
      </c>
      <c r="J462" s="532"/>
      <c r="K462" s="532">
        <v>0.5</v>
      </c>
      <c r="L462" s="536">
        <v>0.375</v>
      </c>
      <c r="M462" s="536">
        <v>0.79166666666666663</v>
      </c>
      <c r="N462" s="536">
        <v>0.75</v>
      </c>
      <c r="O462" s="536">
        <v>0.25</v>
      </c>
      <c r="P462" s="536">
        <v>4.1666666666666664E-2</v>
      </c>
      <c r="Q462" s="535" t="s">
        <v>67</v>
      </c>
      <c r="R462" s="535"/>
      <c r="S462" s="535"/>
      <c r="T462" s="200">
        <f>VLOOKUP(Table2[[#This Row],[Course Title]],'TSD-Data'!$A$1:$E$83,4,FALSE)</f>
        <v>45</v>
      </c>
      <c r="U462" s="200">
        <f>VLOOKUP(Table2[[#This Row],[Course Title]],'TSD-Data'!$A$1:$F$83,6,FALSE)</f>
        <v>32</v>
      </c>
      <c r="V462" s="201">
        <f>VLOOKUP(Table2[[#This Row],[Course Title]],'TSD-Data'!$A$1:$F$83,5,FALSE)</f>
        <v>4</v>
      </c>
      <c r="W462" s="201">
        <v>688</v>
      </c>
      <c r="X462" s="200">
        <f>Table2[[#This Row],[Quotas]]-Table2[[#This Row],[Open Quotas]]</f>
        <v>16</v>
      </c>
      <c r="Y462" s="200">
        <v>0</v>
      </c>
      <c r="Z462" s="201">
        <v>13</v>
      </c>
      <c r="AA462" s="201">
        <v>2</v>
      </c>
      <c r="AB462" s="200">
        <v>2</v>
      </c>
      <c r="AC462" s="200">
        <v>0</v>
      </c>
      <c r="AD462" s="200">
        <v>0</v>
      </c>
      <c r="AE462" s="200" t="s">
        <v>429</v>
      </c>
      <c r="AF462" s="495">
        <f ca="1">Table2[[#This Row],[End Date]]+2-TODAY()</f>
        <v>-44</v>
      </c>
      <c r="AG462" s="496">
        <f>IF(ISBLANK(Table2[[#This Row],[Roster Received by]]),1,0)</f>
        <v>0</v>
      </c>
      <c r="AH462" s="496">
        <f ca="1">IF(Table2[[#This Row],[Start Date]]&gt;TODAY(),1,)</f>
        <v>0</v>
      </c>
      <c r="AI462" s="496">
        <f>IF(ISBLANK(Table2[[#This Row],[Primary Instructor]]),0,1)</f>
        <v>1</v>
      </c>
      <c r="AJ462" s="496">
        <f>IF(ISBLANK(Table2[[#This Row],[Instructor 2]]),0,1)</f>
        <v>0</v>
      </c>
      <c r="AK462" s="496">
        <f>Table2[[#This Row],[Course Length (Hours)]]/(Table2[[#This Row],[1 Instructor]]+Table2[[#This Row],[2 Instructors]])</f>
        <v>32</v>
      </c>
      <c r="AL462" s="318">
        <v>29</v>
      </c>
      <c r="AM462" s="496">
        <v>3</v>
      </c>
      <c r="AN462" s="496" t="str">
        <f>VLOOKUP(Table2[[#This Row],[Course Title]],'TSD-Data'!$A$1:$G$83,7,FALSE)</f>
        <v>N3</v>
      </c>
      <c r="AO462" s="500">
        <f>Table2[[#This Row],[Quotas]]-Table2[[#This Row],[Graduates]]-Table2[[#This Row],[Fail]]</f>
        <v>30</v>
      </c>
    </row>
    <row r="463" spans="2:41" s="202" customFormat="1" ht="15" customHeight="1" x14ac:dyDescent="0.25">
      <c r="B463" s="530"/>
      <c r="C463" s="530" t="s">
        <v>77</v>
      </c>
      <c r="D463" s="200" t="str">
        <f>VLOOKUP(Table2[[#This Row],[Course Title]],'TSD-Data'!$A$1:$E$83,2,FALSE)</f>
        <v>A-493-0072</v>
      </c>
      <c r="E463" s="200" t="str">
        <f>VLOOKUP(Table2[[#This Row],[Course Title]],'TSD-Data'!$A$1:$E$83,3,FALSE)</f>
        <v>713U</v>
      </c>
      <c r="F463" s="530" t="s">
        <v>258</v>
      </c>
      <c r="G463" s="531">
        <v>46195</v>
      </c>
      <c r="H463" s="531">
        <v>46199</v>
      </c>
      <c r="I463" s="531" t="s">
        <v>42</v>
      </c>
      <c r="J463" s="532">
        <v>0.33333333333333331</v>
      </c>
      <c r="K463" s="532"/>
      <c r="L463" s="531"/>
      <c r="M463" s="531"/>
      <c r="N463" s="531"/>
      <c r="O463" s="531"/>
      <c r="P463" s="531"/>
      <c r="Q463" s="535" t="s">
        <v>62</v>
      </c>
      <c r="R463" s="535"/>
      <c r="S463" s="535" t="s">
        <v>451</v>
      </c>
      <c r="T463" s="200">
        <f>VLOOKUP(Table2[[#This Row],[Course Title]],'TSD-Data'!$A$1:$E$83,4,FALSE)</f>
        <v>30</v>
      </c>
      <c r="U463" s="200">
        <f>VLOOKUP(Table2[[#This Row],[Course Title]],'TSD-Data'!$A$1:$F$83,6,FALSE)</f>
        <v>40</v>
      </c>
      <c r="V463" s="201">
        <f>VLOOKUP(Table2[[#This Row],[Course Title]],'TSD-Data'!$A$1:$F$83,5,FALSE)</f>
        <v>5</v>
      </c>
      <c r="W463" s="201">
        <v>56</v>
      </c>
      <c r="X463" s="200">
        <f>Table2[[#This Row],[Quotas]]-Table2[[#This Row],[Open Quotas]]</f>
        <v>28</v>
      </c>
      <c r="Y463" s="200">
        <v>4</v>
      </c>
      <c r="Z463" s="201">
        <v>27</v>
      </c>
      <c r="AA463" s="201">
        <v>1</v>
      </c>
      <c r="AB463" s="200">
        <v>6</v>
      </c>
      <c r="AC463" s="200">
        <v>2</v>
      </c>
      <c r="AD463" s="200">
        <v>0</v>
      </c>
      <c r="AE463" s="200" t="s">
        <v>429</v>
      </c>
      <c r="AF463" s="495">
        <f ca="1">Table2[[#This Row],[End Date]]+2-TODAY()</f>
        <v>-43</v>
      </c>
      <c r="AG463" s="496">
        <f>IF(ISBLANK(Table2[[#This Row],[Roster Received by]]),1,0)</f>
        <v>0</v>
      </c>
      <c r="AH463" s="496">
        <f ca="1">IF(Table2[[#This Row],[Start Date]]&gt;TODAY(),1,)</f>
        <v>0</v>
      </c>
      <c r="AI463" s="496">
        <f>IF(ISBLANK(Table2[[#This Row],[Primary Instructor]]),0,1)</f>
        <v>1</v>
      </c>
      <c r="AJ463" s="496">
        <f>IF(ISBLANK(Table2[[#This Row],[Instructor 2]]),0,1)</f>
        <v>0</v>
      </c>
      <c r="AK463" s="496">
        <f>Table2[[#This Row],[Course Length (Hours)]]/(Table2[[#This Row],[1 Instructor]]+Table2[[#This Row],[2 Instructors]])</f>
        <v>40</v>
      </c>
      <c r="AL463" s="318">
        <v>2</v>
      </c>
      <c r="AM463" s="496">
        <v>3</v>
      </c>
      <c r="AN463" s="496" t="str">
        <f>VLOOKUP(Table2[[#This Row],[Course Title]],'TSD-Data'!$A$1:$G$83,7,FALSE)</f>
        <v>N3</v>
      </c>
      <c r="AO463" s="500">
        <f>Table2[[#This Row],[Quotas]]-Table2[[#This Row],[Graduates]]-Table2[[#This Row],[Fail]]</f>
        <v>2</v>
      </c>
    </row>
    <row r="464" spans="2:41" s="202" customFormat="1" ht="15" customHeight="1" x14ac:dyDescent="0.25">
      <c r="B464" s="530"/>
      <c r="C464" s="530" t="s">
        <v>397</v>
      </c>
      <c r="D464" s="200" t="str">
        <f>VLOOKUP(Table2[[#This Row],[Course Title]],'TSD-Data'!$A$1:$E$83,2,FALSE)</f>
        <v>A-493-3005</v>
      </c>
      <c r="E464" s="200" t="str">
        <f>VLOOKUP(Table2[[#This Row],[Course Title]],'TSD-Data'!$A$1:$E$83,3,FALSE)</f>
        <v>31V7</v>
      </c>
      <c r="F464" s="530" t="s">
        <v>54</v>
      </c>
      <c r="G464" s="531">
        <v>46195</v>
      </c>
      <c r="H464" s="531">
        <v>46195</v>
      </c>
      <c r="I464" s="531" t="s">
        <v>42</v>
      </c>
      <c r="J464" s="532"/>
      <c r="K464" s="532">
        <v>0.73958333333333337</v>
      </c>
      <c r="L464" s="532">
        <v>0.61458333333333337</v>
      </c>
      <c r="M464" s="532">
        <v>3.125E-2</v>
      </c>
      <c r="N464" s="532">
        <v>0.98958333333333337</v>
      </c>
      <c r="O464" s="532">
        <v>0.53125</v>
      </c>
      <c r="P464" s="532">
        <v>0.28125</v>
      </c>
      <c r="Q464" s="535" t="s">
        <v>445</v>
      </c>
      <c r="R464" s="535" t="s">
        <v>483</v>
      </c>
      <c r="S464" s="535"/>
      <c r="T464" s="200">
        <f>VLOOKUP(Table2[[#This Row],[Course Title]],'TSD-Data'!$A$1:$E$83,4,FALSE)</f>
        <v>1000</v>
      </c>
      <c r="U464" s="200">
        <f>VLOOKUP(Table2[[#This Row],[Course Title]],'TSD-Data'!$A$1:$F$83,6,FALSE)</f>
        <v>2</v>
      </c>
      <c r="V464" s="201">
        <f>VLOOKUP(Table2[[#This Row],[Course Title]],'TSD-Data'!$A$1:$F$83,5,FALSE)</f>
        <v>0.25</v>
      </c>
      <c r="W464" s="201"/>
      <c r="X464" s="200">
        <f>Table2[[#This Row],[Quotas]]-Table2[[#This Row],[Open Quotas]]</f>
        <v>124</v>
      </c>
      <c r="Y464" s="200">
        <v>0</v>
      </c>
      <c r="Z464" s="201">
        <v>12</v>
      </c>
      <c r="AA464" s="201">
        <v>0</v>
      </c>
      <c r="AB464" s="200">
        <v>0</v>
      </c>
      <c r="AC464" s="200">
        <v>0</v>
      </c>
      <c r="AD464" s="200">
        <v>0</v>
      </c>
      <c r="AE464" s="200" t="s">
        <v>442</v>
      </c>
      <c r="AF464" s="495">
        <f ca="1">Table2[[#This Row],[End Date]]+2-TODAY()</f>
        <v>-47</v>
      </c>
      <c r="AG464" s="496">
        <f>IF(ISBLANK(Table2[[#This Row],[Roster Received by]]),1,0)</f>
        <v>0</v>
      </c>
      <c r="AH464" s="496">
        <f ca="1">IF(Table2[[#This Row],[Start Date]]&gt;TODAY(),1,)</f>
        <v>0</v>
      </c>
      <c r="AI464" s="496">
        <f>IF(ISBLANK(Table2[[#This Row],[Primary Instructor]]),0,1)</f>
        <v>1</v>
      </c>
      <c r="AJ464" s="496">
        <f>IF(ISBLANK(Table2[[#This Row],[Instructor 2]]),0,1)</f>
        <v>1</v>
      </c>
      <c r="AK464" s="496">
        <f>AJ782</f>
        <v>0</v>
      </c>
      <c r="AL464" s="318">
        <v>876</v>
      </c>
      <c r="AM464" s="501">
        <v>3</v>
      </c>
      <c r="AN464" s="496" t="str">
        <f>VLOOKUP(Table2[[#This Row],[Course Title]],'TSD-Data'!$A$1:$G$83,7,FALSE)</f>
        <v>N8-RMI</v>
      </c>
      <c r="AO464" s="500">
        <f>Table2[[#This Row],[Quotas]]-Table2[[#This Row],[Graduates]]-Table2[[#This Row],[Fail]]</f>
        <v>988</v>
      </c>
    </row>
    <row r="465" spans="2:41" s="202" customFormat="1" ht="15" customHeight="1" x14ac:dyDescent="0.25">
      <c r="B465" s="530"/>
      <c r="C465" s="530" t="s">
        <v>402</v>
      </c>
      <c r="D465" s="200" t="str">
        <f>VLOOKUP(Table2[[#This Row],[Course Title]],'TSD-Data'!$A$1:$E$83,2,FALSE)</f>
        <v>A-493-3017</v>
      </c>
      <c r="E465" s="200" t="str">
        <f>VLOOKUP(Table2[[#This Row],[Course Title]],'TSD-Data'!$A$1:$E$83,3,FALSE)</f>
        <v>31YL</v>
      </c>
      <c r="F465" s="530" t="s">
        <v>54</v>
      </c>
      <c r="G465" s="531">
        <v>46195</v>
      </c>
      <c r="H465" s="531">
        <v>46195</v>
      </c>
      <c r="I465" s="531" t="s">
        <v>42</v>
      </c>
      <c r="J465" s="532"/>
      <c r="K465" s="532">
        <v>0.78125</v>
      </c>
      <c r="L465" s="532">
        <v>0.65625</v>
      </c>
      <c r="M465" s="532">
        <v>7.2916666666666671E-2</v>
      </c>
      <c r="N465" s="532">
        <v>3.125E-2</v>
      </c>
      <c r="O465" s="532">
        <v>0.57291666666666663</v>
      </c>
      <c r="P465" s="532">
        <v>0.32291666666666669</v>
      </c>
      <c r="Q465" s="535" t="s">
        <v>445</v>
      </c>
      <c r="R465" s="535" t="s">
        <v>483</v>
      </c>
      <c r="S465" s="535"/>
      <c r="T465" s="200">
        <f>VLOOKUP(Table2[[#This Row],[Course Title]],'TSD-Data'!$A$1:$E$83,4,FALSE)</f>
        <v>1000</v>
      </c>
      <c r="U465" s="200">
        <f>VLOOKUP(Table2[[#This Row],[Course Title]],'TSD-Data'!$A$1:$F$83,6,FALSE)</f>
        <v>1.5</v>
      </c>
      <c r="V465" s="201">
        <f>VLOOKUP(Table2[[#This Row],[Course Title]],'TSD-Data'!$A$1:$F$83,5,FALSE)</f>
        <v>0.1</v>
      </c>
      <c r="W465" s="201"/>
      <c r="X465" s="200">
        <f>Table2[[#This Row],[Quotas]]-Table2[[#This Row],[Open Quotas]]</f>
        <v>124</v>
      </c>
      <c r="Y465" s="200">
        <v>0</v>
      </c>
      <c r="Z465" s="201">
        <v>11</v>
      </c>
      <c r="AA465" s="201">
        <v>0</v>
      </c>
      <c r="AB465" s="200">
        <v>0</v>
      </c>
      <c r="AC465" s="200">
        <v>0</v>
      </c>
      <c r="AD465" s="200">
        <v>0</v>
      </c>
      <c r="AE465" s="200" t="s">
        <v>442</v>
      </c>
      <c r="AF465" s="495">
        <f ca="1">Table2[[#This Row],[End Date]]+2-TODAY()</f>
        <v>-47</v>
      </c>
      <c r="AG465" s="496">
        <f>IF(ISBLANK(Table2[[#This Row],[Roster Received by]]),1,0)</f>
        <v>0</v>
      </c>
      <c r="AH465" s="496">
        <f ca="1">IF(Table2[[#This Row],[Start Date]]&gt;TODAY(),1,)</f>
        <v>0</v>
      </c>
      <c r="AI465" s="496">
        <f>IF(ISBLANK(Table2[[#This Row],[Primary Instructor]]),0,1)</f>
        <v>1</v>
      </c>
      <c r="AJ465" s="496">
        <f>IF(ISBLANK(Table2[[#This Row],[Instructor 2]]),0,1)</f>
        <v>1</v>
      </c>
      <c r="AK465" s="496">
        <f>AJ783</f>
        <v>0</v>
      </c>
      <c r="AL465" s="318">
        <v>876</v>
      </c>
      <c r="AM465" s="501">
        <v>3</v>
      </c>
      <c r="AN465" s="496" t="str">
        <f>VLOOKUP(Table2[[#This Row],[Course Title]],'TSD-Data'!$A$1:$G$83,7,FALSE)</f>
        <v>N8-RMI</v>
      </c>
      <c r="AO465" s="500">
        <f>Table2[[#This Row],[Quotas]]-Table2[[#This Row],[Graduates]]-Table2[[#This Row],[Fail]]</f>
        <v>989</v>
      </c>
    </row>
    <row r="466" spans="2:41" s="202" customFormat="1" ht="15" customHeight="1" x14ac:dyDescent="0.25">
      <c r="B466" s="530"/>
      <c r="C466" s="530" t="s">
        <v>408</v>
      </c>
      <c r="D466" s="200" t="str">
        <f>VLOOKUP(Table2[[#This Row],[Course Title]],'TSD-Data'!$A$1:$E$83,2,FALSE)</f>
        <v>A-493-3008</v>
      </c>
      <c r="E466" s="200" t="str">
        <f>VLOOKUP(Table2[[#This Row],[Course Title]],'TSD-Data'!$A$1:$E$83,3,FALSE)</f>
        <v>31VA</v>
      </c>
      <c r="F466" s="530" t="s">
        <v>54</v>
      </c>
      <c r="G466" s="531">
        <v>46195</v>
      </c>
      <c r="H466" s="531">
        <v>46195</v>
      </c>
      <c r="I466" s="531" t="s">
        <v>42</v>
      </c>
      <c r="J466" s="532"/>
      <c r="K466" s="532">
        <v>0.625</v>
      </c>
      <c r="L466" s="532">
        <v>0.5</v>
      </c>
      <c r="M466" s="532">
        <v>0.91666666666666663</v>
      </c>
      <c r="N466" s="532">
        <v>0.875</v>
      </c>
      <c r="O466" s="532">
        <v>0.41666666666666669</v>
      </c>
      <c r="P466" s="532">
        <v>0.16666666666666666</v>
      </c>
      <c r="Q466" s="535" t="s">
        <v>445</v>
      </c>
      <c r="R466" s="535" t="s">
        <v>483</v>
      </c>
      <c r="S466" s="535"/>
      <c r="T466" s="200">
        <f>VLOOKUP(Table2[[#This Row],[Course Title]],'TSD-Data'!$A$1:$E$83,4,FALSE)</f>
        <v>1000</v>
      </c>
      <c r="U466" s="200">
        <f>VLOOKUP(Table2[[#This Row],[Course Title]],'TSD-Data'!$A$1:$F$83,6,FALSE)</f>
        <v>1.5</v>
      </c>
      <c r="V466" s="201">
        <f>VLOOKUP(Table2[[#This Row],[Course Title]],'TSD-Data'!$A$1:$F$83,5,FALSE)</f>
        <v>0.1</v>
      </c>
      <c r="W466" s="201"/>
      <c r="X466" s="200">
        <f>Table2[[#This Row],[Quotas]]-Table2[[#This Row],[Open Quotas]]</f>
        <v>124</v>
      </c>
      <c r="Y466" s="200">
        <v>0</v>
      </c>
      <c r="Z466" s="201">
        <v>18</v>
      </c>
      <c r="AA466" s="201">
        <v>0</v>
      </c>
      <c r="AB466" s="200">
        <v>0</v>
      </c>
      <c r="AC466" s="200">
        <v>0</v>
      </c>
      <c r="AD466" s="200">
        <v>0</v>
      </c>
      <c r="AE466" s="200" t="s">
        <v>442</v>
      </c>
      <c r="AF466" s="495">
        <f ca="1">Table2[[#This Row],[End Date]]+2-TODAY()</f>
        <v>-47</v>
      </c>
      <c r="AG466" s="496">
        <f>IF(ISBLANK(Table2[[#This Row],[Roster Received by]]),1,0)</f>
        <v>0</v>
      </c>
      <c r="AH466" s="496">
        <f ca="1">IF(Table2[[#This Row],[Start Date]]&gt;TODAY(),1,)</f>
        <v>0</v>
      </c>
      <c r="AI466" s="496">
        <f>IF(ISBLANK(Table2[[#This Row],[Primary Instructor]]),0,1)</f>
        <v>1</v>
      </c>
      <c r="AJ466" s="496">
        <f>IF(ISBLANK(Table2[[#This Row],[Instructor 2]]),0,1)</f>
        <v>1</v>
      </c>
      <c r="AK466" s="496">
        <f>AJ784</f>
        <v>0</v>
      </c>
      <c r="AL466" s="318">
        <v>876</v>
      </c>
      <c r="AM466" s="501">
        <v>3</v>
      </c>
      <c r="AN466" s="496" t="str">
        <f>VLOOKUP(Table2[[#This Row],[Course Title]],'TSD-Data'!$A$1:$G$83,7,FALSE)</f>
        <v>N8-RMI</v>
      </c>
      <c r="AO466" s="500">
        <f>Table2[[#This Row],[Quotas]]-Table2[[#This Row],[Graduates]]-Table2[[#This Row],[Fail]]</f>
        <v>982</v>
      </c>
    </row>
    <row r="467" spans="2:41" ht="15" customHeight="1" x14ac:dyDescent="0.25">
      <c r="B467" s="530"/>
      <c r="C467" s="530" t="s">
        <v>411</v>
      </c>
      <c r="D467" s="200" t="str">
        <f>VLOOKUP(Table2[[#This Row],[Course Title]],'TSD-Data'!$A$1:$E$83,2,FALSE)</f>
        <v>A-493-3012</v>
      </c>
      <c r="E467" s="200" t="str">
        <f>VLOOKUP(Table2[[#This Row],[Course Title]],'TSD-Data'!$A$1:$E$83,3,FALSE)</f>
        <v>31YF</v>
      </c>
      <c r="F467" s="530" t="s">
        <v>54</v>
      </c>
      <c r="G467" s="531">
        <v>46195</v>
      </c>
      <c r="H467" s="531">
        <v>46195</v>
      </c>
      <c r="I467" s="531" t="s">
        <v>42</v>
      </c>
      <c r="J467" s="532"/>
      <c r="K467" s="532">
        <v>0.58333333333333337</v>
      </c>
      <c r="L467" s="532">
        <v>0.45833333333333331</v>
      </c>
      <c r="M467" s="532">
        <v>0.875</v>
      </c>
      <c r="N467" s="532">
        <v>0.83333333333333337</v>
      </c>
      <c r="O467" s="532">
        <v>0.375</v>
      </c>
      <c r="P467" s="532">
        <v>0.125</v>
      </c>
      <c r="Q467" s="535" t="s">
        <v>445</v>
      </c>
      <c r="R467" s="535" t="s">
        <v>483</v>
      </c>
      <c r="S467" s="535"/>
      <c r="T467" s="200">
        <f>VLOOKUP(Table2[[#This Row],[Course Title]],'TSD-Data'!$A$1:$E$83,4,FALSE)</f>
        <v>1000</v>
      </c>
      <c r="U467" s="200">
        <f>VLOOKUP(Table2[[#This Row],[Course Title]],'TSD-Data'!$A$1:$F$83,6,FALSE)</f>
        <v>1</v>
      </c>
      <c r="V467" s="201">
        <f>VLOOKUP(Table2[[#This Row],[Course Title]],'TSD-Data'!$A$1:$F$83,5,FALSE)</f>
        <v>0.1</v>
      </c>
      <c r="W467" s="201"/>
      <c r="X467" s="200">
        <f>Table2[[#This Row],[Quotas]]-Table2[[#This Row],[Open Quotas]]</f>
        <v>124</v>
      </c>
      <c r="Y467" s="200">
        <v>0</v>
      </c>
      <c r="Z467" s="201">
        <v>17</v>
      </c>
      <c r="AA467" s="201">
        <v>0</v>
      </c>
      <c r="AB467" s="200">
        <v>0</v>
      </c>
      <c r="AC467" s="200">
        <v>0</v>
      </c>
      <c r="AD467" s="200">
        <v>0</v>
      </c>
      <c r="AE467" s="200" t="s">
        <v>442</v>
      </c>
      <c r="AF467" s="495">
        <f ca="1">Table2[[#This Row],[End Date]]+2-TODAY()</f>
        <v>-47</v>
      </c>
      <c r="AG467" s="496">
        <f>IF(ISBLANK(Table2[[#This Row],[Roster Received by]]),1,0)</f>
        <v>0</v>
      </c>
      <c r="AH467" s="496">
        <f ca="1">IF(Table2[[#This Row],[Start Date]]&gt;TODAY(),1,)</f>
        <v>0</v>
      </c>
      <c r="AI467" s="496">
        <f>IF(ISBLANK(Table2[[#This Row],[Primary Instructor]]),0,1)</f>
        <v>1</v>
      </c>
      <c r="AJ467" s="496">
        <f>IF(ISBLANK(Table2[[#This Row],[Instructor 2]]),0,1)</f>
        <v>1</v>
      </c>
      <c r="AK467" s="496">
        <f>AJ785</f>
        <v>0</v>
      </c>
      <c r="AL467" s="318">
        <v>876</v>
      </c>
      <c r="AM467" s="501">
        <v>3</v>
      </c>
      <c r="AN467" s="496" t="str">
        <f>VLOOKUP(Table2[[#This Row],[Course Title]],'TSD-Data'!$A$1:$G$83,7,FALSE)</f>
        <v>N8-RMI</v>
      </c>
      <c r="AO467" s="500">
        <f>Table2[[#This Row],[Quotas]]-Table2[[#This Row],[Graduates]]-Table2[[#This Row],[Fail]]</f>
        <v>983</v>
      </c>
    </row>
    <row r="468" spans="2:41" s="202" customFormat="1" ht="15" customHeight="1" x14ac:dyDescent="0.25">
      <c r="B468" s="530"/>
      <c r="C468" s="530" t="s">
        <v>412</v>
      </c>
      <c r="D468" s="200" t="str">
        <f>VLOOKUP(Table2[[#This Row],[Course Title]],'TSD-Data'!$A$1:$E$83,2,FALSE)</f>
        <v>A-493-3009</v>
      </c>
      <c r="E468" s="200" t="str">
        <f>VLOOKUP(Table2[[#This Row],[Course Title]],'TSD-Data'!$A$1:$E$83,3,FALSE)</f>
        <v>31VB</v>
      </c>
      <c r="F468" s="530" t="s">
        <v>54</v>
      </c>
      <c r="G468" s="531">
        <v>46195</v>
      </c>
      <c r="H468" s="531">
        <v>46195</v>
      </c>
      <c r="I468" s="531" t="s">
        <v>42</v>
      </c>
      <c r="J468" s="532"/>
      <c r="K468" s="532">
        <v>0.6875</v>
      </c>
      <c r="L468" s="532">
        <v>0.5625</v>
      </c>
      <c r="M468" s="532">
        <v>0.97916666666666663</v>
      </c>
      <c r="N468" s="532">
        <v>0.9375</v>
      </c>
      <c r="O468" s="532">
        <v>0.47916666666666669</v>
      </c>
      <c r="P468" s="532">
        <v>0.22916666666666666</v>
      </c>
      <c r="Q468" s="535" t="s">
        <v>445</v>
      </c>
      <c r="R468" s="535" t="s">
        <v>483</v>
      </c>
      <c r="S468" s="535"/>
      <c r="T468" s="200">
        <f>VLOOKUP(Table2[[#This Row],[Course Title]],'TSD-Data'!$A$1:$E$83,4,FALSE)</f>
        <v>1000</v>
      </c>
      <c r="U468" s="200">
        <f>VLOOKUP(Table2[[#This Row],[Course Title]],'TSD-Data'!$A$1:$F$83,6,FALSE)</f>
        <v>1.5</v>
      </c>
      <c r="V468" s="201">
        <f>VLOOKUP(Table2[[#This Row],[Course Title]],'TSD-Data'!$A$1:$F$83,5,FALSE)</f>
        <v>0.1</v>
      </c>
      <c r="W468" s="201"/>
      <c r="X468" s="200">
        <f>Table2[[#This Row],[Quotas]]-Table2[[#This Row],[Open Quotas]]</f>
        <v>124</v>
      </c>
      <c r="Y468" s="200">
        <v>0</v>
      </c>
      <c r="Z468" s="201">
        <v>15</v>
      </c>
      <c r="AA468" s="201">
        <v>0</v>
      </c>
      <c r="AB468" s="200">
        <v>0</v>
      </c>
      <c r="AC468" s="200">
        <v>0</v>
      </c>
      <c r="AD468" s="200">
        <v>0</v>
      </c>
      <c r="AE468" s="200" t="s">
        <v>442</v>
      </c>
      <c r="AF468" s="495">
        <f ca="1">Table2[[#This Row],[End Date]]+2-TODAY()</f>
        <v>-47</v>
      </c>
      <c r="AG468" s="496">
        <f>IF(ISBLANK(Table2[[#This Row],[Roster Received by]]),1,0)</f>
        <v>0</v>
      </c>
      <c r="AH468" s="496">
        <f ca="1">IF(Table2[[#This Row],[Start Date]]&gt;TODAY(),1,)</f>
        <v>0</v>
      </c>
      <c r="AI468" s="496">
        <f>IF(ISBLANK(Table2[[#This Row],[Primary Instructor]]),0,1)</f>
        <v>1</v>
      </c>
      <c r="AJ468" s="496">
        <f>IF(ISBLANK(Table2[[#This Row],[Instructor 2]]),0,1)</f>
        <v>1</v>
      </c>
      <c r="AK468" s="496">
        <f>AJ786</f>
        <v>0</v>
      </c>
      <c r="AL468" s="318">
        <v>876</v>
      </c>
      <c r="AM468" s="501">
        <v>3</v>
      </c>
      <c r="AN468" s="496" t="str">
        <f>VLOOKUP(Table2[[#This Row],[Course Title]],'TSD-Data'!$A$1:$G$83,7,FALSE)</f>
        <v>N8-RMI</v>
      </c>
      <c r="AO468" s="500">
        <f>Table2[[#This Row],[Quotas]]-Table2[[#This Row],[Graduates]]-Table2[[#This Row],[Fail]]</f>
        <v>985</v>
      </c>
    </row>
    <row r="469" spans="2:41" s="202" customFormat="1" ht="15" customHeight="1" x14ac:dyDescent="0.25">
      <c r="B469" s="530"/>
      <c r="C469" s="530" t="s">
        <v>213</v>
      </c>
      <c r="D469" s="200" t="str">
        <f>VLOOKUP(Table2[[#This Row],[Course Title]],'TSD-Data'!$A$1:$E$83,2,FALSE)</f>
        <v>A-322-2604</v>
      </c>
      <c r="E469" s="200" t="str">
        <f>VLOOKUP(Table2[[#This Row],[Course Title]],'TSD-Data'!$A$1:$E$83,3,FALSE)</f>
        <v>10ZZ</v>
      </c>
      <c r="F469" s="530" t="s">
        <v>54</v>
      </c>
      <c r="G469" s="531">
        <v>46196</v>
      </c>
      <c r="H469" s="531">
        <v>46198</v>
      </c>
      <c r="I469" s="531" t="s">
        <v>42</v>
      </c>
      <c r="J469" s="532"/>
      <c r="K469" s="558">
        <v>0.5</v>
      </c>
      <c r="L469" s="536">
        <v>0.375</v>
      </c>
      <c r="M469" s="536">
        <v>0.79166666666666663</v>
      </c>
      <c r="N469" s="536">
        <v>0.75</v>
      </c>
      <c r="O469" s="536">
        <v>0.25</v>
      </c>
      <c r="P469" s="536">
        <v>4.1666666666666664E-2</v>
      </c>
      <c r="Q469" s="535" t="s">
        <v>79</v>
      </c>
      <c r="R469" s="535"/>
      <c r="S469" s="535"/>
      <c r="T469" s="200">
        <f>VLOOKUP(Table2[[#This Row],[Course Title]],'TSD-Data'!$A$1:$E$83,4,FALSE)</f>
        <v>45</v>
      </c>
      <c r="U469" s="200">
        <f>VLOOKUP(Table2[[#This Row],[Course Title]],'TSD-Data'!$A$1:$F$83,6,FALSE)</f>
        <v>24</v>
      </c>
      <c r="V469" s="201">
        <f>VLOOKUP(Table2[[#This Row],[Course Title]],'TSD-Data'!$A$1:$F$83,5,FALSE)</f>
        <v>3</v>
      </c>
      <c r="W469" s="201">
        <v>621</v>
      </c>
      <c r="X469" s="200">
        <f>Table2[[#This Row],[Quotas]]-Table2[[#This Row],[Open Quotas]]</f>
        <v>45</v>
      </c>
      <c r="Y469" s="200">
        <v>0</v>
      </c>
      <c r="Z469" s="201">
        <v>35</v>
      </c>
      <c r="AA469" s="201">
        <v>2</v>
      </c>
      <c r="AB469" s="200">
        <v>9</v>
      </c>
      <c r="AC469" s="200">
        <v>0</v>
      </c>
      <c r="AD469" s="200">
        <v>0</v>
      </c>
      <c r="AE469" s="200" t="s">
        <v>431</v>
      </c>
      <c r="AF469" s="495">
        <f ca="1">Table2[[#This Row],[End Date]]+2-TODAY()</f>
        <v>-44</v>
      </c>
      <c r="AG469" s="496">
        <f>IF(ISBLANK(Table2[[#This Row],[Roster Received by]]),1,0)</f>
        <v>0</v>
      </c>
      <c r="AH469" s="496">
        <f ca="1">IF(Table2[[#This Row],[Start Date]]&gt;TODAY(),1,)</f>
        <v>0</v>
      </c>
      <c r="AI469" s="496">
        <f>IF(ISBLANK(Table2[[#This Row],[Primary Instructor]]),0,1)</f>
        <v>1</v>
      </c>
      <c r="AJ469" s="496">
        <f>IF(ISBLANK(Table2[[#This Row],[Instructor 2]]),0,1)</f>
        <v>0</v>
      </c>
      <c r="AK469" s="496">
        <f>Table2[[#This Row],[Course Length (Hours)]]/(Table2[[#This Row],[1 Instructor]]+Table2[[#This Row],[2 Instructors]])</f>
        <v>24</v>
      </c>
      <c r="AL469" s="318">
        <v>0</v>
      </c>
      <c r="AM469" s="496">
        <v>3</v>
      </c>
      <c r="AN469" s="496" t="str">
        <f>VLOOKUP(Table2[[#This Row],[Course Title]],'TSD-Data'!$A$1:$G$83,7,FALSE)</f>
        <v>N8</v>
      </c>
      <c r="AO469" s="500">
        <f>Table2[[#This Row],[Quotas]]-Table2[[#This Row],[Graduates]]-Table2[[#This Row],[Fail]]</f>
        <v>8</v>
      </c>
    </row>
    <row r="470" spans="2:41" s="202" customFormat="1" ht="15" customHeight="1" x14ac:dyDescent="0.25">
      <c r="B470" s="530"/>
      <c r="C470" s="530" t="s">
        <v>249</v>
      </c>
      <c r="D470" s="200" t="str">
        <f>VLOOKUP(Table2[[#This Row],[Course Title]],'TSD-Data'!$A$1:$E$83,2,FALSE)</f>
        <v>A-493-0331</v>
      </c>
      <c r="E470" s="200" t="str">
        <f>VLOOKUP(Table2[[#This Row],[Course Title]],'TSD-Data'!$A$1:$E$83,3,FALSE)</f>
        <v>10UG</v>
      </c>
      <c r="F470" s="530" t="s">
        <v>54</v>
      </c>
      <c r="G470" s="531">
        <v>46196</v>
      </c>
      <c r="H470" s="531">
        <v>46198</v>
      </c>
      <c r="I470" s="531" t="s">
        <v>42</v>
      </c>
      <c r="J470" s="532"/>
      <c r="K470" s="532">
        <v>0.5</v>
      </c>
      <c r="L470" s="536">
        <v>0.375</v>
      </c>
      <c r="M470" s="536">
        <v>0.79166666666666663</v>
      </c>
      <c r="N470" s="536">
        <v>0.75</v>
      </c>
      <c r="O470" s="536">
        <v>0.25</v>
      </c>
      <c r="P470" s="536">
        <v>4.1666666666666664E-2</v>
      </c>
      <c r="Q470" s="535" t="s">
        <v>437</v>
      </c>
      <c r="R470" s="535"/>
      <c r="S470" s="535"/>
      <c r="T470" s="200">
        <f>VLOOKUP(Table2[[#This Row],[Course Title]],'TSD-Data'!$A$1:$E$83,4,FALSE)</f>
        <v>45</v>
      </c>
      <c r="U470" s="200">
        <f>VLOOKUP(Table2[[#This Row],[Course Title]],'TSD-Data'!$A$1:$F$83,6,FALSE)</f>
        <v>24</v>
      </c>
      <c r="V470" s="201">
        <f>VLOOKUP(Table2[[#This Row],[Course Title]],'TSD-Data'!$A$1:$F$83,5,FALSE)</f>
        <v>3</v>
      </c>
      <c r="W470" s="201"/>
      <c r="X470" s="200">
        <f>Table2[[#This Row],[Quotas]]-Table2[[#This Row],[Open Quotas]]</f>
        <v>41</v>
      </c>
      <c r="Y470" s="200">
        <v>0</v>
      </c>
      <c r="Z470" s="201">
        <v>33</v>
      </c>
      <c r="AA470" s="201">
        <v>0</v>
      </c>
      <c r="AB470" s="200">
        <v>9</v>
      </c>
      <c r="AC470" s="200">
        <v>0</v>
      </c>
      <c r="AD470" s="200">
        <v>0</v>
      </c>
      <c r="AE470" s="200" t="s">
        <v>429</v>
      </c>
      <c r="AF470" s="495">
        <f ca="1">Table2[[#This Row],[End Date]]+2-TODAY()</f>
        <v>-44</v>
      </c>
      <c r="AG470" s="496">
        <f>IF(ISBLANK(Table2[[#This Row],[Roster Received by]]),1,0)</f>
        <v>0</v>
      </c>
      <c r="AH470" s="496">
        <f ca="1">IF(Table2[[#This Row],[Start Date]]&gt;TODAY(),1,)</f>
        <v>0</v>
      </c>
      <c r="AI470" s="496">
        <f>IF(ISBLANK(Table2[[#This Row],[Primary Instructor]]),0,1)</f>
        <v>1</v>
      </c>
      <c r="AJ470" s="496">
        <f>IF(ISBLANK(Table2[[#This Row],[Instructor 2]]),0,1)</f>
        <v>0</v>
      </c>
      <c r="AK470" s="496">
        <f>Table2[[#This Row],[Course Length (Hours)]]/(Table2[[#This Row],[1 Instructor]]+Table2[[#This Row],[2 Instructors]])</f>
        <v>24</v>
      </c>
      <c r="AL470" s="318">
        <v>4</v>
      </c>
      <c r="AM470" s="496">
        <v>3</v>
      </c>
      <c r="AN470" s="496" t="str">
        <f>VLOOKUP(Table2[[#This Row],[Course Title]],'TSD-Data'!$A$1:$G$83,7,FALSE)</f>
        <v>N3</v>
      </c>
      <c r="AO470" s="500">
        <f>Table2[[#This Row],[Quotas]]-Table2[[#This Row],[Graduates]]-Table2[[#This Row],[Fail]]</f>
        <v>12</v>
      </c>
    </row>
    <row r="471" spans="2:41" s="202" customFormat="1" ht="15" customHeight="1" x14ac:dyDescent="0.25">
      <c r="B471" s="530"/>
      <c r="C471" s="530" t="s">
        <v>275</v>
      </c>
      <c r="D471" s="200" t="str">
        <f>VLOOKUP(Table2[[#This Row],[Course Title]],'TSD-Data'!$A$1:$E$83,2,FALSE)</f>
        <v>A-493-0099</v>
      </c>
      <c r="E471" s="200" t="str">
        <f>VLOOKUP(Table2[[#This Row],[Course Title]],'TSD-Data'!$A$1:$E$83,3,FALSE)</f>
        <v>12JW</v>
      </c>
      <c r="F471" s="530" t="s">
        <v>54</v>
      </c>
      <c r="G471" s="531">
        <v>46197</v>
      </c>
      <c r="H471" s="531">
        <v>46199</v>
      </c>
      <c r="I471" s="531" t="s">
        <v>42</v>
      </c>
      <c r="J471" s="532"/>
      <c r="K471" s="532">
        <v>0.33333333333333331</v>
      </c>
      <c r="L471" s="532">
        <v>0.20833333333333334</v>
      </c>
      <c r="M471" s="532">
        <v>0.625</v>
      </c>
      <c r="N471" s="532">
        <v>0.54166666666666663</v>
      </c>
      <c r="O471" s="532">
        <v>8.3333333333333329E-2</v>
      </c>
      <c r="P471" s="532">
        <v>0.875</v>
      </c>
      <c r="Q471" s="535" t="s">
        <v>274</v>
      </c>
      <c r="R471" s="535"/>
      <c r="S471" s="535"/>
      <c r="T471" s="200">
        <f>VLOOKUP(Table2[[#This Row],[Course Title]],'TSD-Data'!$A$1:$E$83,4,FALSE)</f>
        <v>45</v>
      </c>
      <c r="U471" s="200">
        <f>VLOOKUP(Table2[[#This Row],[Course Title]],'TSD-Data'!$A$1:$F$83,6,FALSE)</f>
        <v>24</v>
      </c>
      <c r="V471" s="201">
        <f>VLOOKUP(Table2[[#This Row],[Course Title]],'TSD-Data'!$A$1:$F$83,5,FALSE)</f>
        <v>3</v>
      </c>
      <c r="W471" s="201">
        <v>406</v>
      </c>
      <c r="X471" s="200">
        <f>Table2[[#This Row],[Quotas]]-Table2[[#This Row],[Open Quotas]]</f>
        <v>17</v>
      </c>
      <c r="Y471" s="200">
        <v>0</v>
      </c>
      <c r="Z471" s="201">
        <v>15</v>
      </c>
      <c r="AA471" s="201">
        <v>0</v>
      </c>
      <c r="AB471" s="200">
        <v>3</v>
      </c>
      <c r="AC471" s="200">
        <v>0</v>
      </c>
      <c r="AD471" s="200">
        <v>0</v>
      </c>
      <c r="AE471" s="200" t="s">
        <v>431</v>
      </c>
      <c r="AF471" s="495">
        <f ca="1">Table2[[#This Row],[End Date]]+2-TODAY()</f>
        <v>-43</v>
      </c>
      <c r="AG471" s="496">
        <f>IF(ISBLANK(Table2[[#This Row],[Roster Received by]]),1,0)</f>
        <v>0</v>
      </c>
      <c r="AH471" s="496">
        <f ca="1">IF(Table2[[#This Row],[Start Date]]&gt;TODAY(),1,)</f>
        <v>0</v>
      </c>
      <c r="AI471" s="496">
        <f>IF(ISBLANK(Table2[[#This Row],[Primary Instructor]]),0,1)</f>
        <v>1</v>
      </c>
      <c r="AJ471" s="496">
        <f>IF(ISBLANK(Table2[[#This Row],[Instructor 2]]),0,1)</f>
        <v>0</v>
      </c>
      <c r="AK471" s="496">
        <f>Table2[[#This Row],[Course Length (Hours)]]/(Table2[[#This Row],[1 Instructor]]+Table2[[#This Row],[2 Instructors]])</f>
        <v>24</v>
      </c>
      <c r="AL471" s="318">
        <v>28</v>
      </c>
      <c r="AM471" s="496">
        <v>3</v>
      </c>
      <c r="AN471" s="496" t="str">
        <f>VLOOKUP(Table2[[#This Row],[Course Title]],'TSD-Data'!$A$1:$G$83,7,FALSE)</f>
        <v>N5</v>
      </c>
      <c r="AO471" s="500">
        <f>Table2[[#This Row],[Quotas]]-Table2[[#This Row],[Graduates]]-Table2[[#This Row],[Fail]]</f>
        <v>30</v>
      </c>
    </row>
    <row r="472" spans="2:41" ht="15" customHeight="1" x14ac:dyDescent="0.25">
      <c r="B472" s="530"/>
      <c r="C472" s="530" t="s">
        <v>213</v>
      </c>
      <c r="D472" s="200" t="str">
        <f>VLOOKUP(Table2[[#This Row],[Course Title]],'TSD-Data'!$A$1:$E$83,2,FALSE)</f>
        <v>A-322-2604</v>
      </c>
      <c r="E472" s="200" t="str">
        <f>VLOOKUP(Table2[[#This Row],[Course Title]],'TSD-Data'!$A$1:$E$83,3,FALSE)</f>
        <v>10ZZ</v>
      </c>
      <c r="F472" s="530" t="s">
        <v>54</v>
      </c>
      <c r="G472" s="531">
        <v>46202</v>
      </c>
      <c r="H472" s="531">
        <v>46204</v>
      </c>
      <c r="I472" s="531" t="s">
        <v>42</v>
      </c>
      <c r="J472" s="532"/>
      <c r="K472" s="558">
        <v>0.5</v>
      </c>
      <c r="L472" s="536">
        <v>0.375</v>
      </c>
      <c r="M472" s="536">
        <v>0.79166666666666663</v>
      </c>
      <c r="N472" s="536">
        <v>0.75</v>
      </c>
      <c r="O472" s="536">
        <v>0.25</v>
      </c>
      <c r="P472" s="536">
        <v>4.1666666666666664E-2</v>
      </c>
      <c r="Q472" s="535" t="s">
        <v>432</v>
      </c>
      <c r="R472" s="535"/>
      <c r="S472" s="535"/>
      <c r="T472" s="200">
        <f>VLOOKUP(Table2[[#This Row],[Course Title]],'TSD-Data'!$A$1:$E$83,4,FALSE)</f>
        <v>45</v>
      </c>
      <c r="U472" s="200">
        <f>VLOOKUP(Table2[[#This Row],[Course Title]],'TSD-Data'!$A$1:$F$83,6,FALSE)</f>
        <v>24</v>
      </c>
      <c r="V472" s="201">
        <f>VLOOKUP(Table2[[#This Row],[Course Title]],'TSD-Data'!$A$1:$F$83,5,FALSE)</f>
        <v>3</v>
      </c>
      <c r="W472" s="201">
        <v>621</v>
      </c>
      <c r="X472" s="200">
        <f>Table2[[#This Row],[Quotas]]-Table2[[#This Row],[Open Quotas]]</f>
        <v>28</v>
      </c>
      <c r="Y472" s="200">
        <v>0</v>
      </c>
      <c r="Z472" s="201">
        <v>32</v>
      </c>
      <c r="AA472" s="201">
        <v>0</v>
      </c>
      <c r="AB472" s="200">
        <v>1</v>
      </c>
      <c r="AC472" s="200">
        <v>0</v>
      </c>
      <c r="AD472" s="200">
        <v>0</v>
      </c>
      <c r="AE472" s="200" t="s">
        <v>431</v>
      </c>
      <c r="AF472" s="495">
        <f ca="1">Table2[[#This Row],[End Date]]+2-TODAY()</f>
        <v>-38</v>
      </c>
      <c r="AG472" s="496">
        <f>IF(ISBLANK(Table2[[#This Row],[Roster Received by]]),1,0)</f>
        <v>0</v>
      </c>
      <c r="AH472" s="496">
        <f ca="1">IF(Table2[[#This Row],[Start Date]]&gt;TODAY(),1,)</f>
        <v>0</v>
      </c>
      <c r="AI472" s="496">
        <f>IF(ISBLANK(Table2[[#This Row],[Primary Instructor]]),0,1)</f>
        <v>1</v>
      </c>
      <c r="AJ472" s="496">
        <f>IF(ISBLANK(Table2[[#This Row],[Instructor 2]]),0,1)</f>
        <v>0</v>
      </c>
      <c r="AK472" s="496">
        <f>Table2[[#This Row],[Course Length (Hours)]]/(Table2[[#This Row],[1 Instructor]]+Table2[[#This Row],[2 Instructors]])</f>
        <v>24</v>
      </c>
      <c r="AL472" s="318">
        <v>17</v>
      </c>
      <c r="AM472" s="496">
        <v>3</v>
      </c>
      <c r="AN472" s="496" t="str">
        <f>VLOOKUP(Table2[[#This Row],[Course Title]],'TSD-Data'!$A$1:$G$83,7,FALSE)</f>
        <v>N8</v>
      </c>
      <c r="AO472" s="500">
        <f>Table2[[#This Row],[Quotas]]-Table2[[#This Row],[Graduates]]-Table2[[#This Row],[Fail]]</f>
        <v>13</v>
      </c>
    </row>
    <row r="473" spans="2:41" s="202" customFormat="1" ht="15" customHeight="1" x14ac:dyDescent="0.25">
      <c r="B473" s="530"/>
      <c r="C473" s="530" t="s">
        <v>56</v>
      </c>
      <c r="D473" s="200" t="str">
        <f>VLOOKUP(Table2[[#This Row],[Course Title]],'TSD-Data'!$A$1:$E$83,2,FALSE)</f>
        <v>A-493-0550</v>
      </c>
      <c r="E473" s="200" t="str">
        <f>VLOOKUP(Table2[[#This Row],[Course Title]],'TSD-Data'!$A$1:$E$83,3,FALSE)</f>
        <v>09K5</v>
      </c>
      <c r="F473" s="530" t="s">
        <v>54</v>
      </c>
      <c r="G473" s="531">
        <v>46202</v>
      </c>
      <c r="H473" s="531">
        <v>46205</v>
      </c>
      <c r="I473" s="531" t="s">
        <v>42</v>
      </c>
      <c r="J473" s="532"/>
      <c r="K473" s="532">
        <v>0.33333333333333331</v>
      </c>
      <c r="L473" s="532">
        <v>0.20833333333333334</v>
      </c>
      <c r="M473" s="532">
        <v>0.625</v>
      </c>
      <c r="N473" s="532">
        <v>0.54166666666666663</v>
      </c>
      <c r="O473" s="532">
        <v>8.3333333333333329E-2</v>
      </c>
      <c r="P473" s="532">
        <v>0.875</v>
      </c>
      <c r="Q473" s="535" t="s">
        <v>427</v>
      </c>
      <c r="R473" s="535"/>
      <c r="S473" s="535"/>
      <c r="T473" s="200">
        <f>VLOOKUP(Table2[[#This Row],[Course Title]],'TSD-Data'!$A$1:$E$83,4,FALSE)</f>
        <v>45</v>
      </c>
      <c r="U473" s="200">
        <f>VLOOKUP(Table2[[#This Row],[Course Title]],'TSD-Data'!$A$1:$F$83,6,FALSE)</f>
        <v>32</v>
      </c>
      <c r="V473" s="201">
        <f>VLOOKUP(Table2[[#This Row],[Course Title]],'TSD-Data'!$A$1:$F$83,5,FALSE)</f>
        <v>4</v>
      </c>
      <c r="W473" s="201">
        <v>455</v>
      </c>
      <c r="X473" s="200">
        <f>Table2[[#This Row],[Quotas]]-Table2[[#This Row],[Open Quotas]]</f>
        <v>45</v>
      </c>
      <c r="Y473" s="200">
        <v>0</v>
      </c>
      <c r="Z473" s="201">
        <v>31</v>
      </c>
      <c r="AA473" s="201">
        <v>0</v>
      </c>
      <c r="AB473" s="200">
        <v>14</v>
      </c>
      <c r="AC473" s="200">
        <v>0</v>
      </c>
      <c r="AD473" s="200">
        <v>0</v>
      </c>
      <c r="AE473" s="200" t="s">
        <v>431</v>
      </c>
      <c r="AF473" s="495">
        <f ca="1">Table2[[#This Row],[End Date]]+2-TODAY()</f>
        <v>-37</v>
      </c>
      <c r="AG473" s="496">
        <f>IF(ISBLANK(Table2[[#This Row],[Roster Received by]]),1,0)</f>
        <v>0</v>
      </c>
      <c r="AH473" s="496">
        <f ca="1">IF(Table2[[#This Row],[Start Date]]&gt;TODAY(),1,)</f>
        <v>0</v>
      </c>
      <c r="AI473" s="496">
        <f>IF(ISBLANK(Table2[[#This Row],[Primary Instructor]]),0,1)</f>
        <v>1</v>
      </c>
      <c r="AJ473" s="496">
        <f>IF(ISBLANK(Table2[[#This Row],[Instructor 2]]),0,1)</f>
        <v>0</v>
      </c>
      <c r="AK473" s="496">
        <f>Table2[[#This Row],[Course Length (Hours)]]/(Table2[[#This Row],[1 Instructor]]+Table2[[#This Row],[2 Instructors]])</f>
        <v>32</v>
      </c>
      <c r="AL473" s="318">
        <v>0</v>
      </c>
      <c r="AM473" s="496">
        <v>3</v>
      </c>
      <c r="AN473" s="496" t="str">
        <f>VLOOKUP(Table2[[#This Row],[Course Title]],'TSD-Data'!$A$1:$G$83,7,FALSE)</f>
        <v>N5</v>
      </c>
      <c r="AO473" s="500">
        <f>Table2[[#This Row],[Quotas]]-Table2[[#This Row],[Graduates]]-Table2[[#This Row],[Fail]]</f>
        <v>14</v>
      </c>
    </row>
    <row r="474" spans="2:41" s="202" customFormat="1" ht="15" customHeight="1" x14ac:dyDescent="0.25">
      <c r="B474" s="530"/>
      <c r="C474" s="530" t="s">
        <v>53</v>
      </c>
      <c r="D474" s="200" t="str">
        <f>VLOOKUP(Table2[[#This Row],[Course Title]],'TSD-Data'!$A$1:$E$83,2,FALSE)</f>
        <v>A-493-0078</v>
      </c>
      <c r="E474" s="200">
        <f>VLOOKUP(Table2[[#This Row],[Course Title]],'TSD-Data'!$A$1:$E$83,3,FALSE)</f>
        <v>1228</v>
      </c>
      <c r="F474" s="530" t="s">
        <v>54</v>
      </c>
      <c r="G474" s="531">
        <v>46202</v>
      </c>
      <c r="H474" s="531">
        <v>46205</v>
      </c>
      <c r="I474" s="531" t="s">
        <v>42</v>
      </c>
      <c r="J474" s="532"/>
      <c r="K474" s="532">
        <v>0.33333333333333331</v>
      </c>
      <c r="L474" s="532">
        <v>0.20833333333333334</v>
      </c>
      <c r="M474" s="532">
        <v>0.625</v>
      </c>
      <c r="N474" s="532">
        <v>0.54166666666666663</v>
      </c>
      <c r="O474" s="532">
        <v>8.3333333333333329E-2</v>
      </c>
      <c r="P474" s="532">
        <v>0.875</v>
      </c>
      <c r="Q474" s="535" t="s">
        <v>55</v>
      </c>
      <c r="R474" s="535"/>
      <c r="S474" s="535"/>
      <c r="T474" s="200">
        <f>VLOOKUP(Table2[[#This Row],[Course Title]],'TSD-Data'!$A$1:$E$83,4,FALSE)</f>
        <v>45</v>
      </c>
      <c r="U474" s="200">
        <f>VLOOKUP(Table2[[#This Row],[Course Title]],'TSD-Data'!$A$1:$F$83,6,FALSE)</f>
        <v>32</v>
      </c>
      <c r="V474" s="201">
        <f>VLOOKUP(Table2[[#This Row],[Course Title]],'TSD-Data'!$A$1:$F$83,5,FALSE)</f>
        <v>4</v>
      </c>
      <c r="W474" s="201">
        <v>454</v>
      </c>
      <c r="X474" s="200">
        <f>Table2[[#This Row],[Quotas]]-Table2[[#This Row],[Open Quotas]]</f>
        <v>45</v>
      </c>
      <c r="Y474" s="200">
        <v>0</v>
      </c>
      <c r="Z474" s="201">
        <v>41</v>
      </c>
      <c r="AA474" s="201">
        <v>0</v>
      </c>
      <c r="AB474" s="200">
        <v>6</v>
      </c>
      <c r="AC474" s="200">
        <v>2</v>
      </c>
      <c r="AD474" s="200">
        <v>0</v>
      </c>
      <c r="AE474" s="200" t="s">
        <v>431</v>
      </c>
      <c r="AF474" s="495">
        <f ca="1">Table2[[#This Row],[End Date]]+2-TODAY()</f>
        <v>-37</v>
      </c>
      <c r="AG474" s="496">
        <f>IF(ISBLANK(Table2[[#This Row],[Roster Received by]]),1,0)</f>
        <v>0</v>
      </c>
      <c r="AH474" s="496">
        <f ca="1">IF(Table2[[#This Row],[Start Date]]&gt;TODAY(),1,)</f>
        <v>0</v>
      </c>
      <c r="AI474" s="496">
        <f>IF(ISBLANK(Table2[[#This Row],[Primary Instructor]]),0,1)</f>
        <v>1</v>
      </c>
      <c r="AJ474" s="496">
        <f>IF(ISBLANK(Table2[[#This Row],[Instructor 2]]),0,1)</f>
        <v>0</v>
      </c>
      <c r="AK474" s="496">
        <f>Table2[[#This Row],[Course Length (Hours)]]/(Table2[[#This Row],[1 Instructor]]+Table2[[#This Row],[2 Instructors]])</f>
        <v>32</v>
      </c>
      <c r="AL474" s="318">
        <v>0</v>
      </c>
      <c r="AM474" s="496">
        <v>3</v>
      </c>
      <c r="AN474" s="496" t="str">
        <f>VLOOKUP(Table2[[#This Row],[Course Title]],'TSD-Data'!$A$1:$G$83,7,FALSE)</f>
        <v>N5</v>
      </c>
      <c r="AO474" s="500">
        <f>Table2[[#This Row],[Quotas]]-Table2[[#This Row],[Graduates]]-Table2[[#This Row],[Fail]]</f>
        <v>4</v>
      </c>
    </row>
    <row r="475" spans="2:41" s="202" customFormat="1" ht="15" customHeight="1" x14ac:dyDescent="0.25">
      <c r="B475" s="530" t="s">
        <v>211</v>
      </c>
      <c r="C475" s="542" t="s">
        <v>205</v>
      </c>
      <c r="D475" s="200" t="str">
        <f>VLOOKUP(Table2[[#This Row],[Course Title]],'TSD-Data'!$A$1:$E$83,2,FALSE)</f>
        <v>Function</v>
      </c>
      <c r="E475" s="200" t="str">
        <f>VLOOKUP(Table2[[#This Row],[Course Title]],'TSD-Data'!$A$1:$E$83,3,FALSE)</f>
        <v>Function</v>
      </c>
      <c r="F475" s="530" t="s">
        <v>130</v>
      </c>
      <c r="G475" s="531">
        <v>46203</v>
      </c>
      <c r="H475" s="531">
        <v>46203</v>
      </c>
      <c r="I475" s="531" t="s">
        <v>434</v>
      </c>
      <c r="J475" s="532"/>
      <c r="K475" s="532"/>
      <c r="L475" s="532"/>
      <c r="M475" s="532"/>
      <c r="N475" s="532"/>
      <c r="O475" s="532"/>
      <c r="P475" s="532"/>
      <c r="Q475" s="535" t="s">
        <v>435</v>
      </c>
      <c r="R475" s="535"/>
      <c r="S475" s="542"/>
      <c r="T475" s="200">
        <f>VLOOKUP(Table2[[#This Row],[Course Title]],'TSD-Data'!$A$1:$E$83,4,FALSE)</f>
        <v>0</v>
      </c>
      <c r="U475" s="200">
        <f>VLOOKUP(Table2[[#This Row],[Course Title]],'TSD-Data'!$A$1:$F$83,6,FALSE)</f>
        <v>0</v>
      </c>
      <c r="V475" s="201">
        <f>VLOOKUP(Table2[[#This Row],[Course Title]],'TSD-Data'!$A$1:$F$83,5,FALSE)</f>
        <v>0</v>
      </c>
      <c r="W475" s="201">
        <v>0</v>
      </c>
      <c r="X475" s="200">
        <v>0</v>
      </c>
      <c r="Y475" s="200">
        <v>0</v>
      </c>
      <c r="Z475" s="200">
        <v>0</v>
      </c>
      <c r="AA475" s="200">
        <v>0</v>
      </c>
      <c r="AB475" s="200">
        <v>0</v>
      </c>
      <c r="AC475" s="200">
        <v>0</v>
      </c>
      <c r="AD475" s="200">
        <v>0</v>
      </c>
      <c r="AE475" s="541" t="s">
        <v>436</v>
      </c>
      <c r="AF475" s="495">
        <f ca="1">Table2[[#This Row],[End Date]]+2-TODAY()</f>
        <v>-39</v>
      </c>
      <c r="AG475" s="496">
        <f>IF(ISBLANK(Table2[[#This Row],[Roster Received by]]),1,0)</f>
        <v>0</v>
      </c>
      <c r="AH475" s="496">
        <f ca="1">IF(Table2[[#This Row],[Start Date]]&gt;TODAY(),1,)</f>
        <v>0</v>
      </c>
      <c r="AI475" s="496">
        <f>IF(ISBLANK(Table2[[#This Row],[Primary Instructor]]),0,1)</f>
        <v>1</v>
      </c>
      <c r="AJ475" s="496">
        <f>IF(ISBLANK(Table2[[#This Row],[Instructor 2]]),0,1)</f>
        <v>0</v>
      </c>
      <c r="AK475" s="496">
        <f>Table2[[#This Row],[Course Length (Hours)]]/(Table2[[#This Row],[1 Instructor]]+Table2[[#This Row],[2 Instructors]])</f>
        <v>0</v>
      </c>
      <c r="AL475" s="318">
        <f>Table2[[#This Row],[Quotas]]-Table2[[#This Row],[Registered]]</f>
        <v>0</v>
      </c>
      <c r="AM475" s="496">
        <v>3</v>
      </c>
      <c r="AN475" s="496" t="str">
        <f>VLOOKUP(Table2[[#This Row],[Course Title]],'TSD-Data'!$A$1:$G$83,7,FALSE)</f>
        <v>TSD</v>
      </c>
      <c r="AO475" s="500">
        <f>Table2[[#This Row],[Quotas]]-Table2[[#This Row],[Graduates]]-Table2[[#This Row],[Fail]]</f>
        <v>0</v>
      </c>
    </row>
    <row r="476" spans="2:41" ht="15" customHeight="1" x14ac:dyDescent="0.25">
      <c r="B476" s="530" t="s">
        <v>227</v>
      </c>
      <c r="C476" s="530" t="s">
        <v>218</v>
      </c>
      <c r="D476" s="200" t="str">
        <f>VLOOKUP(Table2[[#This Row],[Course Title]],'TSD-Data'!$A$1:$E$83,2,FALSE)</f>
        <v>Holiday</v>
      </c>
      <c r="E476" s="200" t="str">
        <f>VLOOKUP(Table2[[#This Row],[Course Title]],'TSD-Data'!$A$1:$E$83,3,FALSE)</f>
        <v>Holiday</v>
      </c>
      <c r="F476" s="530" t="s">
        <v>218</v>
      </c>
      <c r="G476" s="531">
        <v>46206</v>
      </c>
      <c r="H476" s="531">
        <v>46206</v>
      </c>
      <c r="I476" s="531" t="s">
        <v>434</v>
      </c>
      <c r="J476" s="532"/>
      <c r="K476" s="532"/>
      <c r="L476" s="531"/>
      <c r="M476" s="531"/>
      <c r="N476" s="531"/>
      <c r="O476" s="531"/>
      <c r="P476" s="531"/>
      <c r="Q476" s="535" t="s">
        <v>435</v>
      </c>
      <c r="R476" s="535"/>
      <c r="S476" s="542"/>
      <c r="T476" s="200">
        <f>VLOOKUP(Table2[[#This Row],[Course Title]],'TSD-Data'!$A$1:$E$83,4,FALSE)</f>
        <v>0</v>
      </c>
      <c r="U476" s="200">
        <f>VLOOKUP(Table2[[#This Row],[Course Title]],'TSD-Data'!$A$1:$F$83,6,FALSE)</f>
        <v>0</v>
      </c>
      <c r="V476" s="201">
        <f>VLOOKUP(Table2[[#This Row],[Course Title]],'TSD-Data'!$A$1:$F$83,5,FALSE)</f>
        <v>0</v>
      </c>
      <c r="W476" s="201">
        <v>0</v>
      </c>
      <c r="X476" s="200">
        <v>0</v>
      </c>
      <c r="Y476" s="200">
        <v>0</v>
      </c>
      <c r="Z476" s="200">
        <v>0</v>
      </c>
      <c r="AA476" s="200">
        <v>0</v>
      </c>
      <c r="AB476" s="200">
        <v>0</v>
      </c>
      <c r="AC476" s="200">
        <v>0</v>
      </c>
      <c r="AD476" s="200">
        <v>0</v>
      </c>
      <c r="AE476" s="541" t="s">
        <v>436</v>
      </c>
      <c r="AF476" s="495">
        <f ca="1">Table2[[#This Row],[End Date]]+2-TODAY()</f>
        <v>-36</v>
      </c>
      <c r="AG476" s="496">
        <f>IF(ISBLANK(Table2[[#This Row],[Roster Received by]]),1,0)</f>
        <v>0</v>
      </c>
      <c r="AH476" s="496">
        <f ca="1">IF(Table2[[#This Row],[Start Date]]&gt;TODAY(),1,)</f>
        <v>0</v>
      </c>
      <c r="AI476" s="496">
        <f>IF(ISBLANK(Table2[[#This Row],[Primary Instructor]]),0,1)</f>
        <v>1</v>
      </c>
      <c r="AJ476" s="496">
        <f>IF(ISBLANK(Table2[[#This Row],[Instructor 2]]),0,1)</f>
        <v>0</v>
      </c>
      <c r="AK476" s="496">
        <f>Table2[[#This Row],[Course Length (Hours)]]/(Table2[[#This Row],[1 Instructor]]+Table2[[#This Row],[2 Instructors]])</f>
        <v>0</v>
      </c>
      <c r="AL476" s="200"/>
      <c r="AM476" s="501">
        <v>4</v>
      </c>
      <c r="AN476" s="496" t="str">
        <f>VLOOKUP(Table2[[#This Row],[Course Title]],'TSD-Data'!$A$1:$G$83,7,FALSE)</f>
        <v>TSD</v>
      </c>
      <c r="AO476" s="500">
        <f>Table2[[#This Row],[Quotas]]-Table2[[#This Row],[Graduates]]-Table2[[#This Row],[Fail]]</f>
        <v>0</v>
      </c>
    </row>
    <row r="477" spans="2:41" s="202" customFormat="1" ht="15" customHeight="1" x14ac:dyDescent="0.25">
      <c r="B477" s="530" t="s">
        <v>448</v>
      </c>
      <c r="C477" s="530" t="s">
        <v>200</v>
      </c>
      <c r="D477" s="200" t="str">
        <f>VLOOKUP(Table2[[#This Row],[Course Title]],'TSD-Data'!$A$1:$E$83,2,FALSE)</f>
        <v>A-493-0665</v>
      </c>
      <c r="E477" s="200" t="str">
        <f>VLOOKUP(Table2[[#This Row],[Course Title]],'TSD-Data'!$A$1:$E$83,3,FALSE)</f>
        <v>10KW</v>
      </c>
      <c r="F477" s="530" t="s">
        <v>54</v>
      </c>
      <c r="G477" s="531">
        <v>46210</v>
      </c>
      <c r="H477" s="531">
        <v>46212</v>
      </c>
      <c r="I477" s="531" t="s">
        <v>42</v>
      </c>
      <c r="J477" s="532"/>
      <c r="K477" s="532">
        <v>0.5</v>
      </c>
      <c r="L477" s="536">
        <v>0.375</v>
      </c>
      <c r="M477" s="536">
        <v>0.79166666666666663</v>
      </c>
      <c r="N477" s="536">
        <v>0.75</v>
      </c>
      <c r="O477" s="536">
        <v>0.25</v>
      </c>
      <c r="P477" s="536">
        <v>4.1666666666666664E-2</v>
      </c>
      <c r="Q477" s="535" t="s">
        <v>79</v>
      </c>
      <c r="R477" s="535"/>
      <c r="S477" s="535"/>
      <c r="T477" s="200">
        <f>VLOOKUP(Table2[[#This Row],[Course Title]],'TSD-Data'!$A$1:$E$83,4,FALSE)</f>
        <v>45</v>
      </c>
      <c r="U477" s="200">
        <f>VLOOKUP(Table2[[#This Row],[Course Title]],'TSD-Data'!$A$1:$F$83,6,FALSE)</f>
        <v>24</v>
      </c>
      <c r="V477" s="201">
        <f>VLOOKUP(Table2[[#This Row],[Course Title]],'TSD-Data'!$A$1:$F$83,5,FALSE)</f>
        <v>3</v>
      </c>
      <c r="W477" s="201">
        <v>337</v>
      </c>
      <c r="X477" s="200">
        <f>Table2[[#This Row],[Quotas]]-Table2[[#This Row],[Open Quotas]]</f>
        <v>26</v>
      </c>
      <c r="Y477" s="200"/>
      <c r="Z477" s="201">
        <v>25</v>
      </c>
      <c r="AA477" s="201">
        <v>0</v>
      </c>
      <c r="AB477" s="200">
        <v>2</v>
      </c>
      <c r="AC477" s="200">
        <v>0</v>
      </c>
      <c r="AD477" s="200">
        <v>0</v>
      </c>
      <c r="AE477" s="200" t="s">
        <v>429</v>
      </c>
      <c r="AF477" s="495">
        <f ca="1">Table2[[#This Row],[End Date]]+2-TODAY()</f>
        <v>-30</v>
      </c>
      <c r="AG477" s="496">
        <f>IF(ISBLANK(Table2[[#This Row],[Roster Received by]]),1,0)</f>
        <v>0</v>
      </c>
      <c r="AH477" s="496">
        <f ca="1">IF(Table2[[#This Row],[Start Date]]&gt;TODAY(),1,)</f>
        <v>0</v>
      </c>
      <c r="AI477" s="496">
        <f>IF(ISBLANK(Table2[[#This Row],[Primary Instructor]]),0,1)</f>
        <v>1</v>
      </c>
      <c r="AJ477" s="496">
        <f>IF(ISBLANK(Table2[[#This Row],[Instructor 2]]),0,1)</f>
        <v>0</v>
      </c>
      <c r="AK477" s="496">
        <f>Table2[[#This Row],[Course Length (Hours)]]/(Table2[[#This Row],[1 Instructor]]+Table2[[#This Row],[2 Instructors]])</f>
        <v>24</v>
      </c>
      <c r="AL477" s="318">
        <v>19</v>
      </c>
      <c r="AM477" s="501">
        <v>4</v>
      </c>
      <c r="AN477" s="496" t="str">
        <f>VLOOKUP(Table2[[#This Row],[Course Title]],'TSD-Data'!$A$1:$G$83,7,FALSE)</f>
        <v>N8</v>
      </c>
      <c r="AO477" s="500">
        <f>Table2[[#This Row],[Quotas]]-Table2[[#This Row],[Graduates]]-Table2[[#This Row],[Fail]]</f>
        <v>20</v>
      </c>
    </row>
    <row r="478" spans="2:41" s="202" customFormat="1" ht="15" customHeight="1" x14ac:dyDescent="0.25">
      <c r="B478" s="530"/>
      <c r="C478" s="542" t="s">
        <v>249</v>
      </c>
      <c r="D478" s="200" t="str">
        <f>VLOOKUP(Table2[[#This Row],[Course Title]],'TSD-Data'!$A$1:$E$83,2,FALSE)</f>
        <v>A-493-0331</v>
      </c>
      <c r="E478" s="200" t="str">
        <f>VLOOKUP(Table2[[#This Row],[Course Title]],'TSD-Data'!$A$1:$E$83,3,FALSE)</f>
        <v>10UG</v>
      </c>
      <c r="F478" s="530" t="s">
        <v>54</v>
      </c>
      <c r="G478" s="531">
        <v>46210</v>
      </c>
      <c r="H478" s="531">
        <v>46212</v>
      </c>
      <c r="I478" s="531" t="s">
        <v>42</v>
      </c>
      <c r="J478" s="532"/>
      <c r="K478" s="532">
        <v>0.5</v>
      </c>
      <c r="L478" s="536">
        <v>0.375</v>
      </c>
      <c r="M478" s="536">
        <v>0.79166666666666663</v>
      </c>
      <c r="N478" s="536">
        <v>0.75</v>
      </c>
      <c r="O478" s="536">
        <v>0.25</v>
      </c>
      <c r="P478" s="536">
        <v>4.1666666666666664E-2</v>
      </c>
      <c r="Q478" s="535" t="s">
        <v>437</v>
      </c>
      <c r="R478" s="535"/>
      <c r="S478" s="535"/>
      <c r="T478" s="200">
        <f>VLOOKUP(Table2[[#This Row],[Course Title]],'TSD-Data'!$A$1:$E$83,4,FALSE)</f>
        <v>45</v>
      </c>
      <c r="U478" s="200">
        <f>VLOOKUP(Table2[[#This Row],[Course Title]],'TSD-Data'!$A$1:$F$83,6,FALSE)</f>
        <v>24</v>
      </c>
      <c r="V478" s="201">
        <f>VLOOKUP(Table2[[#This Row],[Course Title]],'TSD-Data'!$A$1:$F$83,5,FALSE)</f>
        <v>3</v>
      </c>
      <c r="W478" s="201">
        <v>844</v>
      </c>
      <c r="X478" s="200">
        <f>Table2[[#This Row],[Quotas]]-Table2[[#This Row],[Open Quotas]]</f>
        <v>34</v>
      </c>
      <c r="Y478" s="200">
        <v>0</v>
      </c>
      <c r="Z478" s="201">
        <v>29</v>
      </c>
      <c r="AA478" s="201">
        <v>2</v>
      </c>
      <c r="AB478" s="200">
        <v>5</v>
      </c>
      <c r="AC478" s="200">
        <v>1</v>
      </c>
      <c r="AD478" s="200">
        <v>0</v>
      </c>
      <c r="AE478" s="200" t="s">
        <v>429</v>
      </c>
      <c r="AF478" s="495">
        <f ca="1">Table2[[#This Row],[End Date]]+2-TODAY()</f>
        <v>-30</v>
      </c>
      <c r="AG478" s="496">
        <f>IF(ISBLANK(Table2[[#This Row],[Roster Received by]]),1,0)</f>
        <v>0</v>
      </c>
      <c r="AH478" s="496">
        <f ca="1">IF(Table2[[#This Row],[Start Date]]&gt;TODAY(),1,)</f>
        <v>0</v>
      </c>
      <c r="AI478" s="496">
        <f>IF(ISBLANK(Table2[[#This Row],[Primary Instructor]]),0,1)</f>
        <v>1</v>
      </c>
      <c r="AJ478" s="496">
        <f>IF(ISBLANK(Table2[[#This Row],[Instructor 2]]),0,1)</f>
        <v>0</v>
      </c>
      <c r="AK478" s="496">
        <f>Table2[[#This Row],[Course Length (Hours)]]/(Table2[[#This Row],[1 Instructor]]+Table2[[#This Row],[2 Instructors]])</f>
        <v>24</v>
      </c>
      <c r="AL478" s="318">
        <v>11</v>
      </c>
      <c r="AM478" s="501">
        <v>4</v>
      </c>
      <c r="AN478" s="496" t="str">
        <f>VLOOKUP(Table2[[#This Row],[Course Title]],'TSD-Data'!$A$1:$G$83,7,FALSE)</f>
        <v>N3</v>
      </c>
      <c r="AO478" s="500">
        <f>Table2[[#This Row],[Quotas]]-Table2[[#This Row],[Graduates]]-Table2[[#This Row],[Fail]]</f>
        <v>14</v>
      </c>
    </row>
    <row r="479" spans="2:41" s="202" customFormat="1" ht="15" customHeight="1" x14ac:dyDescent="0.25">
      <c r="B479" s="530"/>
      <c r="C479" s="530" t="s">
        <v>56</v>
      </c>
      <c r="D479" s="200" t="str">
        <f>VLOOKUP(Table2[[#This Row],[Course Title]],'TSD-Data'!$A$1:$E$83,2,FALSE)</f>
        <v>A-493-0550</v>
      </c>
      <c r="E479" s="200" t="str">
        <f>VLOOKUP(Table2[[#This Row],[Course Title]],'TSD-Data'!$A$1:$E$83,3,FALSE)</f>
        <v>09K5</v>
      </c>
      <c r="F479" s="530" t="s">
        <v>54</v>
      </c>
      <c r="G479" s="531">
        <v>46210</v>
      </c>
      <c r="H479" s="531">
        <v>46213</v>
      </c>
      <c r="I479" s="531" t="s">
        <v>42</v>
      </c>
      <c r="J479" s="532"/>
      <c r="K479" s="532">
        <v>0.5</v>
      </c>
      <c r="L479" s="536">
        <v>0.375</v>
      </c>
      <c r="M479" s="536">
        <v>0.79166666666666663</v>
      </c>
      <c r="N479" s="536">
        <v>0.75</v>
      </c>
      <c r="O479" s="536">
        <v>0.25</v>
      </c>
      <c r="P479" s="536">
        <v>4.1666666666666664E-2</v>
      </c>
      <c r="Q479" s="535" t="s">
        <v>427</v>
      </c>
      <c r="R479" s="535"/>
      <c r="S479" s="535"/>
      <c r="T479" s="200">
        <f>VLOOKUP(Table2[[#This Row],[Course Title]],'TSD-Data'!$A$1:$E$83,4,FALSE)</f>
        <v>45</v>
      </c>
      <c r="U479" s="200">
        <f>VLOOKUP(Table2[[#This Row],[Course Title]],'TSD-Data'!$A$1:$F$83,6,FALSE)</f>
        <v>32</v>
      </c>
      <c r="V479" s="201">
        <f>VLOOKUP(Table2[[#This Row],[Course Title]],'TSD-Data'!$A$1:$F$83,5,FALSE)</f>
        <v>4</v>
      </c>
      <c r="W479" s="201">
        <v>864</v>
      </c>
      <c r="X479" s="200">
        <f>Table2[[#This Row],[Quotas]]-Table2[[#This Row],[Open Quotas]]</f>
        <v>40</v>
      </c>
      <c r="Y479" s="200">
        <v>0</v>
      </c>
      <c r="Z479" s="201">
        <v>36</v>
      </c>
      <c r="AA479" s="201">
        <v>0</v>
      </c>
      <c r="AB479" s="200">
        <v>6</v>
      </c>
      <c r="AC479" s="200">
        <v>0</v>
      </c>
      <c r="AD479" s="200">
        <v>0</v>
      </c>
      <c r="AE479" s="200" t="s">
        <v>431</v>
      </c>
      <c r="AF479" s="495">
        <f ca="1">Table2[[#This Row],[End Date]]+2-TODAY()</f>
        <v>-29</v>
      </c>
      <c r="AG479" s="496">
        <f>IF(ISBLANK(Table2[[#This Row],[Roster Received by]]),1,0)</f>
        <v>0</v>
      </c>
      <c r="AH479" s="496">
        <f ca="1">IF(Table2[[#This Row],[Start Date]]&gt;TODAY(),1,)</f>
        <v>0</v>
      </c>
      <c r="AI479" s="496">
        <f>IF(ISBLANK(Table2[[#This Row],[Primary Instructor]]),0,1)</f>
        <v>1</v>
      </c>
      <c r="AJ479" s="496">
        <f>IF(ISBLANK(Table2[[#This Row],[Instructor 2]]),0,1)</f>
        <v>0</v>
      </c>
      <c r="AK479" s="496">
        <f>Table2[[#This Row],[Course Length (Hours)]]/(Table2[[#This Row],[1 Instructor]]+Table2[[#This Row],[2 Instructors]])</f>
        <v>32</v>
      </c>
      <c r="AL479" s="318">
        <v>5</v>
      </c>
      <c r="AM479" s="501">
        <v>4</v>
      </c>
      <c r="AN479" s="496" t="str">
        <f>VLOOKUP(Table2[[#This Row],[Course Title]],'TSD-Data'!$A$1:$G$83,7,FALSE)</f>
        <v>N5</v>
      </c>
      <c r="AO479" s="500">
        <f>Table2[[#This Row],[Quotas]]-Table2[[#This Row],[Graduates]]-Table2[[#This Row],[Fail]]</f>
        <v>9</v>
      </c>
    </row>
    <row r="480" spans="2:41" s="202" customFormat="1" ht="15" customHeight="1" x14ac:dyDescent="0.25">
      <c r="B480" s="530"/>
      <c r="C480" s="530" t="s">
        <v>229</v>
      </c>
      <c r="D480" s="200" t="str">
        <f>VLOOKUP(Table2[[#This Row],[Course Title]],'TSD-Data'!$A$1:$E$83,2,FALSE)</f>
        <v>A-570-0100</v>
      </c>
      <c r="E480" s="200" t="str">
        <f>VLOOKUP(Table2[[#This Row],[Course Title]],'TSD-Data'!$A$1:$E$83,3,FALSE)</f>
        <v>18B7</v>
      </c>
      <c r="F480" s="530" t="s">
        <v>54</v>
      </c>
      <c r="G480" s="531">
        <v>46210</v>
      </c>
      <c r="H480" s="531">
        <v>46211</v>
      </c>
      <c r="I480" s="531" t="s">
        <v>42</v>
      </c>
      <c r="J480" s="532"/>
      <c r="K480" s="532">
        <v>0.33333333333333331</v>
      </c>
      <c r="L480" s="532">
        <v>0.20833333333333334</v>
      </c>
      <c r="M480" s="532">
        <v>0.625</v>
      </c>
      <c r="N480" s="532">
        <v>0.54166666666666663</v>
      </c>
      <c r="O480" s="532">
        <v>8.3333333333333329E-2</v>
      </c>
      <c r="P480" s="532">
        <v>0.875</v>
      </c>
      <c r="Q480" s="535" t="s">
        <v>432</v>
      </c>
      <c r="R480" s="535"/>
      <c r="S480" s="535"/>
      <c r="T480" s="200">
        <f>VLOOKUP(Table2[[#This Row],[Course Title]],'TSD-Data'!$A$1:$E$83,4,FALSE)</f>
        <v>45</v>
      </c>
      <c r="U480" s="200">
        <f>VLOOKUP(Table2[[#This Row],[Course Title]],'TSD-Data'!$A$1:$F$83,6,FALSE)</f>
        <v>16</v>
      </c>
      <c r="V480" s="201">
        <f>VLOOKUP(Table2[[#This Row],[Course Title]],'TSD-Data'!$A$1:$F$83,5,FALSE)</f>
        <v>2</v>
      </c>
      <c r="W480" s="201">
        <v>326</v>
      </c>
      <c r="X480" s="200">
        <f>Table2[[#This Row],[Quotas]]-Table2[[#This Row],[Open Quotas]]</f>
        <v>16</v>
      </c>
      <c r="Y480" s="200">
        <v>0</v>
      </c>
      <c r="Z480" s="201">
        <v>12</v>
      </c>
      <c r="AA480" s="201">
        <v>2</v>
      </c>
      <c r="AB480" s="200">
        <v>2</v>
      </c>
      <c r="AC480" s="200">
        <v>0</v>
      </c>
      <c r="AD480" s="200">
        <v>0</v>
      </c>
      <c r="AE480" s="200" t="s">
        <v>429</v>
      </c>
      <c r="AF480" s="495">
        <f ca="1">Table2[[#This Row],[End Date]]+2-TODAY()</f>
        <v>-31</v>
      </c>
      <c r="AG480" s="496">
        <f>IF(ISBLANK(Table2[[#This Row],[Roster Received by]]),1,0)</f>
        <v>0</v>
      </c>
      <c r="AH480" s="496">
        <f ca="1">IF(Table2[[#This Row],[Start Date]]&gt;TODAY(),1,)</f>
        <v>0</v>
      </c>
      <c r="AI480" s="496">
        <f>IF(ISBLANK(Table2[[#This Row],[Primary Instructor]]),0,1)</f>
        <v>1</v>
      </c>
      <c r="AJ480" s="496">
        <f>IF(ISBLANK(Table2[[#This Row],[Instructor 2]]),0,1)</f>
        <v>0</v>
      </c>
      <c r="AK480" s="496">
        <f>Table2[[#This Row],[Course Length (Hours)]]/(Table2[[#This Row],[1 Instructor]]+Table2[[#This Row],[2 Instructors]])</f>
        <v>16</v>
      </c>
      <c r="AL480" s="318">
        <v>29</v>
      </c>
      <c r="AM480" s="501">
        <v>4</v>
      </c>
      <c r="AN480" s="496" t="str">
        <f>VLOOKUP(Table2[[#This Row],[Course Title]],'TSD-Data'!$A$1:$G$83,7,FALSE)</f>
        <v>N8</v>
      </c>
      <c r="AO480" s="500">
        <f>Table2[[#This Row],[Quotas]]-Table2[[#This Row],[Graduates]]-Table2[[#This Row],[Fail]]</f>
        <v>31</v>
      </c>
    </row>
    <row r="481" spans="2:41" s="202" customFormat="1" ht="15" customHeight="1" x14ac:dyDescent="0.25">
      <c r="B481" s="530"/>
      <c r="C481" s="530" t="s">
        <v>488</v>
      </c>
      <c r="D481" s="200" t="str">
        <f>VLOOKUP(Table2[[#This Row],[Course Title]],'TSD-Data'!$A$1:$E$83,2,FALSE)</f>
        <v xml:space="preserve">A-493-3019 </v>
      </c>
      <c r="E481" s="200" t="str">
        <f>VLOOKUP(Table2[[#This Row],[Course Title]],'TSD-Data'!$A$1:$E$83,3,FALSE)</f>
        <v>33D9</v>
      </c>
      <c r="F481" s="530" t="s">
        <v>54</v>
      </c>
      <c r="G481" s="531">
        <v>46210</v>
      </c>
      <c r="H481" s="531">
        <v>46210</v>
      </c>
      <c r="I481" s="531" t="s">
        <v>42</v>
      </c>
      <c r="J481" s="532"/>
      <c r="K481" s="558">
        <v>0.45833333333333331</v>
      </c>
      <c r="L481" s="532">
        <v>0.33333333333333331</v>
      </c>
      <c r="M481" s="532">
        <v>0.75</v>
      </c>
      <c r="N481" s="532">
        <v>0.70833333333333337</v>
      </c>
      <c r="O481" s="532">
        <v>0.25</v>
      </c>
      <c r="P481" s="532">
        <v>6.9444444444444447E-4</v>
      </c>
      <c r="Q481" s="535" t="s">
        <v>445</v>
      </c>
      <c r="R481" s="535" t="s">
        <v>483</v>
      </c>
      <c r="S481" s="535"/>
      <c r="T481" s="200">
        <f>VLOOKUP(Table2[[#This Row],[Course Title]],'TSD-Data'!$A$1:$E$83,4,FALSE)</f>
        <v>1000</v>
      </c>
      <c r="U481" s="200">
        <f>VLOOKUP(Table2[[#This Row],[Course Title]],'TSD-Data'!$A$1:$F$83,6,FALSE)</f>
        <v>2</v>
      </c>
      <c r="V481" s="201">
        <f>VLOOKUP(Table2[[#This Row],[Course Title]],'TSD-Data'!$A$1:$F$83,5,FALSE)</f>
        <v>0.25</v>
      </c>
      <c r="W481" s="201"/>
      <c r="X481" s="200">
        <f>Table2[[#This Row],[Quotas]]-Table2[[#This Row],[Open Quotas]]</f>
        <v>112</v>
      </c>
      <c r="Y481" s="200"/>
      <c r="Z481" s="201">
        <v>8</v>
      </c>
      <c r="AA481" s="201">
        <v>0</v>
      </c>
      <c r="AB481" s="200">
        <v>0</v>
      </c>
      <c r="AC481" s="200">
        <v>0</v>
      </c>
      <c r="AD481" s="200">
        <v>0</v>
      </c>
      <c r="AE481" s="200" t="s">
        <v>428</v>
      </c>
      <c r="AF481" s="201">
        <f ca="1">Table2[[#This Row],[End Date]]+2-TODAY()</f>
        <v>-32</v>
      </c>
      <c r="AG481" s="200">
        <f>IF(ISBLANK(Table2[[#This Row],[Roster Received by]]),1,0)</f>
        <v>0</v>
      </c>
      <c r="AH481" s="200">
        <f ca="1">IF(Table2[[#This Row],[Start Date]]&gt;TODAY(),1,)</f>
        <v>0</v>
      </c>
      <c r="AI481" s="200">
        <f>IF(ISBLANK(Table2[[#This Row],[Primary Instructor]]),0,1)</f>
        <v>1</v>
      </c>
      <c r="AJ481" s="200">
        <f>IF(ISBLANK(Table2[[#This Row],[Instructor 2]]),0,1)</f>
        <v>1</v>
      </c>
      <c r="AK481" s="200">
        <f>AJ836</f>
        <v>0</v>
      </c>
      <c r="AL481" s="318">
        <v>888</v>
      </c>
      <c r="AM481" s="200"/>
      <c r="AN481" s="200" t="str">
        <f>VLOOKUP(Table2[[#This Row],[Course Title]],'TSD-Data'!$A$1:$G$83,7,FALSE)</f>
        <v>N8-RMI</v>
      </c>
      <c r="AO481" s="518">
        <f>Table2[[#This Row],[Quotas]]-Table2[[#This Row],[Graduates]]-Table2[[#This Row],[Fail]]</f>
        <v>992</v>
      </c>
    </row>
    <row r="482" spans="2:41" ht="15" customHeight="1" x14ac:dyDescent="0.25">
      <c r="B482" s="530"/>
      <c r="C482" s="530" t="s">
        <v>489</v>
      </c>
      <c r="D482" s="200" t="str">
        <f>VLOOKUP(Table2[[#This Row],[Course Title]],'TSD-Data'!$A$1:$E$83,2,FALSE)</f>
        <v xml:space="preserve">A-493-3020 </v>
      </c>
      <c r="E482" s="200" t="str">
        <f>VLOOKUP(Table2[[#This Row],[Course Title]],'TSD-Data'!$A$1:$E$83,3,FALSE)</f>
        <v>33DA</v>
      </c>
      <c r="F482" s="530" t="s">
        <v>54</v>
      </c>
      <c r="G482" s="531">
        <v>46210</v>
      </c>
      <c r="H482" s="531">
        <v>46210</v>
      </c>
      <c r="I482" s="531" t="s">
        <v>42</v>
      </c>
      <c r="J482" s="532"/>
      <c r="K482" s="558">
        <v>0.5625</v>
      </c>
      <c r="L482" s="532">
        <v>0.4375</v>
      </c>
      <c r="M482" s="532"/>
      <c r="N482" s="532"/>
      <c r="O482" s="532"/>
      <c r="P482" s="532"/>
      <c r="Q482" s="535" t="s">
        <v>445</v>
      </c>
      <c r="R482" s="535" t="s">
        <v>483</v>
      </c>
      <c r="S482" s="535"/>
      <c r="T482" s="200">
        <f>VLOOKUP(Table2[[#This Row],[Course Title]],'TSD-Data'!$A$1:$E$83,4,FALSE)</f>
        <v>1000</v>
      </c>
      <c r="U482" s="200">
        <f>VLOOKUP(Table2[[#This Row],[Course Title]],'TSD-Data'!$A$1:$F$83,6,FALSE)</f>
        <v>2</v>
      </c>
      <c r="V482" s="201">
        <f>VLOOKUP(Table2[[#This Row],[Course Title]],'TSD-Data'!$A$1:$F$83,5,FALSE)</f>
        <v>0.25</v>
      </c>
      <c r="W482" s="201"/>
      <c r="X482" s="200">
        <f>Table2[[#This Row],[Quotas]]-Table2[[#This Row],[Open Quotas]]</f>
        <v>112</v>
      </c>
      <c r="Y482" s="200"/>
      <c r="Z482" s="201">
        <v>12</v>
      </c>
      <c r="AA482" s="201">
        <v>0</v>
      </c>
      <c r="AB482" s="200">
        <v>0</v>
      </c>
      <c r="AC482" s="200">
        <v>0</v>
      </c>
      <c r="AD482" s="200">
        <v>0</v>
      </c>
      <c r="AE482" s="200" t="s">
        <v>428</v>
      </c>
      <c r="AF482" s="201">
        <f ca="1">Table2[[#This Row],[End Date]]+2-TODAY()</f>
        <v>-32</v>
      </c>
      <c r="AG482" s="200">
        <f>IF(ISBLANK(Table2[[#This Row],[Roster Received by]]),1,0)</f>
        <v>0</v>
      </c>
      <c r="AH482" s="200">
        <f ca="1">IF(Table2[[#This Row],[Start Date]]&gt;TODAY(),1,)</f>
        <v>0</v>
      </c>
      <c r="AI482" s="200">
        <f>IF(ISBLANK(Table2[[#This Row],[Primary Instructor]]),0,1)</f>
        <v>1</v>
      </c>
      <c r="AJ482" s="200">
        <f>IF(ISBLANK(Table2[[#This Row],[Instructor 2]]),0,1)</f>
        <v>1</v>
      </c>
      <c r="AK482" s="200">
        <f>AJ836</f>
        <v>0</v>
      </c>
      <c r="AL482" s="318">
        <v>888</v>
      </c>
      <c r="AM482" s="200"/>
      <c r="AN482" s="200" t="str">
        <f>VLOOKUP(Table2[[#This Row],[Course Title]],'TSD-Data'!$A$1:$G$83,7,FALSE)</f>
        <v>N8-RMI</v>
      </c>
      <c r="AO482" s="518">
        <f>Table2[[#This Row],[Quotas]]-Table2[[#This Row],[Graduates]]-Table2[[#This Row],[Fail]]</f>
        <v>988</v>
      </c>
    </row>
    <row r="483" spans="2:41" ht="15" customHeight="1" x14ac:dyDescent="0.25">
      <c r="B483" s="83"/>
      <c r="C483" s="83" t="s">
        <v>413</v>
      </c>
      <c r="D483" s="59" t="str">
        <f>VLOOKUP(Table2[[#This Row],[Course Title]],'TSD-Data'!$A$1:$E$83,2,FALSE)</f>
        <v>A-493-3007</v>
      </c>
      <c r="E483" s="59" t="str">
        <f>VLOOKUP(Table2[[#This Row],[Course Title]],'TSD-Data'!$A$1:$E$83,3,FALSE)</f>
        <v>31V9</v>
      </c>
      <c r="F483" s="83" t="s">
        <v>54</v>
      </c>
      <c r="G483" s="61">
        <v>46210</v>
      </c>
      <c r="H483" s="61">
        <v>46210</v>
      </c>
      <c r="I483" s="61" t="s">
        <v>42</v>
      </c>
      <c r="J483" s="64"/>
      <c r="K483" s="566">
        <v>0.33333333333333331</v>
      </c>
      <c r="L483" s="64">
        <v>0.20833333333333334</v>
      </c>
      <c r="M483" s="64">
        <v>0.625</v>
      </c>
      <c r="N483" s="64">
        <v>0.58333333333333337</v>
      </c>
      <c r="O483" s="64">
        <v>0.125</v>
      </c>
      <c r="P483" s="64">
        <v>0.875</v>
      </c>
      <c r="Q483" s="73" t="s">
        <v>445</v>
      </c>
      <c r="R483" s="73" t="s">
        <v>483</v>
      </c>
      <c r="S483" s="73"/>
      <c r="T483" s="59">
        <f>VLOOKUP(Table2[[#This Row],[Course Title]],'TSD-Data'!$A$1:$E$83,4,FALSE)</f>
        <v>1000</v>
      </c>
      <c r="U483" s="59">
        <f>VLOOKUP(Table2[[#This Row],[Course Title]],'TSD-Data'!$A$1:$F$83,6,FALSE)</f>
        <v>2.5</v>
      </c>
      <c r="V483" s="63">
        <f>VLOOKUP(Table2[[#This Row],[Course Title]],'TSD-Data'!$A$1:$F$83,5,FALSE)</f>
        <v>0.3</v>
      </c>
      <c r="W483" s="63"/>
      <c r="X483" s="200">
        <f>Table2[[#This Row],[Quotas]]-Table2[[#This Row],[Open Quotas]]</f>
        <v>112</v>
      </c>
      <c r="Y483" s="59"/>
      <c r="Z483" s="63"/>
      <c r="AA483" s="63"/>
      <c r="AB483" s="59"/>
      <c r="AC483" s="59"/>
      <c r="AD483" s="59"/>
      <c r="AE483" s="59"/>
      <c r="AF483" s="63">
        <f ca="1">Table2[[#This Row],[End Date]]+2-TODAY()</f>
        <v>-32</v>
      </c>
      <c r="AG483" s="59">
        <f>IF(ISBLANK(Table2[[#This Row],[Roster Received by]]),1,0)</f>
        <v>1</v>
      </c>
      <c r="AH483" s="59">
        <f ca="1">IF(Table2[[#This Row],[Start Date]]&gt;TODAY(),1,)</f>
        <v>0</v>
      </c>
      <c r="AI483" s="59">
        <f>IF(ISBLANK(Table2[[#This Row],[Primary Instructor]]),0,1)</f>
        <v>1</v>
      </c>
      <c r="AJ483" s="59">
        <f>IF(ISBLANK(Table2[[#This Row],[Instructor 2]]),0,1)</f>
        <v>1</v>
      </c>
      <c r="AK483" s="59">
        <f>AJ839</f>
        <v>0</v>
      </c>
      <c r="AL483" s="113">
        <v>888</v>
      </c>
      <c r="AM483" s="59"/>
      <c r="AN483" s="59" t="str">
        <f>VLOOKUP(Table2[[#This Row],[Course Title]],'TSD-Data'!$A$1:$G$83,7,FALSE)</f>
        <v>N8-RMI</v>
      </c>
      <c r="AO483" s="508">
        <f>Table2[[#This Row],[Quotas]]-Table2[[#This Row],[Graduates]]-Table2[[#This Row],[Fail]]</f>
        <v>1000</v>
      </c>
    </row>
    <row r="484" spans="2:41" s="202" customFormat="1" ht="15" customHeight="1" x14ac:dyDescent="0.25">
      <c r="B484" s="530"/>
      <c r="C484" s="530" t="s">
        <v>275</v>
      </c>
      <c r="D484" s="200" t="str">
        <f>VLOOKUP(Table2[[#This Row],[Course Title]],'TSD-Data'!$A$1:$E$83,2,FALSE)</f>
        <v>A-493-0099</v>
      </c>
      <c r="E484" s="200" t="str">
        <f>VLOOKUP(Table2[[#This Row],[Course Title]],'TSD-Data'!$A$1:$E$83,3,FALSE)</f>
        <v>12JW</v>
      </c>
      <c r="F484" s="530" t="s">
        <v>54</v>
      </c>
      <c r="G484" s="531">
        <v>46211</v>
      </c>
      <c r="H484" s="531">
        <v>46213</v>
      </c>
      <c r="I484" s="531" t="s">
        <v>42</v>
      </c>
      <c r="J484" s="532"/>
      <c r="K484" s="532">
        <v>0.79166666666666663</v>
      </c>
      <c r="L484" s="536">
        <v>0.66666666666666663</v>
      </c>
      <c r="M484" s="536">
        <v>8.3333333333333329E-2</v>
      </c>
      <c r="N484" s="536">
        <v>0</v>
      </c>
      <c r="O484" s="536">
        <v>0.54166666666666663</v>
      </c>
      <c r="P484" s="536">
        <v>0.33333333333333331</v>
      </c>
      <c r="Q484" s="535" t="s">
        <v>274</v>
      </c>
      <c r="R484" s="535"/>
      <c r="S484" s="535"/>
      <c r="T484" s="200">
        <f>VLOOKUP(Table2[[#This Row],[Course Title]],'TSD-Data'!$A$1:$E$83,4,FALSE)</f>
        <v>45</v>
      </c>
      <c r="U484" s="200">
        <f>VLOOKUP(Table2[[#This Row],[Course Title]],'TSD-Data'!$A$1:$F$83,6,FALSE)</f>
        <v>24</v>
      </c>
      <c r="V484" s="201">
        <f>VLOOKUP(Table2[[#This Row],[Course Title]],'TSD-Data'!$A$1:$F$83,5,FALSE)</f>
        <v>3</v>
      </c>
      <c r="W484" s="201">
        <v>334</v>
      </c>
      <c r="X484" s="200">
        <f>Table2[[#This Row],[Quotas]]-Table2[[#This Row],[Open Quotas]]</f>
        <v>10</v>
      </c>
      <c r="Y484" s="200">
        <v>0</v>
      </c>
      <c r="Z484" s="201">
        <v>5</v>
      </c>
      <c r="AA484" s="201">
        <v>0</v>
      </c>
      <c r="AB484" s="200">
        <v>6</v>
      </c>
      <c r="AC484" s="200">
        <v>0</v>
      </c>
      <c r="AD484" s="200">
        <v>0</v>
      </c>
      <c r="AE484" s="200" t="s">
        <v>431</v>
      </c>
      <c r="AF484" s="495">
        <f ca="1">Table2[[#This Row],[End Date]]+2-TODAY()</f>
        <v>-29</v>
      </c>
      <c r="AG484" s="496">
        <f>IF(ISBLANK(Table2[[#This Row],[Roster Received by]]),1,0)</f>
        <v>0</v>
      </c>
      <c r="AH484" s="496">
        <f ca="1">IF(Table2[[#This Row],[Start Date]]&gt;TODAY(),1,)</f>
        <v>0</v>
      </c>
      <c r="AI484" s="496">
        <f>IF(ISBLANK(Table2[[#This Row],[Primary Instructor]]),0,1)</f>
        <v>1</v>
      </c>
      <c r="AJ484" s="496">
        <f>IF(ISBLANK(Table2[[#This Row],[Instructor 2]]),0,1)</f>
        <v>0</v>
      </c>
      <c r="AK484" s="496">
        <f>Table2[[#This Row],[Course Length (Hours)]]/(Table2[[#This Row],[1 Instructor]]+Table2[[#This Row],[2 Instructors]])</f>
        <v>24</v>
      </c>
      <c r="AL484" s="318">
        <v>35</v>
      </c>
      <c r="AM484" s="501">
        <v>4</v>
      </c>
      <c r="AN484" s="496" t="str">
        <f>VLOOKUP(Table2[[#This Row],[Course Title]],'TSD-Data'!$A$1:$G$83,7,FALSE)</f>
        <v>N5</v>
      </c>
      <c r="AO484" s="500">
        <f>Table2[[#This Row],[Quotas]]-Table2[[#This Row],[Graduates]]-Table2[[#This Row],[Fail]]</f>
        <v>40</v>
      </c>
    </row>
    <row r="485" spans="2:41" ht="15" customHeight="1" x14ac:dyDescent="0.25">
      <c r="B485" s="83"/>
      <c r="C485" s="83" t="s">
        <v>401</v>
      </c>
      <c r="D485" s="59" t="str">
        <f>VLOOKUP(Table2[[#This Row],[Course Title]],'TSD-Data'!$A$1:$E$83,2,FALSE)</f>
        <v>A-493-3002</v>
      </c>
      <c r="E485" s="59" t="str">
        <f>VLOOKUP(Table2[[#This Row],[Course Title]],'TSD-Data'!$A$1:$E$83,3,FALSE)</f>
        <v>31V4</v>
      </c>
      <c r="F485" s="83" t="s">
        <v>54</v>
      </c>
      <c r="G485" s="61">
        <v>46211</v>
      </c>
      <c r="H485" s="61">
        <v>46211</v>
      </c>
      <c r="I485" s="61" t="s">
        <v>42</v>
      </c>
      <c r="J485" s="64"/>
      <c r="K485" s="566">
        <v>0.33333333333333331</v>
      </c>
      <c r="L485" s="64">
        <v>0.20833333333333334</v>
      </c>
      <c r="M485" s="64">
        <v>0.625</v>
      </c>
      <c r="N485" s="64">
        <v>0.58333333333333337</v>
      </c>
      <c r="O485" s="64">
        <v>0.125</v>
      </c>
      <c r="P485" s="64">
        <v>0.875</v>
      </c>
      <c r="Q485" s="73" t="s">
        <v>445</v>
      </c>
      <c r="R485" s="73" t="s">
        <v>483</v>
      </c>
      <c r="S485" s="73"/>
      <c r="T485" s="59">
        <f>VLOOKUP(Table2[[#This Row],[Course Title]],'TSD-Data'!$A$1:$E$83,4,FALSE)</f>
        <v>1000</v>
      </c>
      <c r="U485" s="59">
        <f>VLOOKUP(Table2[[#This Row],[Course Title]],'TSD-Data'!$A$1:$F$83,6,FALSE)</f>
        <v>8</v>
      </c>
      <c r="V485" s="63">
        <f>VLOOKUP(Table2[[#This Row],[Course Title]],'TSD-Data'!$A$1:$F$83,5,FALSE)</f>
        <v>1</v>
      </c>
      <c r="W485" s="63"/>
      <c r="X485" s="200">
        <f>Table2[[#This Row],[Quotas]]-Table2[[#This Row],[Open Quotas]]</f>
        <v>112</v>
      </c>
      <c r="Y485" s="59"/>
      <c r="Z485" s="63"/>
      <c r="AA485" s="63"/>
      <c r="AB485" s="59"/>
      <c r="AC485" s="59"/>
      <c r="AD485" s="59"/>
      <c r="AE485" s="59"/>
      <c r="AF485" s="63">
        <f ca="1">Table2[[#This Row],[End Date]]+2-TODAY()</f>
        <v>-31</v>
      </c>
      <c r="AG485" s="59">
        <f>IF(ISBLANK(Table2[[#This Row],[Roster Received by]]),1,0)</f>
        <v>1</v>
      </c>
      <c r="AH485" s="59">
        <f ca="1">IF(Table2[[#This Row],[Start Date]]&gt;TODAY(),1,)</f>
        <v>0</v>
      </c>
      <c r="AI485" s="59">
        <f>IF(ISBLANK(Table2[[#This Row],[Primary Instructor]]),0,1)</f>
        <v>1</v>
      </c>
      <c r="AJ485" s="59">
        <f>IF(ISBLANK(Table2[[#This Row],[Instructor 2]]),0,1)</f>
        <v>1</v>
      </c>
      <c r="AK485" s="59">
        <f>AJ838</f>
        <v>0</v>
      </c>
      <c r="AL485" s="113">
        <v>888</v>
      </c>
      <c r="AM485" s="59"/>
      <c r="AN485" s="59" t="str">
        <f>VLOOKUP(Table2[[#This Row],[Course Title]],'TSD-Data'!$A$1:$G$83,7,FALSE)</f>
        <v>N8-RMI</v>
      </c>
      <c r="AO485" s="508">
        <f>Table2[[#This Row],[Quotas]]-Table2[[#This Row],[Graduates]]-Table2[[#This Row],[Fail]]</f>
        <v>1000</v>
      </c>
    </row>
    <row r="486" spans="2:41" ht="15" customHeight="1" x14ac:dyDescent="0.25">
      <c r="B486" s="83"/>
      <c r="C486" s="83" t="s">
        <v>407</v>
      </c>
      <c r="D486" s="59" t="str">
        <f>VLOOKUP(Table2[[#This Row],[Course Title]],'TSD-Data'!$A$1:$E$83,2,FALSE)</f>
        <v>A-493-3003</v>
      </c>
      <c r="E486" s="59" t="str">
        <f>VLOOKUP(Table2[[#This Row],[Course Title]],'TSD-Data'!$A$1:$E$83,3,FALSE)</f>
        <v>31V5</v>
      </c>
      <c r="F486" s="83" t="s">
        <v>54</v>
      </c>
      <c r="G486" s="61">
        <v>46212</v>
      </c>
      <c r="H486" s="61">
        <v>46212</v>
      </c>
      <c r="I486" s="61" t="s">
        <v>42</v>
      </c>
      <c r="J486" s="64"/>
      <c r="K486" s="566">
        <v>0.4375</v>
      </c>
      <c r="L486" s="64">
        <v>0.3125</v>
      </c>
      <c r="M486" s="64">
        <v>0.72916666666666663</v>
      </c>
      <c r="N486" s="64">
        <v>0.6875</v>
      </c>
      <c r="O486" s="64">
        <v>0.22916666666666666</v>
      </c>
      <c r="P486" s="64">
        <v>0.97916666666666663</v>
      </c>
      <c r="Q486" s="73" t="s">
        <v>445</v>
      </c>
      <c r="R486" s="73" t="s">
        <v>483</v>
      </c>
      <c r="S486" s="73"/>
      <c r="T486" s="59">
        <f>VLOOKUP(Table2[[#This Row],[Course Title]],'TSD-Data'!$A$1:$E$83,4,FALSE)</f>
        <v>1000</v>
      </c>
      <c r="U486" s="59">
        <f>VLOOKUP(Table2[[#This Row],[Course Title]],'TSD-Data'!$A$1:$F$83,6,FALSE)</f>
        <v>2</v>
      </c>
      <c r="V486" s="63">
        <f>VLOOKUP(Table2[[#This Row],[Course Title]],'TSD-Data'!$A$1:$F$83,5,FALSE)</f>
        <v>0.25</v>
      </c>
      <c r="W486" s="63"/>
      <c r="X486" s="200">
        <f>Table2[[#This Row],[Quotas]]-Table2[[#This Row],[Open Quotas]]</f>
        <v>112</v>
      </c>
      <c r="Y486" s="59"/>
      <c r="Z486" s="63"/>
      <c r="AA486" s="63"/>
      <c r="AB486" s="59"/>
      <c r="AC486" s="59"/>
      <c r="AD486" s="59"/>
      <c r="AE486" s="59"/>
      <c r="AF486" s="63">
        <f ca="1">Table2[[#This Row],[End Date]]+2-TODAY()</f>
        <v>-30</v>
      </c>
      <c r="AG486" s="59">
        <f>IF(ISBLANK(Table2[[#This Row],[Roster Received by]]),1,0)</f>
        <v>1</v>
      </c>
      <c r="AH486" s="59">
        <f ca="1">IF(Table2[[#This Row],[Start Date]]&gt;TODAY(),1,)</f>
        <v>0</v>
      </c>
      <c r="AI486" s="59">
        <f>IF(ISBLANK(Table2[[#This Row],[Primary Instructor]]),0,1)</f>
        <v>1</v>
      </c>
      <c r="AJ486" s="59">
        <f>IF(ISBLANK(Table2[[#This Row],[Instructor 2]]),0,1)</f>
        <v>1</v>
      </c>
      <c r="AK486" s="59">
        <f>AJ837</f>
        <v>0</v>
      </c>
      <c r="AL486" s="113">
        <v>888</v>
      </c>
      <c r="AM486" s="59"/>
      <c r="AN486" s="59" t="str">
        <f>VLOOKUP(Table2[[#This Row],[Course Title]],'TSD-Data'!$A$1:$G$83,7,FALSE)</f>
        <v>N8-RMI</v>
      </c>
      <c r="AO486" s="508">
        <f>Table2[[#This Row],[Quotas]]-Table2[[#This Row],[Graduates]]-Table2[[#This Row],[Fail]]</f>
        <v>1000</v>
      </c>
    </row>
    <row r="487" spans="2:41" ht="15" customHeight="1" x14ac:dyDescent="0.25">
      <c r="B487" s="83"/>
      <c r="C487" s="83" t="s">
        <v>409</v>
      </c>
      <c r="D487" s="59" t="str">
        <f>VLOOKUP(Table2[[#This Row],[Course Title]],'TSD-Data'!$A$1:$E$83,2,FALSE)</f>
        <v>A-493-3001</v>
      </c>
      <c r="E487" s="59" t="str">
        <f>VLOOKUP(Table2[[#This Row],[Course Title]],'TSD-Data'!$A$1:$E$83,3,FALSE)</f>
        <v>31V3</v>
      </c>
      <c r="F487" s="83" t="s">
        <v>54</v>
      </c>
      <c r="G487" s="61">
        <v>46212</v>
      </c>
      <c r="H487" s="61">
        <v>46212</v>
      </c>
      <c r="I487" s="61" t="s">
        <v>42</v>
      </c>
      <c r="J487" s="64"/>
      <c r="K487" s="566">
        <v>0.54166666666666663</v>
      </c>
      <c r="L487" s="64">
        <v>0.41666666666666669</v>
      </c>
      <c r="M487" s="64">
        <v>0.83333333333333337</v>
      </c>
      <c r="N487" s="64">
        <v>0.79166666666666663</v>
      </c>
      <c r="O487" s="64">
        <v>0.33333333333333331</v>
      </c>
      <c r="P487" s="64">
        <v>8.3333333333333329E-2</v>
      </c>
      <c r="Q487" s="73" t="s">
        <v>445</v>
      </c>
      <c r="R487" s="73" t="s">
        <v>483</v>
      </c>
      <c r="S487" s="73"/>
      <c r="T487" s="59">
        <f>VLOOKUP(Table2[[#This Row],[Course Title]],'TSD-Data'!$A$1:$E$83,4,FALSE)</f>
        <v>1000</v>
      </c>
      <c r="U487" s="59">
        <f>VLOOKUP(Table2[[#This Row],[Course Title]],'TSD-Data'!$A$1:$F$83,6,FALSE)</f>
        <v>2</v>
      </c>
      <c r="V487" s="63">
        <f>VLOOKUP(Table2[[#This Row],[Course Title]],'TSD-Data'!$A$1:$F$83,5,FALSE)</f>
        <v>0.25</v>
      </c>
      <c r="W487" s="63"/>
      <c r="X487" s="200">
        <f>Table2[[#This Row],[Quotas]]-Table2[[#This Row],[Open Quotas]]</f>
        <v>112</v>
      </c>
      <c r="Y487" s="59"/>
      <c r="Z487" s="63"/>
      <c r="AA487" s="63"/>
      <c r="AB487" s="59"/>
      <c r="AC487" s="59"/>
      <c r="AD487" s="59"/>
      <c r="AE487" s="59"/>
      <c r="AF487" s="63">
        <f ca="1">Table2[[#This Row],[End Date]]+2-TODAY()</f>
        <v>-30</v>
      </c>
      <c r="AG487" s="59">
        <f>IF(ISBLANK(Table2[[#This Row],[Roster Received by]]),1,0)</f>
        <v>1</v>
      </c>
      <c r="AH487" s="59">
        <f ca="1">IF(Table2[[#This Row],[Start Date]]&gt;TODAY(),1,)</f>
        <v>0</v>
      </c>
      <c r="AI487" s="59">
        <f>IF(ISBLANK(Table2[[#This Row],[Primary Instructor]]),0,1)</f>
        <v>1</v>
      </c>
      <c r="AJ487" s="59">
        <f>IF(ISBLANK(Table2[[#This Row],[Instructor 2]]),0,1)</f>
        <v>1</v>
      </c>
      <c r="AK487" s="59">
        <f>AJ837</f>
        <v>0</v>
      </c>
      <c r="AL487" s="113">
        <v>888</v>
      </c>
      <c r="AM487" s="59"/>
      <c r="AN487" s="59" t="str">
        <f>VLOOKUP(Table2[[#This Row],[Course Title]],'TSD-Data'!$A$1:$G$83,7,FALSE)</f>
        <v>N8-RMI</v>
      </c>
      <c r="AO487" s="508">
        <f>Table2[[#This Row],[Quotas]]-Table2[[#This Row],[Graduates]]-Table2[[#This Row],[Fail]]</f>
        <v>1000</v>
      </c>
    </row>
    <row r="488" spans="2:41" s="202" customFormat="1" ht="15" customHeight="1" x14ac:dyDescent="0.25">
      <c r="B488" s="530"/>
      <c r="C488" s="530" t="s">
        <v>410</v>
      </c>
      <c r="D488" s="200" t="str">
        <f>VLOOKUP(Table2[[#This Row],[Course Title]],'TSD-Data'!$A$1:$E$83,2,FALSE)</f>
        <v>A-493-3006</v>
      </c>
      <c r="E488" s="200" t="str">
        <f>VLOOKUP(Table2[[#This Row],[Course Title]],'TSD-Data'!$A$1:$E$83,3,FALSE)</f>
        <v>31V8</v>
      </c>
      <c r="F488" s="530" t="s">
        <v>54</v>
      </c>
      <c r="G488" s="531">
        <v>46212</v>
      </c>
      <c r="H488" s="531">
        <v>46212</v>
      </c>
      <c r="I488" s="531" t="s">
        <v>42</v>
      </c>
      <c r="J488" s="532"/>
      <c r="K488" s="558">
        <v>0.33333333333333331</v>
      </c>
      <c r="L488" s="532">
        <v>0.20833333333333334</v>
      </c>
      <c r="M488" s="532">
        <v>0.625</v>
      </c>
      <c r="N488" s="532">
        <v>0.58333333333333337</v>
      </c>
      <c r="O488" s="532">
        <v>0.125</v>
      </c>
      <c r="P488" s="532">
        <v>0.875</v>
      </c>
      <c r="Q488" s="535" t="s">
        <v>445</v>
      </c>
      <c r="R488" s="535" t="s">
        <v>483</v>
      </c>
      <c r="S488" s="535"/>
      <c r="T488" s="200">
        <f>VLOOKUP(Table2[[#This Row],[Course Title]],'TSD-Data'!$A$1:$E$83,4,FALSE)</f>
        <v>1000</v>
      </c>
      <c r="U488" s="200">
        <f>VLOOKUP(Table2[[#This Row],[Course Title]],'TSD-Data'!$A$1:$F$83,6,FALSE)</f>
        <v>2</v>
      </c>
      <c r="V488" s="201">
        <f>VLOOKUP(Table2[[#This Row],[Course Title]],'TSD-Data'!$A$1:$F$83,5,FALSE)</f>
        <v>0.1</v>
      </c>
      <c r="W488" s="201"/>
      <c r="X488" s="200">
        <f>Table2[[#This Row],[Quotas]]-Table2[[#This Row],[Open Quotas]]</f>
        <v>112</v>
      </c>
      <c r="Y488" s="200"/>
      <c r="Z488" s="201">
        <v>10</v>
      </c>
      <c r="AA488" s="201">
        <v>0</v>
      </c>
      <c r="AB488" s="200">
        <v>0</v>
      </c>
      <c r="AC488" s="200">
        <v>0</v>
      </c>
      <c r="AD488" s="200">
        <v>0</v>
      </c>
      <c r="AE488" s="200" t="s">
        <v>428</v>
      </c>
      <c r="AF488" s="201">
        <f ca="1">Table2[[#This Row],[End Date]]+2-TODAY()</f>
        <v>-30</v>
      </c>
      <c r="AG488" s="200">
        <f>IF(ISBLANK(Table2[[#This Row],[Roster Received by]]),1,0)</f>
        <v>0</v>
      </c>
      <c r="AH488" s="200">
        <f ca="1">IF(Table2[[#This Row],[Start Date]]&gt;TODAY(),1,)</f>
        <v>0</v>
      </c>
      <c r="AI488" s="200">
        <f>IF(ISBLANK(Table2[[#This Row],[Primary Instructor]]),0,1)</f>
        <v>1</v>
      </c>
      <c r="AJ488" s="200">
        <f>IF(ISBLANK(Table2[[#This Row],[Instructor 2]]),0,1)</f>
        <v>1</v>
      </c>
      <c r="AK488" s="200">
        <f>AJ840</f>
        <v>0</v>
      </c>
      <c r="AL488" s="318">
        <v>888</v>
      </c>
      <c r="AM488" s="200"/>
      <c r="AN488" s="200" t="str">
        <f>VLOOKUP(Table2[[#This Row],[Course Title]],'TSD-Data'!$A$1:$G$83,7,FALSE)</f>
        <v>N8-RMI</v>
      </c>
      <c r="AO488" s="518">
        <f>Table2[[#This Row],[Quotas]]-Table2[[#This Row],[Graduates]]-Table2[[#This Row],[Fail]]</f>
        <v>990</v>
      </c>
    </row>
    <row r="489" spans="2:41" ht="15" customHeight="1" x14ac:dyDescent="0.25">
      <c r="B489" s="83"/>
      <c r="C489" s="83" t="s">
        <v>411</v>
      </c>
      <c r="D489" s="59" t="str">
        <f>VLOOKUP(Table2[[#This Row],[Course Title]],'TSD-Data'!$A$1:$E$83,2,FALSE)</f>
        <v>A-493-3012</v>
      </c>
      <c r="E489" s="59" t="str">
        <f>VLOOKUP(Table2[[#This Row],[Course Title]],'TSD-Data'!$A$1:$E$83,3,FALSE)</f>
        <v>31YF</v>
      </c>
      <c r="F489" s="83" t="s">
        <v>54</v>
      </c>
      <c r="G489" s="61">
        <v>46212</v>
      </c>
      <c r="H489" s="61">
        <v>46212</v>
      </c>
      <c r="I489" s="61" t="s">
        <v>42</v>
      </c>
      <c r="J489" s="64"/>
      <c r="K489" s="566">
        <v>0.64583333333333337</v>
      </c>
      <c r="L489" s="64">
        <v>0.52083333333333337</v>
      </c>
      <c r="M489" s="64">
        <v>0.9375</v>
      </c>
      <c r="N489" s="64">
        <v>0.89583333333333337</v>
      </c>
      <c r="O489" s="64">
        <v>0.4375</v>
      </c>
      <c r="P489" s="64">
        <v>0.1875</v>
      </c>
      <c r="Q489" s="73" t="s">
        <v>445</v>
      </c>
      <c r="R489" s="73" t="s">
        <v>483</v>
      </c>
      <c r="S489" s="73"/>
      <c r="T489" s="59">
        <f>VLOOKUP(Table2[[#This Row],[Course Title]],'TSD-Data'!$A$1:$E$83,4,FALSE)</f>
        <v>1000</v>
      </c>
      <c r="U489" s="59">
        <f>VLOOKUP(Table2[[#This Row],[Course Title]],'TSD-Data'!$A$1:$F$83,6,FALSE)</f>
        <v>1</v>
      </c>
      <c r="V489" s="63">
        <f>VLOOKUP(Table2[[#This Row],[Course Title]],'TSD-Data'!$A$1:$F$83,5,FALSE)</f>
        <v>0.1</v>
      </c>
      <c r="W489" s="63"/>
      <c r="X489" s="200">
        <f>Table2[[#This Row],[Quotas]]-Table2[[#This Row],[Open Quotas]]</f>
        <v>112</v>
      </c>
      <c r="Y489" s="59"/>
      <c r="Z489" s="63"/>
      <c r="AA489" s="63"/>
      <c r="AB489" s="59"/>
      <c r="AC489" s="59"/>
      <c r="AD489" s="59"/>
      <c r="AE489" s="59"/>
      <c r="AF489" s="63">
        <f ca="1">Table2[[#This Row],[End Date]]+2-TODAY()</f>
        <v>-30</v>
      </c>
      <c r="AG489" s="59">
        <f>IF(ISBLANK(Table2[[#This Row],[Roster Received by]]),1,0)</f>
        <v>1</v>
      </c>
      <c r="AH489" s="59">
        <f ca="1">IF(Table2[[#This Row],[Start Date]]&gt;TODAY(),1,)</f>
        <v>0</v>
      </c>
      <c r="AI489" s="59">
        <f>IF(ISBLANK(Table2[[#This Row],[Primary Instructor]]),0,1)</f>
        <v>1</v>
      </c>
      <c r="AJ489" s="59">
        <f>IF(ISBLANK(Table2[[#This Row],[Instructor 2]]),0,1)</f>
        <v>1</v>
      </c>
      <c r="AK489" s="59">
        <f>AJ838</f>
        <v>0</v>
      </c>
      <c r="AL489" s="113">
        <v>888</v>
      </c>
      <c r="AM489" s="59"/>
      <c r="AN489" s="59" t="str">
        <f>VLOOKUP(Table2[[#This Row],[Course Title]],'TSD-Data'!$A$1:$G$83,7,FALSE)</f>
        <v>N8-RMI</v>
      </c>
      <c r="AO489" s="508">
        <f>Table2[[#This Row],[Quotas]]-Table2[[#This Row],[Graduates]]-Table2[[#This Row],[Fail]]</f>
        <v>1000</v>
      </c>
    </row>
    <row r="490" spans="2:41" ht="15" customHeight="1" x14ac:dyDescent="0.25">
      <c r="B490" s="83"/>
      <c r="C490" s="83" t="s">
        <v>399</v>
      </c>
      <c r="D490" s="59" t="str">
        <f>VLOOKUP(Table2[[#This Row],[Course Title]],'TSD-Data'!$A$1:$E$83,2,FALSE)</f>
        <v>A-493-3011</v>
      </c>
      <c r="E490" s="59" t="str">
        <f>VLOOKUP(Table2[[#This Row],[Course Title]],'TSD-Data'!$A$1:$E$83,3,FALSE)</f>
        <v>31VD</v>
      </c>
      <c r="F490" s="83" t="s">
        <v>54</v>
      </c>
      <c r="G490" s="61">
        <v>46213</v>
      </c>
      <c r="H490" s="61">
        <v>46213</v>
      </c>
      <c r="I490" s="61" t="s">
        <v>42</v>
      </c>
      <c r="J490" s="64"/>
      <c r="K490" s="566">
        <v>0.54166666666666663</v>
      </c>
      <c r="L490" s="64">
        <v>0.41666666666666669</v>
      </c>
      <c r="M490" s="64">
        <v>0.83333333333333337</v>
      </c>
      <c r="N490" s="64">
        <v>0.79166666666666663</v>
      </c>
      <c r="O490" s="64">
        <v>0.33333333333333331</v>
      </c>
      <c r="P490" s="64">
        <v>8.3333333333333329E-2</v>
      </c>
      <c r="Q490" s="73" t="s">
        <v>445</v>
      </c>
      <c r="R490" s="73" t="s">
        <v>483</v>
      </c>
      <c r="S490" s="73"/>
      <c r="T490" s="59">
        <f>VLOOKUP(Table2[[#This Row],[Course Title]],'TSD-Data'!$A$1:$E$83,4,FALSE)</f>
        <v>1000</v>
      </c>
      <c r="U490" s="59">
        <f>VLOOKUP(Table2[[#This Row],[Course Title]],'TSD-Data'!$A$1:$F$83,6,FALSE)</f>
        <v>2.5</v>
      </c>
      <c r="V490" s="63">
        <f>VLOOKUP(Table2[[#This Row],[Course Title]],'TSD-Data'!$A$1:$F$83,5,FALSE)</f>
        <v>0.3</v>
      </c>
      <c r="W490" s="63"/>
      <c r="X490" s="200">
        <f>Table2[[#This Row],[Quotas]]-Table2[[#This Row],[Open Quotas]]</f>
        <v>112</v>
      </c>
      <c r="Y490" s="59"/>
      <c r="Z490" s="63"/>
      <c r="AA490" s="63"/>
      <c r="AB490" s="59"/>
      <c r="AC490" s="59"/>
      <c r="AD490" s="59"/>
      <c r="AE490" s="59"/>
      <c r="AF490" s="63">
        <f ca="1">Table2[[#This Row],[End Date]]+2-TODAY()</f>
        <v>-29</v>
      </c>
      <c r="AG490" s="59">
        <f>IF(ISBLANK(Table2[[#This Row],[Roster Received by]]),1,0)</f>
        <v>1</v>
      </c>
      <c r="AH490" s="59">
        <f ca="1">IF(Table2[[#This Row],[Start Date]]&gt;TODAY(),1,)</f>
        <v>0</v>
      </c>
      <c r="AI490" s="59">
        <f>IF(ISBLANK(Table2[[#This Row],[Primary Instructor]]),0,1)</f>
        <v>1</v>
      </c>
      <c r="AJ490" s="59">
        <f>IF(ISBLANK(Table2[[#This Row],[Instructor 2]]),0,1)</f>
        <v>1</v>
      </c>
      <c r="AK490" s="59">
        <f>AJ837</f>
        <v>0</v>
      </c>
      <c r="AL490" s="113">
        <v>888</v>
      </c>
      <c r="AM490" s="59"/>
      <c r="AN490" s="59" t="str">
        <f>VLOOKUP(Table2[[#This Row],[Course Title]],'TSD-Data'!$A$1:$G$83,7,FALSE)</f>
        <v>N8-RMI</v>
      </c>
      <c r="AO490" s="508">
        <f>Table2[[#This Row],[Quotas]]-Table2[[#This Row],[Graduates]]-Table2[[#This Row],[Fail]]</f>
        <v>1000</v>
      </c>
    </row>
    <row r="491" spans="2:41" ht="15" customHeight="1" x14ac:dyDescent="0.25">
      <c r="B491" s="83"/>
      <c r="C491" s="83" t="s">
        <v>400</v>
      </c>
      <c r="D491" s="59" t="str">
        <f>VLOOKUP(Table2[[#This Row],[Course Title]],'TSD-Data'!$A$1:$E$83,2,FALSE)</f>
        <v>A-493-3010</v>
      </c>
      <c r="E491" s="59" t="str">
        <f>VLOOKUP(Table2[[#This Row],[Course Title]],'TSD-Data'!$A$1:$E$83,3,FALSE)</f>
        <v>31VC</v>
      </c>
      <c r="F491" s="83" t="s">
        <v>54</v>
      </c>
      <c r="G491" s="61">
        <v>46213</v>
      </c>
      <c r="H491" s="61">
        <v>46213</v>
      </c>
      <c r="I491" s="61" t="s">
        <v>42</v>
      </c>
      <c r="J491" s="64"/>
      <c r="K491" s="566">
        <v>0.33333333333333331</v>
      </c>
      <c r="L491" s="64">
        <v>0.20833333333333334</v>
      </c>
      <c r="M491" s="64">
        <v>0.625</v>
      </c>
      <c r="N491" s="64">
        <v>0.58333333333333337</v>
      </c>
      <c r="O491" s="64">
        <v>0.125</v>
      </c>
      <c r="P491" s="64">
        <v>0.875</v>
      </c>
      <c r="Q491" s="73" t="s">
        <v>445</v>
      </c>
      <c r="R491" s="73" t="s">
        <v>483</v>
      </c>
      <c r="S491" s="73"/>
      <c r="T491" s="59">
        <f>VLOOKUP(Table2[[#This Row],[Course Title]],'TSD-Data'!$A$1:$E$83,4,FALSE)</f>
        <v>1000</v>
      </c>
      <c r="U491" s="59">
        <f>VLOOKUP(Table2[[#This Row],[Course Title]],'TSD-Data'!$A$1:$F$83,6,FALSE)</f>
        <v>4</v>
      </c>
      <c r="V491" s="63">
        <f>VLOOKUP(Table2[[#This Row],[Course Title]],'TSD-Data'!$A$1:$F$83,5,FALSE)</f>
        <v>0.5</v>
      </c>
      <c r="W491" s="63"/>
      <c r="X491" s="200">
        <f>Table2[[#This Row],[Quotas]]-Table2[[#This Row],[Open Quotas]]</f>
        <v>112</v>
      </c>
      <c r="Y491" s="59"/>
      <c r="Z491" s="63"/>
      <c r="AA491" s="63"/>
      <c r="AB491" s="59"/>
      <c r="AC491" s="59"/>
      <c r="AD491" s="59"/>
      <c r="AE491" s="59"/>
      <c r="AF491" s="63">
        <f ca="1">Table2[[#This Row],[End Date]]+2-TODAY()</f>
        <v>-29</v>
      </c>
      <c r="AG491" s="59">
        <f>IF(ISBLANK(Table2[[#This Row],[Roster Received by]]),1,0)</f>
        <v>1</v>
      </c>
      <c r="AH491" s="59">
        <f ca="1">IF(Table2[[#This Row],[Start Date]]&gt;TODAY(),1,)</f>
        <v>0</v>
      </c>
      <c r="AI491" s="59">
        <f>IF(ISBLANK(Table2[[#This Row],[Primary Instructor]]),0,1)</f>
        <v>1</v>
      </c>
      <c r="AJ491" s="59">
        <f>IF(ISBLANK(Table2[[#This Row],[Instructor 2]]),0,1)</f>
        <v>1</v>
      </c>
      <c r="AK491" s="59">
        <f>AJ839</f>
        <v>0</v>
      </c>
      <c r="AL491" s="113">
        <v>888</v>
      </c>
      <c r="AM491" s="59"/>
      <c r="AN491" s="59" t="str">
        <f>VLOOKUP(Table2[[#This Row],[Course Title]],'TSD-Data'!$A$1:$G$83,7,FALSE)</f>
        <v>N8-RMI</v>
      </c>
      <c r="AO491" s="508">
        <f>Table2[[#This Row],[Quotas]]-Table2[[#This Row],[Graduates]]-Table2[[#This Row],[Fail]]</f>
        <v>1000</v>
      </c>
    </row>
    <row r="492" spans="2:41" ht="15" customHeight="1" x14ac:dyDescent="0.25">
      <c r="B492" s="530"/>
      <c r="C492" s="530" t="s">
        <v>276</v>
      </c>
      <c r="D492" s="200" t="str">
        <f>VLOOKUP(Table2[[#This Row],[Course Title]],'TSD-Data'!$A$1:$E$83,2,FALSE)</f>
        <v>A-493-0103</v>
      </c>
      <c r="E492" s="200" t="str">
        <f>VLOOKUP(Table2[[#This Row],[Course Title]],'TSD-Data'!$A$1:$E$83,3,FALSE)</f>
        <v>12JY</v>
      </c>
      <c r="F492" s="530" t="s">
        <v>117</v>
      </c>
      <c r="G492" s="531">
        <v>46216</v>
      </c>
      <c r="H492" s="531">
        <v>46220</v>
      </c>
      <c r="I492" s="531" t="s">
        <v>42</v>
      </c>
      <c r="J492" s="532">
        <v>0.33333333333333331</v>
      </c>
      <c r="K492" s="532"/>
      <c r="L492" s="531"/>
      <c r="M492" s="531"/>
      <c r="N492" s="531"/>
      <c r="O492" s="531"/>
      <c r="P492" s="531"/>
      <c r="Q492" s="535" t="s">
        <v>280</v>
      </c>
      <c r="R492" s="535"/>
      <c r="S492" s="535"/>
      <c r="T492" s="200">
        <f>VLOOKUP(Table2[[#This Row],[Course Title]],'TSD-Data'!$A$1:$E$83,4,FALSE)</f>
        <v>25</v>
      </c>
      <c r="U492" s="200">
        <f>VLOOKUP(Table2[[#This Row],[Course Title]],'TSD-Data'!$A$1:$F$83,6,FALSE)</f>
        <v>40</v>
      </c>
      <c r="V492" s="201">
        <f>VLOOKUP(Table2[[#This Row],[Course Title]],'TSD-Data'!$A$1:$F$83,5,FALSE)</f>
        <v>5</v>
      </c>
      <c r="W492" s="201">
        <v>55</v>
      </c>
      <c r="X492" s="200">
        <f>Table2[[#This Row],[Quotas]]-Table2[[#This Row],[Open Quotas]]</f>
        <v>11</v>
      </c>
      <c r="Y492" s="200">
        <v>0</v>
      </c>
      <c r="Z492" s="201">
        <v>11</v>
      </c>
      <c r="AA492" s="201">
        <v>0</v>
      </c>
      <c r="AB492" s="200">
        <v>2</v>
      </c>
      <c r="AC492" s="200">
        <v>1</v>
      </c>
      <c r="AD492" s="200">
        <v>0</v>
      </c>
      <c r="AE492" s="200" t="s">
        <v>431</v>
      </c>
      <c r="AF492" s="495">
        <f ca="1">Table2[[#This Row],[End Date]]+2-TODAY()</f>
        <v>-22</v>
      </c>
      <c r="AG492" s="496">
        <f>IF(ISBLANK(Table2[[#This Row],[Roster Received by]]),1,0)</f>
        <v>0</v>
      </c>
      <c r="AH492" s="496">
        <f ca="1">IF(Table2[[#This Row],[Start Date]]&gt;TODAY(),1,)</f>
        <v>0</v>
      </c>
      <c r="AI492" s="496">
        <f>IF(ISBLANK(Table2[[#This Row],[Primary Instructor]]),0,1)</f>
        <v>1</v>
      </c>
      <c r="AJ492" s="496">
        <f>IF(ISBLANK(Table2[[#This Row],[Instructor 2]]),0,1)</f>
        <v>0</v>
      </c>
      <c r="AK492" s="496">
        <f>Table2[[#This Row],[Course Length (Hours)]]/(Table2[[#This Row],[1 Instructor]]+Table2[[#This Row],[2 Instructors]])</f>
        <v>40</v>
      </c>
      <c r="AL492" s="318">
        <v>14</v>
      </c>
      <c r="AM492" s="501">
        <v>4</v>
      </c>
      <c r="AN492" s="496" t="str">
        <f>VLOOKUP(Table2[[#This Row],[Course Title]],'TSD-Data'!$A$1:$G$83,7,FALSE)</f>
        <v>N5</v>
      </c>
      <c r="AO492" s="500">
        <f>Table2[[#This Row],[Quotas]]-Table2[[#This Row],[Graduates]]-Table2[[#This Row],[Fail]]</f>
        <v>14</v>
      </c>
    </row>
    <row r="493" spans="2:41" ht="15" customHeight="1" x14ac:dyDescent="0.25">
      <c r="B493" s="530"/>
      <c r="C493" s="530" t="s">
        <v>196</v>
      </c>
      <c r="D493" s="200" t="str">
        <f>VLOOKUP(Table2[[#This Row],[Course Title]],'TSD-Data'!$A$1:$E$83,2,FALSE)</f>
        <v>A-4J-0022</v>
      </c>
      <c r="E493" s="200" t="str">
        <f>VLOOKUP(Table2[[#This Row],[Course Title]],'TSD-Data'!$A$1:$E$83,3,FALSE)</f>
        <v>09ER</v>
      </c>
      <c r="F493" s="530" t="s">
        <v>54</v>
      </c>
      <c r="G493" s="531">
        <v>46216</v>
      </c>
      <c r="H493" s="531">
        <v>46220</v>
      </c>
      <c r="I493" s="531" t="s">
        <v>42</v>
      </c>
      <c r="J493" s="532"/>
      <c r="K493" s="536">
        <v>0.5</v>
      </c>
      <c r="L493" s="536">
        <v>0.375</v>
      </c>
      <c r="M493" s="536">
        <v>0.79166666666666663</v>
      </c>
      <c r="N493" s="536">
        <v>0.75</v>
      </c>
      <c r="O493" s="536">
        <v>0.25</v>
      </c>
      <c r="P493" s="536">
        <v>4.1666666666666664E-2</v>
      </c>
      <c r="Q493" s="535" t="s">
        <v>437</v>
      </c>
      <c r="R493" s="535"/>
      <c r="S493" s="535"/>
      <c r="T493" s="200">
        <f>VLOOKUP(Table2[[#This Row],[Course Title]],'TSD-Data'!$A$1:$E$83,4,FALSE)</f>
        <v>45</v>
      </c>
      <c r="U493" s="200">
        <f>VLOOKUP(Table2[[#This Row],[Course Title]],'TSD-Data'!$A$1:$F$83,6,FALSE)</f>
        <v>40</v>
      </c>
      <c r="V493" s="201">
        <f>VLOOKUP(Table2[[#This Row],[Course Title]],'TSD-Data'!$A$1:$F$83,5,FALSE)</f>
        <v>2</v>
      </c>
      <c r="W493" s="201">
        <v>130</v>
      </c>
      <c r="X493" s="200">
        <f>Table2[[#This Row],[Quotas]]-Table2[[#This Row],[Open Quotas]]</f>
        <v>25</v>
      </c>
      <c r="Y493" s="200"/>
      <c r="Z493" s="201">
        <v>16</v>
      </c>
      <c r="AA493" s="201">
        <v>0</v>
      </c>
      <c r="AB493" s="200">
        <v>0</v>
      </c>
      <c r="AC493" s="200">
        <v>0</v>
      </c>
      <c r="AD493" s="200">
        <v>0</v>
      </c>
      <c r="AE493" s="200" t="s">
        <v>428</v>
      </c>
      <c r="AF493" s="495">
        <f ca="1">Table2[[#This Row],[End Date]]+2-TODAY()</f>
        <v>-22</v>
      </c>
      <c r="AG493" s="496">
        <f>IF(ISBLANK(Table2[[#This Row],[Roster Received by]]),1,0)</f>
        <v>0</v>
      </c>
      <c r="AH493" s="496">
        <f ca="1">IF(Table2[[#This Row],[Start Date]]&gt;TODAY(),1,)</f>
        <v>0</v>
      </c>
      <c r="AI493" s="496">
        <f>IF(ISBLANK(Table2[[#This Row],[Primary Instructor]]),0,1)</f>
        <v>1</v>
      </c>
      <c r="AJ493" s="496">
        <f>IF(ISBLANK(Table2[[#This Row],[Instructor 2]]),0,1)</f>
        <v>0</v>
      </c>
      <c r="AK493" s="496">
        <f>Table2[[#This Row],[Course Length (Hours)]]/(Table2[[#This Row],[1 Instructor]]+Table2[[#This Row],[2 Instructors]])</f>
        <v>40</v>
      </c>
      <c r="AL493" s="318">
        <v>20</v>
      </c>
      <c r="AM493" s="501">
        <v>4</v>
      </c>
      <c r="AN493" s="496" t="str">
        <f>VLOOKUP(Table2[[#This Row],[Course Title]],'TSD-Data'!$A$1:$G$83,7,FALSE)</f>
        <v>N4</v>
      </c>
      <c r="AO493" s="500">
        <f>Table2[[#This Row],[Quotas]]-Table2[[#This Row],[Graduates]]-Table2[[#This Row],[Fail]]</f>
        <v>29</v>
      </c>
    </row>
    <row r="494" spans="2:41" s="202" customFormat="1" ht="15" customHeight="1" x14ac:dyDescent="0.25">
      <c r="B494" s="530"/>
      <c r="C494" s="530" t="s">
        <v>213</v>
      </c>
      <c r="D494" s="200" t="str">
        <f>VLOOKUP(Table2[[#This Row],[Course Title]],'TSD-Data'!$A$1:$E$83,2,FALSE)</f>
        <v>A-322-2604</v>
      </c>
      <c r="E494" s="200" t="str">
        <f>VLOOKUP(Table2[[#This Row],[Course Title]],'TSD-Data'!$A$1:$E$83,3,FALSE)</f>
        <v>10ZZ</v>
      </c>
      <c r="F494" s="561" t="s">
        <v>54</v>
      </c>
      <c r="G494" s="562">
        <v>46216</v>
      </c>
      <c r="H494" s="562">
        <v>46218</v>
      </c>
      <c r="I494" s="531" t="s">
        <v>42</v>
      </c>
      <c r="J494" s="532"/>
      <c r="K494" s="532">
        <v>0.33333333333333331</v>
      </c>
      <c r="L494" s="532">
        <v>0.20833333333333334</v>
      </c>
      <c r="M494" s="532">
        <v>0.625</v>
      </c>
      <c r="N494" s="532">
        <v>0.54166666666666663</v>
      </c>
      <c r="O494" s="532">
        <v>8.3333333333333329E-2</v>
      </c>
      <c r="P494" s="532">
        <v>0.875</v>
      </c>
      <c r="Q494" s="535" t="s">
        <v>79</v>
      </c>
      <c r="R494" s="535"/>
      <c r="S494" s="535"/>
      <c r="T494" s="200">
        <f>VLOOKUP(Table2[[#This Row],[Course Title]],'TSD-Data'!$A$1:$E$83,4,FALSE)</f>
        <v>45</v>
      </c>
      <c r="U494" s="200">
        <f>VLOOKUP(Table2[[#This Row],[Course Title]],'TSD-Data'!$A$1:$F$83,6,FALSE)</f>
        <v>24</v>
      </c>
      <c r="V494" s="201">
        <f>VLOOKUP(Table2[[#This Row],[Course Title]],'TSD-Data'!$A$1:$F$83,5,FALSE)</f>
        <v>3</v>
      </c>
      <c r="W494" s="201">
        <v>316</v>
      </c>
      <c r="X494" s="200">
        <f>Table2[[#This Row],[Quotas]]-Table2[[#This Row],[Open Quotas]]</f>
        <v>42</v>
      </c>
      <c r="Y494" s="200">
        <v>0</v>
      </c>
      <c r="Z494" s="201">
        <v>36</v>
      </c>
      <c r="AA494" s="201">
        <v>2</v>
      </c>
      <c r="AB494" s="200">
        <v>7</v>
      </c>
      <c r="AC494" s="200">
        <v>1</v>
      </c>
      <c r="AD494" s="200">
        <v>0</v>
      </c>
      <c r="AE494" s="200" t="s">
        <v>431</v>
      </c>
      <c r="AF494" s="495">
        <f ca="1">Table2[[#This Row],[End Date]]+2-TODAY()</f>
        <v>-24</v>
      </c>
      <c r="AG494" s="496">
        <f>IF(ISBLANK(Table2[[#This Row],[Roster Received by]]),1,0)</f>
        <v>0</v>
      </c>
      <c r="AH494" s="496">
        <f ca="1">IF(Table2[[#This Row],[Start Date]]&gt;TODAY(),1,)</f>
        <v>0</v>
      </c>
      <c r="AI494" s="496">
        <f>IF(ISBLANK(Table2[[#This Row],[Primary Instructor]]),0,1)</f>
        <v>1</v>
      </c>
      <c r="AJ494" s="496">
        <f>IF(ISBLANK(Table2[[#This Row],[Instructor 2]]),0,1)</f>
        <v>0</v>
      </c>
      <c r="AK494" s="496">
        <f>Table2[[#This Row],[Course Length (Hours)]]/(Table2[[#This Row],[1 Instructor]]+Table2[[#This Row],[2 Instructors]])</f>
        <v>24</v>
      </c>
      <c r="AL494" s="318">
        <v>3</v>
      </c>
      <c r="AM494" s="501">
        <v>4</v>
      </c>
      <c r="AN494" s="496" t="str">
        <f>VLOOKUP(Table2[[#This Row],[Course Title]],'TSD-Data'!$A$1:$G$83,7,FALSE)</f>
        <v>N8</v>
      </c>
      <c r="AO494" s="500">
        <f>Table2[[#This Row],[Quotas]]-Table2[[#This Row],[Graduates]]-Table2[[#This Row],[Fail]]</f>
        <v>7</v>
      </c>
    </row>
    <row r="495" spans="2:41" ht="15" customHeight="1" x14ac:dyDescent="0.25">
      <c r="B495" s="530"/>
      <c r="C495" s="530" t="s">
        <v>53</v>
      </c>
      <c r="D495" s="200" t="str">
        <f>VLOOKUP(Table2[[#This Row],[Course Title]],'TSD-Data'!$A$1:$E$83,2,FALSE)</f>
        <v>A-493-0078</v>
      </c>
      <c r="E495" s="200">
        <f>VLOOKUP(Table2[[#This Row],[Course Title]],'TSD-Data'!$A$1:$E$83,3,FALSE)</f>
        <v>1228</v>
      </c>
      <c r="F495" s="561" t="s">
        <v>54</v>
      </c>
      <c r="G495" s="531">
        <v>46216</v>
      </c>
      <c r="H495" s="531">
        <v>46219</v>
      </c>
      <c r="I495" s="531" t="s">
        <v>42</v>
      </c>
      <c r="J495" s="532"/>
      <c r="K495" s="532">
        <v>0.33333333333333331</v>
      </c>
      <c r="L495" s="532">
        <v>0.20833333333333334</v>
      </c>
      <c r="M495" s="532">
        <v>0.625</v>
      </c>
      <c r="N495" s="532">
        <v>0.54166666666666663</v>
      </c>
      <c r="O495" s="532">
        <v>8.3333333333333329E-2</v>
      </c>
      <c r="P495" s="532">
        <v>0.875</v>
      </c>
      <c r="Q495" s="535" t="s">
        <v>55</v>
      </c>
      <c r="R495" s="535"/>
      <c r="S495" s="535"/>
      <c r="T495" s="200">
        <f>VLOOKUP(Table2[[#This Row],[Course Title]],'TSD-Data'!$A$1:$E$83,4,FALSE)</f>
        <v>45</v>
      </c>
      <c r="U495" s="200">
        <v>40</v>
      </c>
      <c r="V495" s="201">
        <v>5</v>
      </c>
      <c r="W495" s="201">
        <v>568</v>
      </c>
      <c r="X495" s="200">
        <f>Table2[[#This Row],[Quotas]]-Table2[[#This Row],[Open Quotas]]</f>
        <v>43</v>
      </c>
      <c r="Y495" s="200">
        <v>0</v>
      </c>
      <c r="Z495" s="201">
        <v>39</v>
      </c>
      <c r="AA495" s="201">
        <v>0</v>
      </c>
      <c r="AB495" s="200">
        <v>4</v>
      </c>
      <c r="AC495" s="200">
        <v>0</v>
      </c>
      <c r="AD495" s="200">
        <v>0</v>
      </c>
      <c r="AE495" s="200" t="s">
        <v>431</v>
      </c>
      <c r="AF495" s="495">
        <f ca="1">Table2[[#This Row],[End Date]]+2-TODAY()</f>
        <v>-23</v>
      </c>
      <c r="AG495" s="496">
        <f>IF(ISBLANK(Table2[[#This Row],[Roster Received by]]),1,0)</f>
        <v>0</v>
      </c>
      <c r="AH495" s="496">
        <f ca="1">IF(Table2[[#This Row],[Start Date]]&gt;TODAY(),1,)</f>
        <v>0</v>
      </c>
      <c r="AI495" s="496">
        <f>IF(ISBLANK(Table2[[#This Row],[Primary Instructor]]),0,1)</f>
        <v>1</v>
      </c>
      <c r="AJ495" s="496">
        <f>IF(ISBLANK(Table2[[#This Row],[Instructor 2]]),0,1)</f>
        <v>0</v>
      </c>
      <c r="AK495" s="496">
        <f>Table2[[#This Row],[Course Length (Hours)]]/(Table2[[#This Row],[1 Instructor]]+Table2[[#This Row],[2 Instructors]])</f>
        <v>40</v>
      </c>
      <c r="AL495" s="318">
        <v>2</v>
      </c>
      <c r="AM495" s="501">
        <v>4</v>
      </c>
      <c r="AN495" s="496" t="str">
        <f>VLOOKUP(Table2[[#This Row],[Course Title]],'TSD-Data'!$A$1:$G$83,7,FALSE)</f>
        <v>N5</v>
      </c>
      <c r="AO495" s="500">
        <f>Table2[[#This Row],[Quotas]]-Table2[[#This Row],[Graduates]]-Table2[[#This Row],[Fail]]</f>
        <v>6</v>
      </c>
    </row>
    <row r="496" spans="2:41" s="202" customFormat="1" ht="15" customHeight="1" x14ac:dyDescent="0.25">
      <c r="B496" s="567" t="s">
        <v>490</v>
      </c>
      <c r="C496" s="83" t="s">
        <v>453</v>
      </c>
      <c r="D496" s="59" t="str">
        <f>VLOOKUP(Table2[[#This Row],[Course Title]],'TSD-Data'!$A$1:$E$83,2,FALSE)</f>
        <v>Reserved</v>
      </c>
      <c r="E496" s="59" t="str">
        <f>VLOOKUP(Table2[[#This Row],[Course Title]],'TSD-Data'!$A$1:$E$83,3,FALSE)</f>
        <v xml:space="preserve">Reserved </v>
      </c>
      <c r="F496" s="83" t="s">
        <v>130</v>
      </c>
      <c r="G496" s="61">
        <v>46216</v>
      </c>
      <c r="H496" s="61">
        <v>46220</v>
      </c>
      <c r="I496" s="61" t="s">
        <v>434</v>
      </c>
      <c r="J496" s="64"/>
      <c r="K496" s="64"/>
      <c r="L496" s="61"/>
      <c r="M496" s="61"/>
      <c r="N496" s="61"/>
      <c r="O496" s="61"/>
      <c r="P496" s="61"/>
      <c r="Q496" s="73"/>
      <c r="R496" s="73"/>
      <c r="S496" s="73"/>
      <c r="T496" s="59">
        <f>VLOOKUP(Table2[[#This Row],[Course Title]],'TSD-Data'!$A$1:$E$83,4,FALSE)</f>
        <v>0</v>
      </c>
      <c r="U496" s="59">
        <f>VLOOKUP(Table2[[#This Row],[Course Title]],'TSD-Data'!$A$1:$F$83,6,FALSE)</f>
        <v>0</v>
      </c>
      <c r="V496" s="63">
        <f>VLOOKUP(Table2[[#This Row],[Course Title]],'TSD-Data'!$A$1:$F$83,5,FALSE)</f>
        <v>0</v>
      </c>
      <c r="W496" s="63">
        <v>0</v>
      </c>
      <c r="X496" s="200">
        <f>Table2[[#This Row],[Quotas]]-Table2[[#This Row],[Open Quotas]]</f>
        <v>0</v>
      </c>
      <c r="Y496" s="59">
        <v>0</v>
      </c>
      <c r="Z496" s="63">
        <v>0</v>
      </c>
      <c r="AA496" s="63">
        <v>0</v>
      </c>
      <c r="AB496" s="59">
        <v>0</v>
      </c>
      <c r="AC496" s="59">
        <v>0</v>
      </c>
      <c r="AD496" s="59">
        <v>0</v>
      </c>
      <c r="AE496" s="541" t="s">
        <v>436</v>
      </c>
      <c r="AF496" s="63">
        <f ca="1">Table2[[#This Row],[End Date]]+2-TODAY()</f>
        <v>-22</v>
      </c>
      <c r="AG496" s="59">
        <f>IF(ISBLANK(Table2[[#This Row],[Roster Received by]]),1,0)</f>
        <v>0</v>
      </c>
      <c r="AH496" s="59">
        <f ca="1">IF(Table2[[#This Row],[Start Date]]&gt;TODAY(),1,)</f>
        <v>0</v>
      </c>
      <c r="AI496" s="59">
        <f>IF(ISBLANK(Table2[[#This Row],[Primary Instructor]]),0,1)</f>
        <v>0</v>
      </c>
      <c r="AJ496" s="59">
        <f>IF(ISBLANK(Table2[[#This Row],[Instructor 2]]),0,1)</f>
        <v>0</v>
      </c>
      <c r="AK496" s="59">
        <f>AJ850</f>
        <v>0</v>
      </c>
      <c r="AL496" s="113"/>
      <c r="AM496" s="197"/>
      <c r="AN496" s="59" t="str">
        <f>VLOOKUP(Table2[[#This Row],[Course Title]],'TSD-Data'!$A$1:$G$83,7,FALSE)</f>
        <v>TSD</v>
      </c>
      <c r="AO496" s="508">
        <f>Table2[[#This Row],[Quotas]]-Table2[[#This Row],[Graduates]]-Table2[[#This Row],[Fail]]</f>
        <v>0</v>
      </c>
    </row>
    <row r="497" spans="2:41" s="202" customFormat="1" ht="15" customHeight="1" x14ac:dyDescent="0.25">
      <c r="B497" s="530"/>
      <c r="C497" s="530" t="s">
        <v>488</v>
      </c>
      <c r="D497" s="200" t="str">
        <f>VLOOKUP(Table2[[#This Row],[Course Title]],'TSD-Data'!$A$1:$E$83,2,FALSE)</f>
        <v xml:space="preserve">A-493-3019 </v>
      </c>
      <c r="E497" s="200" t="str">
        <f>VLOOKUP(Table2[[#This Row],[Course Title]],'TSD-Data'!$A$1:$E$83,3,FALSE)</f>
        <v>33D9</v>
      </c>
      <c r="F497" s="530" t="s">
        <v>54</v>
      </c>
      <c r="G497" s="531">
        <v>46216</v>
      </c>
      <c r="H497" s="531">
        <v>46216</v>
      </c>
      <c r="I497" s="531" t="s">
        <v>42</v>
      </c>
      <c r="J497" s="532"/>
      <c r="K497" s="558">
        <v>0.79166666666666663</v>
      </c>
      <c r="L497" s="532">
        <v>0.66666666666666663</v>
      </c>
      <c r="M497" s="532">
        <v>8.3333333333333329E-2</v>
      </c>
      <c r="N497" s="532">
        <v>4.1666666666666664E-2</v>
      </c>
      <c r="O497" s="532">
        <v>0.58333333333333337</v>
      </c>
      <c r="P497" s="532">
        <v>0.33333333333333331</v>
      </c>
      <c r="Q497" s="535" t="s">
        <v>445</v>
      </c>
      <c r="R497" s="535" t="s">
        <v>483</v>
      </c>
      <c r="S497" s="535"/>
      <c r="T497" s="200">
        <f>VLOOKUP(Table2[[#This Row],[Course Title]],'TSD-Data'!$A$1:$E$83,4,FALSE)</f>
        <v>1000</v>
      </c>
      <c r="U497" s="200">
        <f>VLOOKUP(Table2[[#This Row],[Course Title]],'TSD-Data'!$A$1:$F$83,6,FALSE)</f>
        <v>2</v>
      </c>
      <c r="V497" s="201">
        <f>VLOOKUP(Table2[[#This Row],[Course Title]],'TSD-Data'!$A$1:$F$83,5,FALSE)</f>
        <v>0.25</v>
      </c>
      <c r="W497" s="201"/>
      <c r="X497" s="200">
        <f>Table2[[#This Row],[Quotas]]-Table2[[#This Row],[Open Quotas]]</f>
        <v>112</v>
      </c>
      <c r="Y497" s="200"/>
      <c r="Z497" s="201">
        <v>1</v>
      </c>
      <c r="AA497" s="201">
        <v>0</v>
      </c>
      <c r="AB497" s="200">
        <v>0</v>
      </c>
      <c r="AC497" s="200">
        <v>0</v>
      </c>
      <c r="AD497" s="200">
        <v>0</v>
      </c>
      <c r="AE497" s="200" t="s">
        <v>428</v>
      </c>
      <c r="AF497" s="201">
        <f ca="1">Table2[[#This Row],[End Date]]+2-TODAY()</f>
        <v>-26</v>
      </c>
      <c r="AG497" s="200">
        <f>IF(ISBLANK(Table2[[#This Row],[Roster Received by]]),1,0)</f>
        <v>0</v>
      </c>
      <c r="AH497" s="200">
        <f ca="1">IF(Table2[[#This Row],[Start Date]]&gt;TODAY(),1,)</f>
        <v>0</v>
      </c>
      <c r="AI497" s="200">
        <f>IF(ISBLANK(Table2[[#This Row],[Primary Instructor]]),0,1)</f>
        <v>1</v>
      </c>
      <c r="AJ497" s="200">
        <f>IF(ISBLANK(Table2[[#This Row],[Instructor 2]]),0,1)</f>
        <v>1</v>
      </c>
      <c r="AK497" s="200">
        <f>AJ842</f>
        <v>0</v>
      </c>
      <c r="AL497" s="318">
        <v>888</v>
      </c>
      <c r="AM497" s="200"/>
      <c r="AN497" s="200" t="str">
        <f>VLOOKUP(Table2[[#This Row],[Course Title]],'TSD-Data'!$A$1:$G$83,7,FALSE)</f>
        <v>N8-RMI</v>
      </c>
      <c r="AO497" s="518">
        <f>Table2[[#This Row],[Quotas]]-Table2[[#This Row],[Graduates]]-Table2[[#This Row],[Fail]]</f>
        <v>999</v>
      </c>
    </row>
    <row r="498" spans="2:41" s="202" customFormat="1" ht="15" customHeight="1" x14ac:dyDescent="0.25">
      <c r="B498" s="83"/>
      <c r="C498" s="83" t="s">
        <v>489</v>
      </c>
      <c r="D498" s="59" t="str">
        <f>VLOOKUP(Table2[[#This Row],[Course Title]],'TSD-Data'!$A$1:$E$83,2,FALSE)</f>
        <v xml:space="preserve">A-493-3020 </v>
      </c>
      <c r="E498" s="59" t="str">
        <f>VLOOKUP(Table2[[#This Row],[Course Title]],'TSD-Data'!$A$1:$E$83,3,FALSE)</f>
        <v>33DA</v>
      </c>
      <c r="F498" s="83" t="s">
        <v>54</v>
      </c>
      <c r="G498" s="61">
        <v>46216</v>
      </c>
      <c r="H498" s="61">
        <v>46216</v>
      </c>
      <c r="I498" s="61" t="s">
        <v>42</v>
      </c>
      <c r="J498" s="64"/>
      <c r="K498" s="566">
        <v>0.95833333333333337</v>
      </c>
      <c r="L498" s="64">
        <v>0.83333333333333337</v>
      </c>
      <c r="M498" s="64">
        <v>0.25</v>
      </c>
      <c r="N498" s="64">
        <v>0.20833333333333334</v>
      </c>
      <c r="O498" s="64">
        <v>0.75</v>
      </c>
      <c r="P498" s="64">
        <v>0.5</v>
      </c>
      <c r="Q498" s="73" t="s">
        <v>445</v>
      </c>
      <c r="R498" s="73" t="s">
        <v>483</v>
      </c>
      <c r="S498" s="73"/>
      <c r="T498" s="59">
        <f>VLOOKUP(Table2[[#This Row],[Course Title]],'TSD-Data'!$A$1:$E$83,4,FALSE)</f>
        <v>1000</v>
      </c>
      <c r="U498" s="59">
        <f>VLOOKUP(Table2[[#This Row],[Course Title]],'TSD-Data'!$A$1:$F$83,6,FALSE)</f>
        <v>2</v>
      </c>
      <c r="V498" s="63">
        <f>VLOOKUP(Table2[[#This Row],[Course Title]],'TSD-Data'!$A$1:$F$83,5,FALSE)</f>
        <v>0.25</v>
      </c>
      <c r="W498" s="63"/>
      <c r="X498" s="200">
        <f>Table2[[#This Row],[Quotas]]-Table2[[#This Row],[Open Quotas]]</f>
        <v>112</v>
      </c>
      <c r="Y498" s="59"/>
      <c r="Z498" s="63"/>
      <c r="AA498" s="63"/>
      <c r="AB498" s="59"/>
      <c r="AC498" s="59"/>
      <c r="AD498" s="59"/>
      <c r="AE498" s="59"/>
      <c r="AF498" s="63">
        <f ca="1">Table2[[#This Row],[End Date]]+2-TODAY()</f>
        <v>-26</v>
      </c>
      <c r="AG498" s="59">
        <f>IF(ISBLANK(Table2[[#This Row],[Roster Received by]]),1,0)</f>
        <v>1</v>
      </c>
      <c r="AH498" s="59">
        <f ca="1">IF(Table2[[#This Row],[Start Date]]&gt;TODAY(),1,)</f>
        <v>0</v>
      </c>
      <c r="AI498" s="59">
        <f>IF(ISBLANK(Table2[[#This Row],[Primary Instructor]]),0,1)</f>
        <v>1</v>
      </c>
      <c r="AJ498" s="59">
        <f>IF(ISBLANK(Table2[[#This Row],[Instructor 2]]),0,1)</f>
        <v>1</v>
      </c>
      <c r="AK498" s="59">
        <f>AJ842</f>
        <v>0</v>
      </c>
      <c r="AL498" s="113">
        <v>888</v>
      </c>
      <c r="AM498" s="59"/>
      <c r="AN498" s="59" t="str">
        <f>VLOOKUP(Table2[[#This Row],[Course Title]],'TSD-Data'!$A$1:$G$83,7,FALSE)</f>
        <v>N8-RMI</v>
      </c>
      <c r="AO498" s="508">
        <f>Table2[[#This Row],[Quotas]]-Table2[[#This Row],[Graduates]]-Table2[[#This Row],[Fail]]</f>
        <v>1000</v>
      </c>
    </row>
    <row r="499" spans="2:41" s="202" customFormat="1" ht="15" customHeight="1" x14ac:dyDescent="0.25">
      <c r="B499" s="530"/>
      <c r="C499" s="530" t="s">
        <v>236</v>
      </c>
      <c r="D499" s="200" t="str">
        <f>VLOOKUP(Table2[[#This Row],[Course Title]],'TSD-Data'!$A$1:$E$83,2,FALSE)</f>
        <v>A-493-2098</v>
      </c>
      <c r="E499" s="200" t="str">
        <f>VLOOKUP(Table2[[#This Row],[Course Title]],'TSD-Data'!$A$1:$E$83,3,FALSE)</f>
        <v>09WW</v>
      </c>
      <c r="F499" s="530" t="s">
        <v>54</v>
      </c>
      <c r="G499" s="531">
        <v>46216</v>
      </c>
      <c r="H499" s="531">
        <v>46218</v>
      </c>
      <c r="I499" s="531" t="s">
        <v>42</v>
      </c>
      <c r="J499" s="532"/>
      <c r="K499" s="532">
        <v>0.5</v>
      </c>
      <c r="L499" s="536">
        <v>0.375</v>
      </c>
      <c r="M499" s="536">
        <v>0.79166666666666663</v>
      </c>
      <c r="N499" s="536">
        <v>0.75</v>
      </c>
      <c r="O499" s="536">
        <v>0.25</v>
      </c>
      <c r="P499" s="536">
        <v>4.1666666666666664E-2</v>
      </c>
      <c r="Q499" s="535" t="s">
        <v>43</v>
      </c>
      <c r="R499" s="535"/>
      <c r="S499" s="535"/>
      <c r="T499" s="200">
        <f>VLOOKUP(Table2[[#This Row],[Course Title]],'TSD-Data'!$A$1:$E$83,4,FALSE)</f>
        <v>100</v>
      </c>
      <c r="U499" s="200">
        <f>VLOOKUP(Table2[[#This Row],[Course Title]],'TSD-Data'!$A$1:$F$83,6,FALSE)</f>
        <v>16</v>
      </c>
      <c r="V499" s="201">
        <f>VLOOKUP(Table2[[#This Row],[Course Title]],'TSD-Data'!$A$1:$F$83,5,FALSE)</f>
        <v>3</v>
      </c>
      <c r="W499" s="201">
        <v>1882</v>
      </c>
      <c r="X499" s="200">
        <f>Table2[[#This Row],[Quotas]]-Table2[[#This Row],[Open Quotas]]</f>
        <v>100</v>
      </c>
      <c r="Y499" s="200"/>
      <c r="Z499" s="201">
        <v>77</v>
      </c>
      <c r="AA499" s="201">
        <v>0</v>
      </c>
      <c r="AB499" s="200">
        <v>25</v>
      </c>
      <c r="AC499" s="200">
        <v>1</v>
      </c>
      <c r="AD499" s="200">
        <v>0</v>
      </c>
      <c r="AE499" s="200" t="s">
        <v>428</v>
      </c>
      <c r="AF499" s="495">
        <f ca="1">Table2[[#This Row],[End Date]]+2-TODAY()</f>
        <v>-24</v>
      </c>
      <c r="AG499" s="496">
        <f>IF(ISBLANK(Table2[[#This Row],[Roster Received by]]),1,0)</f>
        <v>0</v>
      </c>
      <c r="AH499" s="496">
        <f ca="1">IF(Table2[[#This Row],[Start Date]]&gt;TODAY(),1,)</f>
        <v>0</v>
      </c>
      <c r="AI499" s="496">
        <f>IF(ISBLANK(Table2[[#This Row],[Primary Instructor]]),0,1)</f>
        <v>1</v>
      </c>
      <c r="AJ499" s="496">
        <f>IF(ISBLANK(Table2[[#This Row],[Instructor 2]]),0,1)</f>
        <v>0</v>
      </c>
      <c r="AK499" s="496">
        <f>Table2[[#This Row],[Course Length (Hours)]]/(Table2[[#This Row],[1 Instructor]]+Table2[[#This Row],[2 Instructors]])</f>
        <v>16</v>
      </c>
      <c r="AL499" s="318">
        <v>0</v>
      </c>
      <c r="AM499" s="501">
        <v>4</v>
      </c>
      <c r="AN499" s="496" t="str">
        <f>VLOOKUP(Table2[[#This Row],[Course Title]],'TSD-Data'!$A$1:$G$83,7,FALSE)</f>
        <v>N8</v>
      </c>
      <c r="AO499" s="500">
        <f>Table2[[#This Row],[Quotas]]-Table2[[#This Row],[Graduates]]-Table2[[#This Row],[Fail]]</f>
        <v>23</v>
      </c>
    </row>
    <row r="500" spans="2:41" ht="15" customHeight="1" x14ac:dyDescent="0.25">
      <c r="B500" s="530"/>
      <c r="C500" s="530" t="s">
        <v>488</v>
      </c>
      <c r="D500" s="200" t="str">
        <f>VLOOKUP(Table2[[#This Row],[Course Title]],'TSD-Data'!$A$1:$E$83,2,FALSE)</f>
        <v xml:space="preserve">A-493-3019 </v>
      </c>
      <c r="E500" s="200" t="str">
        <f>VLOOKUP(Table2[[#This Row],[Course Title]],'TSD-Data'!$A$1:$E$83,3,FALSE)</f>
        <v>33D9</v>
      </c>
      <c r="F500" s="530" t="s">
        <v>54</v>
      </c>
      <c r="G500" s="531">
        <v>46217</v>
      </c>
      <c r="H500" s="531">
        <v>46217</v>
      </c>
      <c r="I500" s="531" t="s">
        <v>42</v>
      </c>
      <c r="J500" s="532"/>
      <c r="K500" s="558">
        <v>0.45833333333333331</v>
      </c>
      <c r="L500" s="532">
        <v>0.33333333333333331</v>
      </c>
      <c r="M500" s="532">
        <v>0.75</v>
      </c>
      <c r="N500" s="532">
        <v>0.70833333333333337</v>
      </c>
      <c r="O500" s="532">
        <v>0.25</v>
      </c>
      <c r="P500" s="532">
        <v>6.9444444444444447E-4</v>
      </c>
      <c r="Q500" s="535" t="s">
        <v>445</v>
      </c>
      <c r="R500" s="535" t="s">
        <v>483</v>
      </c>
      <c r="S500" s="535"/>
      <c r="T500" s="200">
        <f>VLOOKUP(Table2[[#This Row],[Course Title]],'TSD-Data'!$A$1:$E$83,4,FALSE)</f>
        <v>1000</v>
      </c>
      <c r="U500" s="200">
        <f>VLOOKUP(Table2[[#This Row],[Course Title]],'TSD-Data'!$A$1:$F$83,6,FALSE)</f>
        <v>2</v>
      </c>
      <c r="V500" s="201">
        <f>VLOOKUP(Table2[[#This Row],[Course Title]],'TSD-Data'!$A$1:$F$83,5,FALSE)</f>
        <v>0.25</v>
      </c>
      <c r="W500" s="201"/>
      <c r="X500" s="200">
        <f>Table2[[#This Row],[Quotas]]-Table2[[#This Row],[Open Quotas]]</f>
        <v>112</v>
      </c>
      <c r="Y500" s="200"/>
      <c r="Z500" s="201">
        <v>6</v>
      </c>
      <c r="AA500" s="201">
        <v>0</v>
      </c>
      <c r="AB500" s="200">
        <v>0</v>
      </c>
      <c r="AC500" s="200">
        <v>0</v>
      </c>
      <c r="AD500" s="200">
        <v>0</v>
      </c>
      <c r="AE500" s="200" t="s">
        <v>428</v>
      </c>
      <c r="AF500" s="201">
        <f ca="1">Table2[[#This Row],[End Date]]+2-TODAY()</f>
        <v>-25</v>
      </c>
      <c r="AG500" s="200">
        <f>IF(ISBLANK(Table2[[#This Row],[Roster Received by]]),1,0)</f>
        <v>0</v>
      </c>
      <c r="AH500" s="200">
        <f ca="1">IF(Table2[[#This Row],[Start Date]]&gt;TODAY(),1,)</f>
        <v>0</v>
      </c>
      <c r="AI500" s="200">
        <f>IF(ISBLANK(Table2[[#This Row],[Primary Instructor]]),0,1)</f>
        <v>1</v>
      </c>
      <c r="AJ500" s="200">
        <f>IF(ISBLANK(Table2[[#This Row],[Instructor 2]]),0,1)</f>
        <v>1</v>
      </c>
      <c r="AK500" s="200">
        <f>AJ843</f>
        <v>0</v>
      </c>
      <c r="AL500" s="318">
        <v>888</v>
      </c>
      <c r="AM500" s="200"/>
      <c r="AN500" s="200" t="str">
        <f>VLOOKUP(Table2[[#This Row],[Course Title]],'TSD-Data'!$A$1:$G$83,7,FALSE)</f>
        <v>N8-RMI</v>
      </c>
      <c r="AO500" s="518">
        <f>Table2[[#This Row],[Quotas]]-Table2[[#This Row],[Graduates]]-Table2[[#This Row],[Fail]]</f>
        <v>994</v>
      </c>
    </row>
    <row r="501" spans="2:41" s="202" customFormat="1" ht="15" customHeight="1" x14ac:dyDescent="0.25">
      <c r="B501" s="530"/>
      <c r="C501" s="530" t="s">
        <v>489</v>
      </c>
      <c r="D501" s="200" t="str">
        <f>VLOOKUP(Table2[[#This Row],[Course Title]],'TSD-Data'!$A$1:$E$83,2,FALSE)</f>
        <v xml:space="preserve">A-493-3020 </v>
      </c>
      <c r="E501" s="200" t="str">
        <f>VLOOKUP(Table2[[#This Row],[Course Title]],'TSD-Data'!$A$1:$E$83,3,FALSE)</f>
        <v>33DA</v>
      </c>
      <c r="F501" s="530" t="s">
        <v>54</v>
      </c>
      <c r="G501" s="531">
        <v>46217</v>
      </c>
      <c r="H501" s="531">
        <v>46217</v>
      </c>
      <c r="I501" s="61" t="s">
        <v>42</v>
      </c>
      <c r="J501" s="64"/>
      <c r="K501" s="566">
        <v>0.625</v>
      </c>
      <c r="L501" s="64">
        <v>0.5</v>
      </c>
      <c r="M501" s="64">
        <v>0.91666666666666663</v>
      </c>
      <c r="N501" s="64">
        <v>0.875</v>
      </c>
      <c r="O501" s="64">
        <v>0.41666666666666669</v>
      </c>
      <c r="P501" s="64">
        <v>0.16666666666666666</v>
      </c>
      <c r="Q501" s="73" t="s">
        <v>445</v>
      </c>
      <c r="R501" s="73" t="s">
        <v>483</v>
      </c>
      <c r="S501" s="73"/>
      <c r="T501" s="59">
        <f>VLOOKUP(Table2[[#This Row],[Course Title]],'TSD-Data'!$A$1:$E$83,4,FALSE)</f>
        <v>1000</v>
      </c>
      <c r="U501" s="59">
        <f>VLOOKUP(Table2[[#This Row],[Course Title]],'TSD-Data'!$A$1:$F$83,6,FALSE)</f>
        <v>2</v>
      </c>
      <c r="V501" s="63">
        <f>VLOOKUP(Table2[[#This Row],[Course Title]],'TSD-Data'!$A$1:$F$83,5,FALSE)</f>
        <v>0.25</v>
      </c>
      <c r="W501" s="63"/>
      <c r="X501" s="200">
        <f>Table2[[#This Row],[Quotas]]-Table2[[#This Row],[Open Quotas]]</f>
        <v>112</v>
      </c>
      <c r="Y501" s="200"/>
      <c r="Z501" s="201">
        <v>4</v>
      </c>
      <c r="AA501" s="201">
        <v>0</v>
      </c>
      <c r="AB501" s="200">
        <v>0</v>
      </c>
      <c r="AC501" s="200">
        <v>0</v>
      </c>
      <c r="AD501" s="200">
        <v>0</v>
      </c>
      <c r="AE501" s="200" t="s">
        <v>428</v>
      </c>
      <c r="AF501" s="201">
        <f ca="1">Table2[[#This Row],[End Date]]+2-TODAY()</f>
        <v>-25</v>
      </c>
      <c r="AG501" s="200">
        <f>IF(ISBLANK(Table2[[#This Row],[Roster Received by]]),1,0)</f>
        <v>0</v>
      </c>
      <c r="AH501" s="200">
        <f ca="1">IF(Table2[[#This Row],[Start Date]]&gt;TODAY(),1,)</f>
        <v>0</v>
      </c>
      <c r="AI501" s="200">
        <f>IF(ISBLANK(Table2[[#This Row],[Primary Instructor]]),0,1)</f>
        <v>1</v>
      </c>
      <c r="AJ501" s="200">
        <f>IF(ISBLANK(Table2[[#This Row],[Instructor 2]]),0,1)</f>
        <v>1</v>
      </c>
      <c r="AK501" s="200">
        <f>AJ843</f>
        <v>0</v>
      </c>
      <c r="AL501" s="318">
        <v>888</v>
      </c>
      <c r="AM501" s="200"/>
      <c r="AN501" s="200" t="str">
        <f>VLOOKUP(Table2[[#This Row],[Course Title]],'TSD-Data'!$A$1:$G$83,7,FALSE)</f>
        <v>N8-RMI</v>
      </c>
      <c r="AO501" s="518">
        <f>Table2[[#This Row],[Quotas]]-Table2[[#This Row],[Graduates]]-Table2[[#This Row],[Fail]]</f>
        <v>996</v>
      </c>
    </row>
    <row r="502" spans="2:41" ht="15" customHeight="1" x14ac:dyDescent="0.25">
      <c r="B502" s="83"/>
      <c r="C502" s="83" t="s">
        <v>488</v>
      </c>
      <c r="D502" s="59" t="str">
        <f>VLOOKUP(Table2[[#This Row],[Course Title]],'TSD-Data'!$A$1:$E$83,2,FALSE)</f>
        <v xml:space="preserve">A-493-3019 </v>
      </c>
      <c r="E502" s="59" t="str">
        <f>VLOOKUP(Table2[[#This Row],[Course Title]],'TSD-Data'!$A$1:$E$83,3,FALSE)</f>
        <v>33D9</v>
      </c>
      <c r="F502" s="83" t="s">
        <v>54</v>
      </c>
      <c r="G502" s="61">
        <v>46219</v>
      </c>
      <c r="H502" s="61">
        <v>46219</v>
      </c>
      <c r="I502" s="61" t="s">
        <v>42</v>
      </c>
      <c r="J502" s="64"/>
      <c r="K502" s="566">
        <v>0.58333333333333337</v>
      </c>
      <c r="L502" s="64">
        <v>0.45833333333333331</v>
      </c>
      <c r="M502" s="64">
        <v>0.875</v>
      </c>
      <c r="N502" s="64">
        <v>0.83333333333333337</v>
      </c>
      <c r="O502" s="64">
        <v>0.375</v>
      </c>
      <c r="P502" s="64">
        <v>0.125</v>
      </c>
      <c r="Q502" s="73" t="s">
        <v>445</v>
      </c>
      <c r="R502" s="73" t="s">
        <v>483</v>
      </c>
      <c r="S502" s="73"/>
      <c r="T502" s="59">
        <f>VLOOKUP(Table2[[#This Row],[Course Title]],'TSD-Data'!$A$1:$E$83,4,FALSE)</f>
        <v>1000</v>
      </c>
      <c r="U502" s="59">
        <f>VLOOKUP(Table2[[#This Row],[Course Title]],'TSD-Data'!$A$1:$F$83,6,FALSE)</f>
        <v>2</v>
      </c>
      <c r="V502" s="63">
        <f>VLOOKUP(Table2[[#This Row],[Course Title]],'TSD-Data'!$A$1:$F$83,5,FALSE)</f>
        <v>0.25</v>
      </c>
      <c r="W502" s="63"/>
      <c r="X502" s="200">
        <f>Table2[[#This Row],[Quotas]]-Table2[[#This Row],[Open Quotas]]</f>
        <v>112</v>
      </c>
      <c r="Y502" s="59"/>
      <c r="Z502" s="63"/>
      <c r="AA502" s="63"/>
      <c r="AB502" s="59"/>
      <c r="AC502" s="59"/>
      <c r="AD502" s="59"/>
      <c r="AE502" s="59"/>
      <c r="AF502" s="63">
        <f ca="1">Table2[[#This Row],[End Date]]+2-TODAY()</f>
        <v>-23</v>
      </c>
      <c r="AG502" s="59">
        <f>IF(ISBLANK(Table2[[#This Row],[Roster Received by]]),1,0)</f>
        <v>1</v>
      </c>
      <c r="AH502" s="59">
        <f ca="1">IF(Table2[[#This Row],[Start Date]]&gt;TODAY(),1,)</f>
        <v>0</v>
      </c>
      <c r="AI502" s="59">
        <f>IF(ISBLANK(Table2[[#This Row],[Primary Instructor]]),0,1)</f>
        <v>1</v>
      </c>
      <c r="AJ502" s="59">
        <f>IF(ISBLANK(Table2[[#This Row],[Instructor 2]]),0,1)</f>
        <v>1</v>
      </c>
      <c r="AK502" s="59">
        <f>AJ843</f>
        <v>0</v>
      </c>
      <c r="AL502" s="113">
        <v>888</v>
      </c>
      <c r="AM502" s="59"/>
      <c r="AN502" s="59" t="str">
        <f>VLOOKUP(Table2[[#This Row],[Course Title]],'TSD-Data'!$A$1:$G$83,7,FALSE)</f>
        <v>N8-RMI</v>
      </c>
      <c r="AO502" s="508">
        <f>Table2[[#This Row],[Quotas]]-Table2[[#This Row],[Graduates]]-Table2[[#This Row],[Fail]]</f>
        <v>1000</v>
      </c>
    </row>
    <row r="503" spans="2:41" ht="15" customHeight="1" x14ac:dyDescent="0.25">
      <c r="B503" s="530"/>
      <c r="C503" s="530" t="s">
        <v>489</v>
      </c>
      <c r="D503" s="200" t="str">
        <f>VLOOKUP(Table2[[#This Row],[Course Title]],'TSD-Data'!$A$1:$E$83,2,FALSE)</f>
        <v xml:space="preserve">A-493-3020 </v>
      </c>
      <c r="E503" s="200" t="str">
        <f>VLOOKUP(Table2[[#This Row],[Course Title]],'TSD-Data'!$A$1:$E$83,3,FALSE)</f>
        <v>33DA</v>
      </c>
      <c r="F503" s="530" t="s">
        <v>54</v>
      </c>
      <c r="G503" s="531">
        <v>46219</v>
      </c>
      <c r="H503" s="531">
        <v>46219</v>
      </c>
      <c r="I503" s="531" t="s">
        <v>42</v>
      </c>
      <c r="J503" s="532"/>
      <c r="K503" s="558">
        <v>0.75</v>
      </c>
      <c r="L503" s="532">
        <v>0.625</v>
      </c>
      <c r="M503" s="532">
        <v>4.1666666666666664E-2</v>
      </c>
      <c r="N503" s="532">
        <v>6.9444444444444447E-4</v>
      </c>
      <c r="O503" s="532">
        <v>0.54166666666666663</v>
      </c>
      <c r="P503" s="532">
        <v>0.29166666666666669</v>
      </c>
      <c r="Q503" s="535" t="s">
        <v>445</v>
      </c>
      <c r="R503" s="535" t="s">
        <v>483</v>
      </c>
      <c r="S503" s="535"/>
      <c r="T503" s="200">
        <f>VLOOKUP(Table2[[#This Row],[Course Title]],'TSD-Data'!$A$1:$E$83,4,FALSE)</f>
        <v>1000</v>
      </c>
      <c r="U503" s="200">
        <f>VLOOKUP(Table2[[#This Row],[Course Title]],'TSD-Data'!$A$1:$F$83,6,FALSE)</f>
        <v>2</v>
      </c>
      <c r="V503" s="201">
        <f>VLOOKUP(Table2[[#This Row],[Course Title]],'TSD-Data'!$A$1:$F$83,5,FALSE)</f>
        <v>0.25</v>
      </c>
      <c r="W503" s="201"/>
      <c r="X503" s="200">
        <f>Table2[[#This Row],[Quotas]]-Table2[[#This Row],[Open Quotas]]</f>
        <v>112</v>
      </c>
      <c r="Y503" s="200"/>
      <c r="Z503" s="201">
        <v>1</v>
      </c>
      <c r="AA503" s="201">
        <v>0</v>
      </c>
      <c r="AB503" s="200">
        <v>0</v>
      </c>
      <c r="AC503" s="200">
        <v>0</v>
      </c>
      <c r="AD503" s="200">
        <v>0</v>
      </c>
      <c r="AE503" s="200" t="s">
        <v>428</v>
      </c>
      <c r="AF503" s="201">
        <f ca="1">Table2[[#This Row],[End Date]]+2-TODAY()</f>
        <v>-23</v>
      </c>
      <c r="AG503" s="200">
        <f>IF(ISBLANK(Table2[[#This Row],[Roster Received by]]),1,0)</f>
        <v>0</v>
      </c>
      <c r="AH503" s="200">
        <f ca="1">IF(Table2[[#This Row],[Start Date]]&gt;TODAY(),1,)</f>
        <v>0</v>
      </c>
      <c r="AI503" s="200">
        <f>IF(ISBLANK(Table2[[#This Row],[Primary Instructor]]),0,1)</f>
        <v>1</v>
      </c>
      <c r="AJ503" s="200">
        <f>IF(ISBLANK(Table2[[#This Row],[Instructor 2]]),0,1)</f>
        <v>1</v>
      </c>
      <c r="AK503" s="200">
        <f>AJ843</f>
        <v>0</v>
      </c>
      <c r="AL503" s="318">
        <v>888</v>
      </c>
      <c r="AM503" s="200"/>
      <c r="AN503" s="200" t="str">
        <f>VLOOKUP(Table2[[#This Row],[Course Title]],'TSD-Data'!$A$1:$G$83,7,FALSE)</f>
        <v>N8-RMI</v>
      </c>
      <c r="AO503" s="518">
        <f>Table2[[#This Row],[Quotas]]-Table2[[#This Row],[Graduates]]-Table2[[#This Row],[Fail]]</f>
        <v>999</v>
      </c>
    </row>
    <row r="504" spans="2:41" s="202" customFormat="1" ht="15" customHeight="1" x14ac:dyDescent="0.25">
      <c r="B504" s="530"/>
      <c r="C504" s="530" t="s">
        <v>276</v>
      </c>
      <c r="D504" s="200" t="str">
        <f>VLOOKUP(Table2[[#This Row],[Course Title]],'TSD-Data'!$A$1:$E$83,2,FALSE)</f>
        <v>A-493-0103</v>
      </c>
      <c r="E504" s="200" t="str">
        <f>VLOOKUP(Table2[[#This Row],[Course Title]],'TSD-Data'!$A$1:$E$83,3,FALSE)</f>
        <v>12JY</v>
      </c>
      <c r="F504" s="530" t="s">
        <v>96</v>
      </c>
      <c r="G504" s="531">
        <v>46223</v>
      </c>
      <c r="H504" s="531">
        <v>46227</v>
      </c>
      <c r="I504" s="531" t="s">
        <v>42</v>
      </c>
      <c r="J504" s="532">
        <v>0.33333333333333331</v>
      </c>
      <c r="K504" s="532"/>
      <c r="L504" s="531"/>
      <c r="M504" s="531"/>
      <c r="N504" s="531"/>
      <c r="O504" s="531"/>
      <c r="P504" s="531"/>
      <c r="Q504" s="535" t="s">
        <v>280</v>
      </c>
      <c r="R504" s="535"/>
      <c r="S504" s="535"/>
      <c r="T504" s="200">
        <f>VLOOKUP(Table2[[#This Row],[Course Title]],'TSD-Data'!$A$1:$E$83,4,FALSE)</f>
        <v>25</v>
      </c>
      <c r="U504" s="200">
        <f>VLOOKUP(Table2[[#This Row],[Course Title]],'TSD-Data'!$A$1:$F$83,6,FALSE)</f>
        <v>40</v>
      </c>
      <c r="V504" s="201">
        <f>VLOOKUP(Table2[[#This Row],[Course Title]],'TSD-Data'!$A$1:$F$83,5,FALSE)</f>
        <v>5</v>
      </c>
      <c r="W504" s="201">
        <v>67</v>
      </c>
      <c r="X504" s="200">
        <f>Table2[[#This Row],[Quotas]]-Table2[[#This Row],[Open Quotas]]</f>
        <v>15</v>
      </c>
      <c r="Y504" s="200">
        <v>0</v>
      </c>
      <c r="Z504" s="201">
        <v>16</v>
      </c>
      <c r="AA504" s="201">
        <v>0</v>
      </c>
      <c r="AB504" s="200">
        <v>3</v>
      </c>
      <c r="AC504" s="200">
        <v>2</v>
      </c>
      <c r="AD504" s="200">
        <v>0</v>
      </c>
      <c r="AE504" s="200" t="s">
        <v>431</v>
      </c>
      <c r="AF504" s="495">
        <f ca="1">Table2[[#This Row],[End Date]]+2-TODAY()</f>
        <v>-15</v>
      </c>
      <c r="AG504" s="496">
        <f>IF(ISBLANK(Table2[[#This Row],[Roster Received by]]),1,0)</f>
        <v>0</v>
      </c>
      <c r="AH504" s="496">
        <f ca="1">IF(Table2[[#This Row],[Start Date]]&gt;TODAY(),1,)</f>
        <v>0</v>
      </c>
      <c r="AI504" s="496">
        <f>IF(ISBLANK(Table2[[#This Row],[Primary Instructor]]),0,1)</f>
        <v>1</v>
      </c>
      <c r="AJ504" s="496">
        <f>IF(ISBLANK(Table2[[#This Row],[Instructor 2]]),0,1)</f>
        <v>0</v>
      </c>
      <c r="AK504" s="496">
        <f>Table2[[#This Row],[Course Length (Hours)]]/(Table2[[#This Row],[1 Instructor]]+Table2[[#This Row],[2 Instructors]])</f>
        <v>40</v>
      </c>
      <c r="AL504" s="318">
        <v>10</v>
      </c>
      <c r="AM504" s="501">
        <v>4</v>
      </c>
      <c r="AN504" s="496" t="str">
        <f>VLOOKUP(Table2[[#This Row],[Course Title]],'TSD-Data'!$A$1:$G$83,7,FALSE)</f>
        <v>N5</v>
      </c>
      <c r="AO504" s="500">
        <f>Table2[[#This Row],[Quotas]]-Table2[[#This Row],[Graduates]]-Table2[[#This Row],[Fail]]</f>
        <v>9</v>
      </c>
    </row>
    <row r="505" spans="2:41" x14ac:dyDescent="0.25">
      <c r="B505" s="530"/>
      <c r="C505" s="530" t="s">
        <v>276</v>
      </c>
      <c r="D505" s="200" t="str">
        <f>VLOOKUP(Table2[[#This Row],[Course Title]],'TSD-Data'!$A$1:$E$83,2,FALSE)</f>
        <v>A-493-0103</v>
      </c>
      <c r="E505" s="200" t="str">
        <f>VLOOKUP(Table2[[#This Row],[Course Title]],'TSD-Data'!$A$1:$E$83,3,FALSE)</f>
        <v>12JY</v>
      </c>
      <c r="F505" s="530" t="s">
        <v>117</v>
      </c>
      <c r="G505" s="531">
        <v>46223</v>
      </c>
      <c r="H505" s="531">
        <v>46227</v>
      </c>
      <c r="I505" s="531" t="s">
        <v>42</v>
      </c>
      <c r="J505" s="532">
        <v>0.33333333333333331</v>
      </c>
      <c r="K505" s="532"/>
      <c r="L505" s="531"/>
      <c r="M505" s="531"/>
      <c r="N505" s="531"/>
      <c r="O505" s="531"/>
      <c r="P505" s="531"/>
      <c r="Q505" s="535" t="s">
        <v>280</v>
      </c>
      <c r="R505" s="535"/>
      <c r="S505" s="535"/>
      <c r="T505" s="200">
        <f>VLOOKUP(Table2[[#This Row],[Course Title]],'TSD-Data'!$A$1:$E$83,4,FALSE)</f>
        <v>25</v>
      </c>
      <c r="U505" s="200">
        <f>VLOOKUP(Table2[[#This Row],[Course Title]],'TSD-Data'!$A$1:$F$83,6,FALSE)</f>
        <v>40</v>
      </c>
      <c r="V505" s="201">
        <f>VLOOKUP(Table2[[#This Row],[Course Title]],'TSD-Data'!$A$1:$F$83,5,FALSE)</f>
        <v>5</v>
      </c>
      <c r="W505" s="201">
        <v>55</v>
      </c>
      <c r="X505" s="200">
        <f>Table2[[#This Row],[Quotas]]-Table2[[#This Row],[Open Quotas]]</f>
        <v>3</v>
      </c>
      <c r="Y505" s="200">
        <v>0</v>
      </c>
      <c r="Z505" s="201">
        <v>9</v>
      </c>
      <c r="AA505" s="201">
        <v>0</v>
      </c>
      <c r="AB505" s="200">
        <v>0</v>
      </c>
      <c r="AC505" s="200">
        <v>6</v>
      </c>
      <c r="AD505" s="200">
        <v>0</v>
      </c>
      <c r="AE505" s="200" t="s">
        <v>431</v>
      </c>
      <c r="AF505" s="495">
        <f ca="1">Table2[[#This Row],[End Date]]+2-TODAY()</f>
        <v>-15</v>
      </c>
      <c r="AG505" s="496">
        <f>IF(ISBLANK(Table2[[#This Row],[Roster Received by]]),1,0)</f>
        <v>0</v>
      </c>
      <c r="AH505" s="496">
        <f ca="1">IF(Table2[[#This Row],[Start Date]]&gt;TODAY(),1,)</f>
        <v>0</v>
      </c>
      <c r="AI505" s="496">
        <f>IF(ISBLANK(Table2[[#This Row],[Primary Instructor]]),0,1)</f>
        <v>1</v>
      </c>
      <c r="AJ505" s="496">
        <f>IF(ISBLANK(Table2[[#This Row],[Instructor 2]]),0,1)</f>
        <v>0</v>
      </c>
      <c r="AK505" s="496">
        <f>Table2[[#This Row],[Course Length (Hours)]]/(Table2[[#This Row],[1 Instructor]]+Table2[[#This Row],[2 Instructors]])</f>
        <v>40</v>
      </c>
      <c r="AL505" s="318">
        <v>22</v>
      </c>
      <c r="AM505" s="501">
        <v>4</v>
      </c>
      <c r="AN505" s="496" t="str">
        <f>VLOOKUP(Table2[[#This Row],[Course Title]],'TSD-Data'!$A$1:$G$83,7,FALSE)</f>
        <v>N5</v>
      </c>
      <c r="AO505" s="500">
        <f>Table2[[#This Row],[Quotas]]-Table2[[#This Row],[Graduates]]-Table2[[#This Row],[Fail]]</f>
        <v>16</v>
      </c>
    </row>
    <row r="506" spans="2:41" s="202" customFormat="1" ht="15" customHeight="1" x14ac:dyDescent="0.25">
      <c r="B506" s="530"/>
      <c r="C506" s="530" t="s">
        <v>157</v>
      </c>
      <c r="D506" s="200" t="str">
        <f>VLOOKUP(Table2[[#This Row],[Course Title]],'TSD-Data'!$A$1:$E$83,2,FALSE)</f>
        <v>A-493-0021</v>
      </c>
      <c r="E506" s="200" t="str">
        <f>VLOOKUP(Table2[[#This Row],[Course Title]],'TSD-Data'!$A$1:$E$83,3,FALSE)</f>
        <v>18BN</v>
      </c>
      <c r="F506" s="530" t="s">
        <v>101</v>
      </c>
      <c r="G506" s="531">
        <v>46223</v>
      </c>
      <c r="H506" s="531">
        <v>46227</v>
      </c>
      <c r="I506" s="531" t="s">
        <v>42</v>
      </c>
      <c r="J506" s="532">
        <v>0.33333333333333331</v>
      </c>
      <c r="K506" s="532"/>
      <c r="L506" s="531"/>
      <c r="M506" s="531"/>
      <c r="N506" s="531"/>
      <c r="O506" s="531"/>
      <c r="P506" s="531"/>
      <c r="Q506" s="535" t="s">
        <v>280</v>
      </c>
      <c r="R506" s="535"/>
      <c r="S506" s="535"/>
      <c r="T506" s="200">
        <f>VLOOKUP(Table2[[#This Row],[Course Title]],'TSD-Data'!$A$1:$E$83,4,FALSE)</f>
        <v>35</v>
      </c>
      <c r="U506" s="200">
        <f>VLOOKUP(Table2[[#This Row],[Course Title]],'TSD-Data'!$A$1:$F$83,6,FALSE)</f>
        <v>30</v>
      </c>
      <c r="V506" s="201">
        <f>VLOOKUP(Table2[[#This Row],[Course Title]],'TSD-Data'!$A$1:$F$83,5,FALSE)</f>
        <v>5</v>
      </c>
      <c r="W506" s="201">
        <v>11</v>
      </c>
      <c r="X506" s="200">
        <f>Table2[[#This Row],[Quotas]]-Table2[[#This Row],[Open Quotas]]</f>
        <v>16</v>
      </c>
      <c r="Y506" s="200"/>
      <c r="Z506" s="201">
        <v>14</v>
      </c>
      <c r="AA506" s="201">
        <v>1</v>
      </c>
      <c r="AB506" s="200">
        <v>3</v>
      </c>
      <c r="AC506" s="200">
        <v>2</v>
      </c>
      <c r="AD506" s="200">
        <v>0</v>
      </c>
      <c r="AE506" s="200" t="s">
        <v>431</v>
      </c>
      <c r="AF506" s="495">
        <f ca="1">Table2[[#This Row],[End Date]]+2-TODAY()</f>
        <v>-15</v>
      </c>
      <c r="AG506" s="496">
        <f>IF(ISBLANK(Table2[[#This Row],[Roster Received by]]),1,0)</f>
        <v>0</v>
      </c>
      <c r="AH506" s="496">
        <f ca="1">IF(Table2[[#This Row],[Start Date]]&gt;TODAY(),1,)</f>
        <v>0</v>
      </c>
      <c r="AI506" s="496">
        <f>IF(ISBLANK(Table2[[#This Row],[Primary Instructor]]),0,1)</f>
        <v>1</v>
      </c>
      <c r="AJ506" s="496">
        <f>IF(ISBLANK(Table2[[#This Row],[Instructor 2]]),0,1)</f>
        <v>0</v>
      </c>
      <c r="AK506" s="496">
        <f>Table2[[#This Row],[Course Length (Hours)]]/(Table2[[#This Row],[1 Instructor]]+Table2[[#This Row],[2 Instructors]])</f>
        <v>30</v>
      </c>
      <c r="AL506" s="318">
        <v>19</v>
      </c>
      <c r="AM506" s="501">
        <v>4</v>
      </c>
      <c r="AN506" s="496" t="str">
        <f>VLOOKUP(Table2[[#This Row],[Course Title]],'TSD-Data'!$A$1:$G$83,7,FALSE)</f>
        <v>N5</v>
      </c>
      <c r="AO506" s="500">
        <f>Table2[[#This Row],[Quotas]]-Table2[[#This Row],[Graduates]]-Table2[[#This Row],[Fail]]</f>
        <v>20</v>
      </c>
    </row>
    <row r="507" spans="2:41" s="202" customFormat="1" ht="15" customHeight="1" x14ac:dyDescent="0.25">
      <c r="B507" s="83"/>
      <c r="C507" s="83" t="s">
        <v>396</v>
      </c>
      <c r="D507" s="59" t="str">
        <f>VLOOKUP(Table2[[#This Row],[Course Title]],'TSD-Data'!$A$1:$E$83,2,FALSE)</f>
        <v>A-493-3018</v>
      </c>
      <c r="E507" s="59" t="str">
        <f>VLOOKUP(Table2[[#This Row],[Course Title]],'TSD-Data'!$A$1:$E$83,3,FALSE)</f>
        <v>31YM</v>
      </c>
      <c r="F507" s="83" t="s">
        <v>54</v>
      </c>
      <c r="G507" s="61">
        <v>46224</v>
      </c>
      <c r="H507" s="61">
        <v>46224</v>
      </c>
      <c r="I507" s="61" t="s">
        <v>42</v>
      </c>
      <c r="J507" s="64"/>
      <c r="K507" s="566">
        <v>0.5625</v>
      </c>
      <c r="L507" s="64">
        <v>0.4375</v>
      </c>
      <c r="M507" s="64">
        <v>0.85416666666666663</v>
      </c>
      <c r="N507" s="64">
        <v>0.8125</v>
      </c>
      <c r="O507" s="64">
        <v>0.35416666666666669</v>
      </c>
      <c r="P507" s="64">
        <v>0.10416666666666667</v>
      </c>
      <c r="Q507" s="73" t="s">
        <v>445</v>
      </c>
      <c r="R507" s="73" t="s">
        <v>483</v>
      </c>
      <c r="S507" s="73"/>
      <c r="T507" s="59">
        <f>VLOOKUP(Table2[[#This Row],[Course Title]],'TSD-Data'!$A$1:$E$83,4,FALSE)</f>
        <v>1000</v>
      </c>
      <c r="U507" s="59">
        <f>VLOOKUP(Table2[[#This Row],[Course Title]],'TSD-Data'!$A$1:$F$83,6,FALSE)</f>
        <v>2</v>
      </c>
      <c r="V507" s="63">
        <f>VLOOKUP(Table2[[#This Row],[Course Title]],'TSD-Data'!$A$1:$F$83,5,FALSE)</f>
        <v>0.25</v>
      </c>
      <c r="W507" s="63"/>
      <c r="X507" s="200">
        <f>Table2[[#This Row],[Quotas]]-Table2[[#This Row],[Open Quotas]]</f>
        <v>112</v>
      </c>
      <c r="Y507" s="59"/>
      <c r="Z507" s="63"/>
      <c r="AA507" s="63"/>
      <c r="AB507" s="59"/>
      <c r="AC507" s="59"/>
      <c r="AD507" s="59"/>
      <c r="AE507" s="59"/>
      <c r="AF507" s="63">
        <f ca="1">Table2[[#This Row],[End Date]]+2-TODAY()</f>
        <v>-18</v>
      </c>
      <c r="AG507" s="59">
        <f>IF(ISBLANK(Table2[[#This Row],[Roster Received by]]),1,0)</f>
        <v>1</v>
      </c>
      <c r="AH507" s="59">
        <f ca="1">IF(Table2[[#This Row],[Start Date]]&gt;TODAY(),1,)</f>
        <v>0</v>
      </c>
      <c r="AI507" s="59">
        <f>IF(ISBLANK(Table2[[#This Row],[Primary Instructor]]),0,1)</f>
        <v>1</v>
      </c>
      <c r="AJ507" s="59">
        <f>IF(ISBLANK(Table2[[#This Row],[Instructor 2]]),0,1)</f>
        <v>1</v>
      </c>
      <c r="AK507" s="59">
        <f>AJ844</f>
        <v>0</v>
      </c>
      <c r="AL507" s="113">
        <v>888</v>
      </c>
      <c r="AM507" s="59"/>
      <c r="AN507" s="59" t="str">
        <f>VLOOKUP(Table2[[#This Row],[Course Title]],'TSD-Data'!$A$1:$G$83,7,FALSE)</f>
        <v>N8-RMI</v>
      </c>
      <c r="AO507" s="508">
        <f>Table2[[#This Row],[Quotas]]-Table2[[#This Row],[Graduates]]-Table2[[#This Row],[Fail]]</f>
        <v>1000</v>
      </c>
    </row>
    <row r="508" spans="2:41" s="202" customFormat="1" ht="15" customHeight="1" x14ac:dyDescent="0.25">
      <c r="B508" s="530"/>
      <c r="C508" s="530" t="s">
        <v>397</v>
      </c>
      <c r="D508" s="200" t="str">
        <f>VLOOKUP(Table2[[#This Row],[Course Title]],'TSD-Data'!$A$1:$E$83,2,FALSE)</f>
        <v>A-493-3005</v>
      </c>
      <c r="E508" s="200" t="str">
        <f>VLOOKUP(Table2[[#This Row],[Course Title]],'TSD-Data'!$A$1:$E$83,3,FALSE)</f>
        <v>31V7</v>
      </c>
      <c r="F508" s="530" t="s">
        <v>54</v>
      </c>
      <c r="G508" s="548">
        <v>46224</v>
      </c>
      <c r="H508" s="548">
        <v>46224</v>
      </c>
      <c r="I508" s="61" t="s">
        <v>42</v>
      </c>
      <c r="J508" s="64"/>
      <c r="K508" s="566">
        <v>0.4375</v>
      </c>
      <c r="L508" s="64">
        <v>0.3125</v>
      </c>
      <c r="M508" s="64">
        <v>0.72916666666666663</v>
      </c>
      <c r="N508" s="64">
        <v>0.6875</v>
      </c>
      <c r="O508" s="64">
        <v>0.22916666666666666</v>
      </c>
      <c r="P508" s="64">
        <v>0.97916666666666663</v>
      </c>
      <c r="Q508" s="73" t="s">
        <v>445</v>
      </c>
      <c r="R508" s="73" t="s">
        <v>483</v>
      </c>
      <c r="S508" s="73"/>
      <c r="T508" s="59">
        <f>VLOOKUP(Table2[[#This Row],[Course Title]],'TSD-Data'!$A$1:$E$83,4,FALSE)</f>
        <v>1000</v>
      </c>
      <c r="U508" s="59">
        <f>VLOOKUP(Table2[[#This Row],[Course Title]],'TSD-Data'!$A$1:$F$83,6,FALSE)</f>
        <v>2</v>
      </c>
      <c r="V508" s="63">
        <f>VLOOKUP(Table2[[#This Row],[Course Title]],'TSD-Data'!$A$1:$F$83,5,FALSE)</f>
        <v>0.25</v>
      </c>
      <c r="W508" s="63"/>
      <c r="X508" s="200">
        <f>Table2[[#This Row],[Quotas]]-Table2[[#This Row],[Open Quotas]]</f>
        <v>112</v>
      </c>
      <c r="Y508" s="200"/>
      <c r="Z508" s="201">
        <v>17</v>
      </c>
      <c r="AA508" s="201">
        <v>0</v>
      </c>
      <c r="AB508" s="200">
        <v>0</v>
      </c>
      <c r="AC508" s="200">
        <v>0</v>
      </c>
      <c r="AD508" s="200">
        <v>0</v>
      </c>
      <c r="AE508" s="200" t="s">
        <v>428</v>
      </c>
      <c r="AF508" s="201">
        <f ca="1">Table2[[#This Row],[End Date]]+2-TODAY()</f>
        <v>-18</v>
      </c>
      <c r="AG508" s="200">
        <f>IF(ISBLANK(Table2[[#This Row],[Roster Received by]]),1,0)</f>
        <v>0</v>
      </c>
      <c r="AH508" s="200">
        <f ca="1">IF(Table2[[#This Row],[Start Date]]&gt;TODAY(),1,)</f>
        <v>0</v>
      </c>
      <c r="AI508" s="200">
        <f>IF(ISBLANK(Table2[[#This Row],[Primary Instructor]]),0,1)</f>
        <v>1</v>
      </c>
      <c r="AJ508" s="200">
        <f>IF(ISBLANK(Table2[[#This Row],[Instructor 2]]),0,1)</f>
        <v>1</v>
      </c>
      <c r="AK508" s="200">
        <f>AJ846</f>
        <v>0</v>
      </c>
      <c r="AL508" s="318">
        <v>888</v>
      </c>
      <c r="AM508" s="200"/>
      <c r="AN508" s="200" t="str">
        <f>VLOOKUP(Table2[[#This Row],[Course Title]],'TSD-Data'!$A$1:$G$83,7,FALSE)</f>
        <v>N8-RMI</v>
      </c>
      <c r="AO508" s="518">
        <f>Table2[[#This Row],[Quotas]]-Table2[[#This Row],[Graduates]]-Table2[[#This Row],[Fail]]</f>
        <v>983</v>
      </c>
    </row>
    <row r="509" spans="2:41" ht="15" customHeight="1" x14ac:dyDescent="0.25">
      <c r="B509" s="530"/>
      <c r="C509" s="530" t="s">
        <v>398</v>
      </c>
      <c r="D509" s="200" t="str">
        <f>VLOOKUP(Table2[[#This Row],[Course Title]],'TSD-Data'!$A$1:$E$83,2,FALSE)</f>
        <v>A-493-3004</v>
      </c>
      <c r="E509" s="200" t="str">
        <f>VLOOKUP(Table2[[#This Row],[Course Title]],'TSD-Data'!$A$1:$E$83,3,FALSE)</f>
        <v>31V6</v>
      </c>
      <c r="F509" s="530" t="s">
        <v>54</v>
      </c>
      <c r="G509" s="531">
        <v>46224</v>
      </c>
      <c r="H509" s="531">
        <v>46224</v>
      </c>
      <c r="I509" s="531" t="s">
        <v>42</v>
      </c>
      <c r="J509" s="532"/>
      <c r="K509" s="558">
        <v>0.33333333333333331</v>
      </c>
      <c r="L509" s="532">
        <v>0.20833333333333334</v>
      </c>
      <c r="M509" s="532">
        <v>0.625</v>
      </c>
      <c r="N509" s="532">
        <v>0.58333333333333337</v>
      </c>
      <c r="O509" s="532">
        <v>0.125</v>
      </c>
      <c r="P509" s="532">
        <v>0.875</v>
      </c>
      <c r="Q509" s="535" t="s">
        <v>445</v>
      </c>
      <c r="R509" s="535" t="s">
        <v>483</v>
      </c>
      <c r="S509" s="535"/>
      <c r="T509" s="200">
        <f>VLOOKUP(Table2[[#This Row],[Course Title]],'TSD-Data'!$A$1:$E$83,4,FALSE)</f>
        <v>1000</v>
      </c>
      <c r="U509" s="200">
        <f>VLOOKUP(Table2[[#This Row],[Course Title]],'TSD-Data'!$A$1:$F$83,6,FALSE)</f>
        <v>2</v>
      </c>
      <c r="V509" s="201">
        <f>VLOOKUP(Table2[[#This Row],[Course Title]],'TSD-Data'!$A$1:$F$83,5,FALSE)</f>
        <v>0.25</v>
      </c>
      <c r="W509" s="201"/>
      <c r="X509" s="200">
        <f>Table2[[#This Row],[Quotas]]-Table2[[#This Row],[Open Quotas]]</f>
        <v>112</v>
      </c>
      <c r="Y509" s="200"/>
      <c r="Z509" s="201">
        <v>14</v>
      </c>
      <c r="AA509" s="201">
        <v>0</v>
      </c>
      <c r="AB509" s="200">
        <v>0</v>
      </c>
      <c r="AC509" s="200">
        <v>0</v>
      </c>
      <c r="AD509" s="200">
        <v>0</v>
      </c>
      <c r="AE509" s="200" t="s">
        <v>428</v>
      </c>
      <c r="AF509" s="201">
        <f ca="1">Table2[[#This Row],[End Date]]+2-TODAY()</f>
        <v>-18</v>
      </c>
      <c r="AG509" s="200">
        <f>IF(ISBLANK(Table2[[#This Row],[Roster Received by]]),1,0)</f>
        <v>0</v>
      </c>
      <c r="AH509" s="200">
        <f ca="1">IF(Table2[[#This Row],[Start Date]]&gt;TODAY(),1,)</f>
        <v>0</v>
      </c>
      <c r="AI509" s="200">
        <f>IF(ISBLANK(Table2[[#This Row],[Primary Instructor]]),0,1)</f>
        <v>1</v>
      </c>
      <c r="AJ509" s="200">
        <f>IF(ISBLANK(Table2[[#This Row],[Instructor 2]]),0,1)</f>
        <v>1</v>
      </c>
      <c r="AK509" s="200">
        <f>AJ848</f>
        <v>0</v>
      </c>
      <c r="AL509" s="318">
        <v>888</v>
      </c>
      <c r="AM509" s="200"/>
      <c r="AN509" s="200" t="str">
        <f>VLOOKUP(Table2[[#This Row],[Course Title]],'TSD-Data'!$A$1:$G$83,7,FALSE)</f>
        <v>N8-RMI</v>
      </c>
      <c r="AO509" s="518">
        <f>Table2[[#This Row],[Quotas]]-Table2[[#This Row],[Graduates]]-Table2[[#This Row],[Fail]]</f>
        <v>986</v>
      </c>
    </row>
    <row r="510" spans="2:41" ht="15" customHeight="1" x14ac:dyDescent="0.25">
      <c r="B510" s="530"/>
      <c r="C510" s="530" t="s">
        <v>275</v>
      </c>
      <c r="D510" s="200" t="str">
        <f>VLOOKUP(Table2[[#This Row],[Course Title]],'TSD-Data'!$A$1:$E$83,2,FALSE)</f>
        <v>A-493-0099</v>
      </c>
      <c r="E510" s="200" t="str">
        <f>VLOOKUP(Table2[[#This Row],[Course Title]],'TSD-Data'!$A$1:$E$83,3,FALSE)</f>
        <v>12JW</v>
      </c>
      <c r="F510" s="530" t="s">
        <v>54</v>
      </c>
      <c r="G510" s="531">
        <v>46225</v>
      </c>
      <c r="H510" s="531">
        <v>46227</v>
      </c>
      <c r="I510" s="531" t="s">
        <v>42</v>
      </c>
      <c r="J510" s="532"/>
      <c r="K510" s="532">
        <v>0.5</v>
      </c>
      <c r="L510" s="536">
        <v>0.375</v>
      </c>
      <c r="M510" s="536">
        <v>0.79166666666666663</v>
      </c>
      <c r="N510" s="536">
        <v>0.75</v>
      </c>
      <c r="O510" s="536">
        <v>0.25</v>
      </c>
      <c r="P510" s="536">
        <v>4.1666666666666664E-2</v>
      </c>
      <c r="Q510" s="535" t="s">
        <v>274</v>
      </c>
      <c r="R510" s="535"/>
      <c r="S510" s="535"/>
      <c r="T510" s="200">
        <f>VLOOKUP(Table2[[#This Row],[Course Title]],'TSD-Data'!$A$1:$E$83,4,FALSE)</f>
        <v>45</v>
      </c>
      <c r="U510" s="200">
        <f>VLOOKUP(Table2[[#This Row],[Course Title]],'TSD-Data'!$A$1:$F$83,6,FALSE)</f>
        <v>24</v>
      </c>
      <c r="V510" s="201">
        <f>VLOOKUP(Table2[[#This Row],[Course Title]],'TSD-Data'!$A$1:$F$83,5,FALSE)</f>
        <v>3</v>
      </c>
      <c r="W510" s="201">
        <v>1041</v>
      </c>
      <c r="X510" s="200">
        <f>Table2[[#This Row],[Quotas]]-Table2[[#This Row],[Open Quotas]]</f>
        <v>35</v>
      </c>
      <c r="Y510" s="200"/>
      <c r="Z510" s="201">
        <v>30</v>
      </c>
      <c r="AA510" s="201">
        <v>0</v>
      </c>
      <c r="AB510" s="200">
        <v>6</v>
      </c>
      <c r="AC510" s="200">
        <v>0</v>
      </c>
      <c r="AD510" s="200">
        <v>0</v>
      </c>
      <c r="AE510" s="200" t="s">
        <v>431</v>
      </c>
      <c r="AF510" s="495">
        <f ca="1">Table2[[#This Row],[End Date]]+2-TODAY()</f>
        <v>-15</v>
      </c>
      <c r="AG510" s="496">
        <f>IF(ISBLANK(Table2[[#This Row],[Roster Received by]]),1,0)</f>
        <v>0</v>
      </c>
      <c r="AH510" s="496">
        <f ca="1">IF(Table2[[#This Row],[Start Date]]&gt;TODAY(),1,)</f>
        <v>0</v>
      </c>
      <c r="AI510" s="496">
        <f>IF(ISBLANK(Table2[[#This Row],[Primary Instructor]]),0,1)</f>
        <v>1</v>
      </c>
      <c r="AJ510" s="496">
        <f>IF(ISBLANK(Table2[[#This Row],[Instructor 2]]),0,1)</f>
        <v>0</v>
      </c>
      <c r="AK510" s="496">
        <f>Table2[[#This Row],[Course Length (Hours)]]/(Table2[[#This Row],[1 Instructor]]+Table2[[#This Row],[2 Instructors]])</f>
        <v>24</v>
      </c>
      <c r="AL510" s="318">
        <v>10</v>
      </c>
      <c r="AM510" s="501">
        <v>4</v>
      </c>
      <c r="AN510" s="496" t="str">
        <f>VLOOKUP(Table2[[#This Row],[Course Title]],'TSD-Data'!$A$1:$G$83,7,FALSE)</f>
        <v>N5</v>
      </c>
      <c r="AO510" s="500">
        <f>Table2[[#This Row],[Quotas]]-Table2[[#This Row],[Graduates]]-Table2[[#This Row],[Fail]]</f>
        <v>15</v>
      </c>
    </row>
    <row r="511" spans="2:41" s="202" customFormat="1" ht="15" customHeight="1" x14ac:dyDescent="0.25">
      <c r="B511" s="530"/>
      <c r="C511" s="530" t="s">
        <v>403</v>
      </c>
      <c r="D511" s="200" t="str">
        <f>VLOOKUP(Table2[[#This Row],[Course Title]],'TSD-Data'!$A$1:$E$83,2,FALSE)</f>
        <v>A-493-3013</v>
      </c>
      <c r="E511" s="200" t="str">
        <f>VLOOKUP(Table2[[#This Row],[Course Title]],'TSD-Data'!$A$1:$E$83,3,FALSE)</f>
        <v>31YG</v>
      </c>
      <c r="F511" s="530" t="s">
        <v>54</v>
      </c>
      <c r="G511" s="531">
        <v>46225</v>
      </c>
      <c r="H511" s="531">
        <v>46225</v>
      </c>
      <c r="I511" s="531" t="s">
        <v>42</v>
      </c>
      <c r="J511" s="532"/>
      <c r="K511" s="558">
        <v>0.33333333333333331</v>
      </c>
      <c r="L511" s="532">
        <v>0.20833333333333334</v>
      </c>
      <c r="M511" s="532">
        <v>0.625</v>
      </c>
      <c r="N511" s="532">
        <v>0.58333333333333337</v>
      </c>
      <c r="O511" s="532">
        <v>0.125</v>
      </c>
      <c r="P511" s="532">
        <v>0.875</v>
      </c>
      <c r="Q511" s="535" t="s">
        <v>445</v>
      </c>
      <c r="R511" s="535" t="s">
        <v>483</v>
      </c>
      <c r="S511" s="535"/>
      <c r="T511" s="200">
        <f>VLOOKUP(Table2[[#This Row],[Course Title]],'TSD-Data'!$A$1:$E$83,4,FALSE)</f>
        <v>1000</v>
      </c>
      <c r="U511" s="200">
        <f>VLOOKUP(Table2[[#This Row],[Course Title]],'TSD-Data'!$A$1:$F$83,6,FALSE)</f>
        <v>2</v>
      </c>
      <c r="V511" s="201">
        <f>VLOOKUP(Table2[[#This Row],[Course Title]],'TSD-Data'!$A$1:$F$83,5,FALSE)</f>
        <v>0.25</v>
      </c>
      <c r="W511" s="201"/>
      <c r="X511" s="200">
        <f>Table2[[#This Row],[Quotas]]-Table2[[#This Row],[Open Quotas]]</f>
        <v>112</v>
      </c>
      <c r="Y511" s="200"/>
      <c r="Z511" s="201">
        <v>10</v>
      </c>
      <c r="AA511" s="201">
        <v>0</v>
      </c>
      <c r="AB511" s="200">
        <v>0</v>
      </c>
      <c r="AC511" s="200">
        <v>0</v>
      </c>
      <c r="AD511" s="200">
        <v>0</v>
      </c>
      <c r="AE511" s="200" t="s">
        <v>428</v>
      </c>
      <c r="AF511" s="201">
        <f ca="1">Table2[[#This Row],[End Date]]+2-TODAY()</f>
        <v>-17</v>
      </c>
      <c r="AG511" s="200">
        <f>IF(ISBLANK(Table2[[#This Row],[Roster Received by]]),1,0)</f>
        <v>0</v>
      </c>
      <c r="AH511" s="200">
        <f ca="1">IF(Table2[[#This Row],[Start Date]]&gt;TODAY(),1,)</f>
        <v>0</v>
      </c>
      <c r="AI511" s="200">
        <f>IF(ISBLANK(Table2[[#This Row],[Primary Instructor]]),0,1)</f>
        <v>1</v>
      </c>
      <c r="AJ511" s="200">
        <f>IF(ISBLANK(Table2[[#This Row],[Instructor 2]]),0,1)</f>
        <v>1</v>
      </c>
      <c r="AK511" s="200">
        <f>AJ847</f>
        <v>0</v>
      </c>
      <c r="AL511" s="318">
        <v>888</v>
      </c>
      <c r="AM511" s="200"/>
      <c r="AN511" s="200" t="str">
        <f>VLOOKUP(Table2[[#This Row],[Course Title]],'TSD-Data'!$A$1:$G$83,7,FALSE)</f>
        <v>N8-RMI</v>
      </c>
      <c r="AO511" s="518">
        <f>Table2[[#This Row],[Quotas]]-Table2[[#This Row],[Graduates]]-Table2[[#This Row],[Fail]]</f>
        <v>990</v>
      </c>
    </row>
    <row r="512" spans="2:41" s="202" customFormat="1" ht="15" customHeight="1" x14ac:dyDescent="0.25">
      <c r="B512" s="530"/>
      <c r="C512" s="530" t="s">
        <v>404</v>
      </c>
      <c r="D512" s="200" t="str">
        <f>VLOOKUP(Table2[[#This Row],[Course Title]],'TSD-Data'!$A$1:$E$83,2,FALSE)</f>
        <v>A-493-3014</v>
      </c>
      <c r="E512" s="200" t="str">
        <f>VLOOKUP(Table2[[#This Row],[Course Title]],'TSD-Data'!$A$1:$E$83,3,FALSE)</f>
        <v>31Yh</v>
      </c>
      <c r="F512" s="530" t="s">
        <v>54</v>
      </c>
      <c r="G512" s="531">
        <v>46225</v>
      </c>
      <c r="H512" s="531">
        <v>46225</v>
      </c>
      <c r="I512" s="531" t="s">
        <v>42</v>
      </c>
      <c r="J512" s="532"/>
      <c r="K512" s="558">
        <v>0.52083333333333337</v>
      </c>
      <c r="L512" s="532">
        <v>0.39583333333333331</v>
      </c>
      <c r="M512" s="532">
        <v>0.8125</v>
      </c>
      <c r="N512" s="532">
        <v>0.77083333333333337</v>
      </c>
      <c r="O512" s="532">
        <v>0.3125</v>
      </c>
      <c r="P512" s="532">
        <v>6.25E-2</v>
      </c>
      <c r="Q512" s="535" t="s">
        <v>445</v>
      </c>
      <c r="R512" s="535" t="s">
        <v>483</v>
      </c>
      <c r="S512" s="535"/>
      <c r="T512" s="200">
        <f>VLOOKUP(Table2[[#This Row],[Course Title]],'TSD-Data'!$A$1:$E$83,4,FALSE)</f>
        <v>1000</v>
      </c>
      <c r="U512" s="200">
        <f>VLOOKUP(Table2[[#This Row],[Course Title]],'TSD-Data'!$A$1:$F$83,6,FALSE)</f>
        <v>1.5</v>
      </c>
      <c r="V512" s="201">
        <f>VLOOKUP(Table2[[#This Row],[Course Title]],'TSD-Data'!$A$1:$F$83,5,FALSE)</f>
        <v>0.1</v>
      </c>
      <c r="W512" s="201"/>
      <c r="X512" s="200">
        <f>Table2[[#This Row],[Quotas]]-Table2[[#This Row],[Open Quotas]]</f>
        <v>112</v>
      </c>
      <c r="Y512" s="200"/>
      <c r="Z512" s="201">
        <v>8</v>
      </c>
      <c r="AA512" s="201">
        <v>0</v>
      </c>
      <c r="AB512" s="200">
        <v>0</v>
      </c>
      <c r="AC512" s="200">
        <v>0</v>
      </c>
      <c r="AD512" s="200">
        <v>0</v>
      </c>
      <c r="AE512" s="200" t="s">
        <v>428</v>
      </c>
      <c r="AF512" s="201">
        <f ca="1">Table2[[#This Row],[End Date]]+2-TODAY()</f>
        <v>-17</v>
      </c>
      <c r="AG512" s="200">
        <f>IF(ISBLANK(Table2[[#This Row],[Roster Received by]]),1,0)</f>
        <v>0</v>
      </c>
      <c r="AH512" s="200">
        <f ca="1">IF(Table2[[#This Row],[Start Date]]&gt;TODAY(),1,)</f>
        <v>0</v>
      </c>
      <c r="AI512" s="200">
        <f>IF(ISBLANK(Table2[[#This Row],[Primary Instructor]]),0,1)</f>
        <v>1</v>
      </c>
      <c r="AJ512" s="200">
        <f>IF(ISBLANK(Table2[[#This Row],[Instructor 2]]),0,1)</f>
        <v>1</v>
      </c>
      <c r="AK512" s="200">
        <f>AJ846</f>
        <v>0</v>
      </c>
      <c r="AL512" s="318">
        <v>888</v>
      </c>
      <c r="AM512" s="200"/>
      <c r="AN512" s="200" t="str">
        <f>VLOOKUP(Table2[[#This Row],[Course Title]],'TSD-Data'!$A$1:$G$83,7,FALSE)</f>
        <v>N8-RMI</v>
      </c>
      <c r="AO512" s="518">
        <f>Table2[[#This Row],[Quotas]]-Table2[[#This Row],[Graduates]]-Table2[[#This Row],[Fail]]</f>
        <v>992</v>
      </c>
    </row>
    <row r="513" spans="2:41" s="202" customFormat="1" ht="15" customHeight="1" x14ac:dyDescent="0.25">
      <c r="B513" s="530"/>
      <c r="C513" s="530" t="s">
        <v>405</v>
      </c>
      <c r="D513" s="200" t="str">
        <f>VLOOKUP(Table2[[#This Row],[Course Title]],'TSD-Data'!$A$1:$E$83,2,FALSE)</f>
        <v>A-493-3015</v>
      </c>
      <c r="E513" s="200" t="str">
        <f>VLOOKUP(Table2[[#This Row],[Course Title]],'TSD-Data'!$A$1:$E$83,3,FALSE)</f>
        <v>31YJ</v>
      </c>
      <c r="F513" s="530" t="s">
        <v>54</v>
      </c>
      <c r="G513" s="531">
        <v>46225</v>
      </c>
      <c r="H513" s="531">
        <v>46225</v>
      </c>
      <c r="I513" s="531" t="s">
        <v>42</v>
      </c>
      <c r="J513" s="532"/>
      <c r="K513" s="558">
        <v>0.4375</v>
      </c>
      <c r="L513" s="532">
        <v>0.3125</v>
      </c>
      <c r="M513" s="532">
        <v>0.72916666666666663</v>
      </c>
      <c r="N513" s="532">
        <v>0.6875</v>
      </c>
      <c r="O513" s="532">
        <v>0.22916666666666666</v>
      </c>
      <c r="P513" s="532">
        <v>0.97916666666666663</v>
      </c>
      <c r="Q513" s="535" t="s">
        <v>445</v>
      </c>
      <c r="R513" s="535" t="s">
        <v>483</v>
      </c>
      <c r="S513" s="535"/>
      <c r="T513" s="200">
        <f>VLOOKUP(Table2[[#This Row],[Course Title]],'TSD-Data'!$A$1:$E$83,4,FALSE)</f>
        <v>1000</v>
      </c>
      <c r="U513" s="200">
        <f>VLOOKUP(Table2[[#This Row],[Course Title]],'TSD-Data'!$A$1:$F$83,6,FALSE)</f>
        <v>1.5</v>
      </c>
      <c r="V513" s="201">
        <f>VLOOKUP(Table2[[#This Row],[Course Title]],'TSD-Data'!$A$1:$F$83,5,FALSE)</f>
        <v>0.1</v>
      </c>
      <c r="W513" s="201"/>
      <c r="X513" s="200">
        <f>Table2[[#This Row],[Quotas]]-Table2[[#This Row],[Open Quotas]]</f>
        <v>112</v>
      </c>
      <c r="Y513" s="200"/>
      <c r="Z513" s="201">
        <v>12</v>
      </c>
      <c r="AA513" s="201">
        <v>0</v>
      </c>
      <c r="AB513" s="200">
        <v>0</v>
      </c>
      <c r="AC513" s="200">
        <v>0</v>
      </c>
      <c r="AD513" s="200">
        <v>0</v>
      </c>
      <c r="AE513" s="200" t="s">
        <v>428</v>
      </c>
      <c r="AF513" s="201">
        <f ca="1">Table2[[#This Row],[End Date]]+2-TODAY()</f>
        <v>-17</v>
      </c>
      <c r="AG513" s="200">
        <f>IF(ISBLANK(Table2[[#This Row],[Roster Received by]]),1,0)</f>
        <v>0</v>
      </c>
      <c r="AH513" s="200">
        <f ca="1">IF(Table2[[#This Row],[Start Date]]&gt;TODAY(),1,)</f>
        <v>0</v>
      </c>
      <c r="AI513" s="200">
        <f>IF(ISBLANK(Table2[[#This Row],[Primary Instructor]]),0,1)</f>
        <v>1</v>
      </c>
      <c r="AJ513" s="200">
        <f>IF(ISBLANK(Table2[[#This Row],[Instructor 2]]),0,1)</f>
        <v>1</v>
      </c>
      <c r="AK513" s="200">
        <f>AJ848</f>
        <v>0</v>
      </c>
      <c r="AL513" s="318">
        <v>888</v>
      </c>
      <c r="AM513" s="200"/>
      <c r="AN513" s="200" t="str">
        <f>VLOOKUP(Table2[[#This Row],[Course Title]],'TSD-Data'!$A$1:$G$83,7,FALSE)</f>
        <v>N8-RMI</v>
      </c>
      <c r="AO513" s="518">
        <f>Table2[[#This Row],[Quotas]]-Table2[[#This Row],[Graduates]]-Table2[[#This Row],[Fail]]</f>
        <v>988</v>
      </c>
    </row>
    <row r="514" spans="2:41" s="202" customFormat="1" ht="15" customHeight="1" x14ac:dyDescent="0.25">
      <c r="B514" s="530"/>
      <c r="C514" s="530" t="s">
        <v>406</v>
      </c>
      <c r="D514" s="200" t="str">
        <f>VLOOKUP(Table2[[#This Row],[Course Title]],'TSD-Data'!$A$1:$E$83,2,FALSE)</f>
        <v>A-493-3016</v>
      </c>
      <c r="E514" s="200" t="str">
        <f>VLOOKUP(Table2[[#This Row],[Course Title]],'TSD-Data'!$A$1:$E$83,3,FALSE)</f>
        <v>31Yk</v>
      </c>
      <c r="F514" s="530" t="s">
        <v>54</v>
      </c>
      <c r="G514" s="531">
        <v>46225</v>
      </c>
      <c r="H514" s="531">
        <v>46225</v>
      </c>
      <c r="I514" s="531" t="s">
        <v>42</v>
      </c>
      <c r="J514" s="532"/>
      <c r="K514" s="558">
        <v>0.60416666666666663</v>
      </c>
      <c r="L514" s="532">
        <v>0.47916666666666669</v>
      </c>
      <c r="M514" s="532">
        <v>0.89583333333333337</v>
      </c>
      <c r="N514" s="532">
        <v>0.85416666666666663</v>
      </c>
      <c r="O514" s="532">
        <v>0.39583333333333331</v>
      </c>
      <c r="P514" s="532">
        <v>0.14583333333333334</v>
      </c>
      <c r="Q514" s="535" t="s">
        <v>445</v>
      </c>
      <c r="R514" s="535" t="s">
        <v>483</v>
      </c>
      <c r="S514" s="535"/>
      <c r="T514" s="200">
        <f>VLOOKUP(Table2[[#This Row],[Course Title]],'TSD-Data'!$A$1:$E$83,4,FALSE)</f>
        <v>1000</v>
      </c>
      <c r="U514" s="200">
        <f>VLOOKUP(Table2[[#This Row],[Course Title]],'TSD-Data'!$A$1:$F$83,6,FALSE)</f>
        <v>1.5</v>
      </c>
      <c r="V514" s="201">
        <f>VLOOKUP(Table2[[#This Row],[Course Title]],'TSD-Data'!$A$1:$F$83,5,FALSE)</f>
        <v>0.1</v>
      </c>
      <c r="W514" s="201"/>
      <c r="X514" s="200">
        <f>Table2[[#This Row],[Quotas]]-Table2[[#This Row],[Open Quotas]]</f>
        <v>112</v>
      </c>
      <c r="Y514" s="200"/>
      <c r="Z514" s="201">
        <v>8</v>
      </c>
      <c r="AA514" s="201">
        <v>0</v>
      </c>
      <c r="AB514" s="200">
        <v>0</v>
      </c>
      <c r="AC514" s="200">
        <v>0</v>
      </c>
      <c r="AD514" s="200">
        <v>0</v>
      </c>
      <c r="AE514" s="200" t="s">
        <v>428</v>
      </c>
      <c r="AF514" s="201">
        <f ca="1">Table2[[#This Row],[End Date]]+2-TODAY()</f>
        <v>-17</v>
      </c>
      <c r="AG514" s="200">
        <f>IF(ISBLANK(Table2[[#This Row],[Roster Received by]]),1,0)</f>
        <v>0</v>
      </c>
      <c r="AH514" s="200">
        <f ca="1">IF(Table2[[#This Row],[Start Date]]&gt;TODAY(),1,)</f>
        <v>0</v>
      </c>
      <c r="AI514" s="200">
        <f>IF(ISBLANK(Table2[[#This Row],[Primary Instructor]]),0,1)</f>
        <v>1</v>
      </c>
      <c r="AJ514" s="200">
        <f>IF(ISBLANK(Table2[[#This Row],[Instructor 2]]),0,1)</f>
        <v>1</v>
      </c>
      <c r="AK514" s="200">
        <f>AJ847</f>
        <v>0</v>
      </c>
      <c r="AL514" s="318">
        <v>888</v>
      </c>
      <c r="AM514" s="200"/>
      <c r="AN514" s="200" t="str">
        <f>VLOOKUP(Table2[[#This Row],[Course Title]],'TSD-Data'!$A$1:$G$83,7,FALSE)</f>
        <v>N8-RMI</v>
      </c>
      <c r="AO514" s="518">
        <f>Table2[[#This Row],[Quotas]]-Table2[[#This Row],[Graduates]]-Table2[[#This Row],[Fail]]</f>
        <v>992</v>
      </c>
    </row>
    <row r="515" spans="2:41" s="202" customFormat="1" ht="15" customHeight="1" x14ac:dyDescent="0.25">
      <c r="B515" s="530"/>
      <c r="C515" s="530" t="s">
        <v>402</v>
      </c>
      <c r="D515" s="200" t="str">
        <f>VLOOKUP(Table2[[#This Row],[Course Title]],'TSD-Data'!$A$1:$E$83,2,FALSE)</f>
        <v>A-493-3017</v>
      </c>
      <c r="E515" s="200" t="str">
        <f>VLOOKUP(Table2[[#This Row],[Course Title]],'TSD-Data'!$A$1:$E$83,3,FALSE)</f>
        <v>31YL</v>
      </c>
      <c r="F515" s="530" t="s">
        <v>54</v>
      </c>
      <c r="G515" s="531">
        <v>46226</v>
      </c>
      <c r="H515" s="531">
        <v>46226</v>
      </c>
      <c r="I515" s="531" t="s">
        <v>42</v>
      </c>
      <c r="J515" s="532"/>
      <c r="K515" s="558">
        <v>0.54166666666666663</v>
      </c>
      <c r="L515" s="532">
        <v>0.41666666666666669</v>
      </c>
      <c r="M515" s="532">
        <v>0.83333333333333337</v>
      </c>
      <c r="N515" s="532">
        <v>0.79166666666666663</v>
      </c>
      <c r="O515" s="532">
        <v>0.33333333333333331</v>
      </c>
      <c r="P515" s="532">
        <v>8.3333333333333329E-2</v>
      </c>
      <c r="Q515" s="535" t="s">
        <v>445</v>
      </c>
      <c r="R515" s="535" t="s">
        <v>483</v>
      </c>
      <c r="S515" s="535"/>
      <c r="T515" s="200">
        <f>VLOOKUP(Table2[[#This Row],[Course Title]],'TSD-Data'!$A$1:$E$83,4,FALSE)</f>
        <v>1000</v>
      </c>
      <c r="U515" s="200">
        <f>VLOOKUP(Table2[[#This Row],[Course Title]],'TSD-Data'!$A$1:$F$83,6,FALSE)</f>
        <v>1.5</v>
      </c>
      <c r="V515" s="201">
        <f>VLOOKUP(Table2[[#This Row],[Course Title]],'TSD-Data'!$A$1:$F$83,5,FALSE)</f>
        <v>0.1</v>
      </c>
      <c r="W515" s="201"/>
      <c r="X515" s="200">
        <f>Table2[[#This Row],[Quotas]]-Table2[[#This Row],[Open Quotas]]</f>
        <v>112</v>
      </c>
      <c r="Y515" s="200"/>
      <c r="Z515" s="201">
        <v>9</v>
      </c>
      <c r="AA515" s="201">
        <v>0</v>
      </c>
      <c r="AB515" s="200">
        <v>0</v>
      </c>
      <c r="AC515" s="200">
        <v>0</v>
      </c>
      <c r="AD515" s="200">
        <v>0</v>
      </c>
      <c r="AE515" s="200" t="s">
        <v>428</v>
      </c>
      <c r="AF515" s="201">
        <f ca="1">Table2[[#This Row],[End Date]]+2-TODAY()</f>
        <v>-16</v>
      </c>
      <c r="AG515" s="200">
        <f>IF(ISBLANK(Table2[[#This Row],[Roster Received by]]),1,0)</f>
        <v>0</v>
      </c>
      <c r="AH515" s="200">
        <f ca="1">IF(Table2[[#This Row],[Start Date]]&gt;TODAY(),1,)</f>
        <v>0</v>
      </c>
      <c r="AI515" s="200">
        <f>IF(ISBLANK(Table2[[#This Row],[Primary Instructor]]),0,1)</f>
        <v>1</v>
      </c>
      <c r="AJ515" s="200">
        <f>IF(ISBLANK(Table2[[#This Row],[Instructor 2]]),0,1)</f>
        <v>1</v>
      </c>
      <c r="AK515" s="200">
        <f>AJ845</f>
        <v>0</v>
      </c>
      <c r="AL515" s="318">
        <v>888</v>
      </c>
      <c r="AM515" s="200"/>
      <c r="AN515" s="200" t="str">
        <f>VLOOKUP(Table2[[#This Row],[Course Title]],'TSD-Data'!$A$1:$G$83,7,FALSE)</f>
        <v>N8-RMI</v>
      </c>
      <c r="AO515" s="518">
        <f>Table2[[#This Row],[Quotas]]-Table2[[#This Row],[Graduates]]-Table2[[#This Row],[Fail]]</f>
        <v>991</v>
      </c>
    </row>
    <row r="516" spans="2:41" s="202" customFormat="1" ht="15" customHeight="1" x14ac:dyDescent="0.25">
      <c r="B516" s="530"/>
      <c r="C516" s="530" t="s">
        <v>408</v>
      </c>
      <c r="D516" s="200" t="str">
        <f>VLOOKUP(Table2[[#This Row],[Course Title]],'TSD-Data'!$A$1:$E$83,2,FALSE)</f>
        <v>A-493-3008</v>
      </c>
      <c r="E516" s="200" t="str">
        <f>VLOOKUP(Table2[[#This Row],[Course Title]],'TSD-Data'!$A$1:$E$83,3,FALSE)</f>
        <v>31VA</v>
      </c>
      <c r="F516" s="530" t="s">
        <v>54</v>
      </c>
      <c r="G516" s="531">
        <v>46226</v>
      </c>
      <c r="H516" s="531">
        <v>46226</v>
      </c>
      <c r="I516" s="531" t="s">
        <v>42</v>
      </c>
      <c r="J516" s="532"/>
      <c r="K516" s="558">
        <v>0.41666666666666669</v>
      </c>
      <c r="L516" s="532">
        <v>0.29166666666666669</v>
      </c>
      <c r="M516" s="532">
        <v>0.70833333333333337</v>
      </c>
      <c r="N516" s="532">
        <v>0.66666666666666663</v>
      </c>
      <c r="O516" s="532">
        <v>0.20833333333333334</v>
      </c>
      <c r="P516" s="532">
        <v>0.95833333333333337</v>
      </c>
      <c r="Q516" s="535" t="s">
        <v>445</v>
      </c>
      <c r="R516" s="535" t="s">
        <v>483</v>
      </c>
      <c r="S516" s="535"/>
      <c r="T516" s="200">
        <f>VLOOKUP(Table2[[#This Row],[Course Title]],'TSD-Data'!$A$1:$E$83,4,FALSE)</f>
        <v>1000</v>
      </c>
      <c r="U516" s="200">
        <f>VLOOKUP(Table2[[#This Row],[Course Title]],'TSD-Data'!$A$1:$F$83,6,FALSE)</f>
        <v>1.5</v>
      </c>
      <c r="V516" s="201">
        <f>VLOOKUP(Table2[[#This Row],[Course Title]],'TSD-Data'!$A$1:$F$83,5,FALSE)</f>
        <v>0.1</v>
      </c>
      <c r="W516" s="201"/>
      <c r="X516" s="200">
        <f>Table2[[#This Row],[Quotas]]-Table2[[#This Row],[Open Quotas]]</f>
        <v>112</v>
      </c>
      <c r="Y516" s="200"/>
      <c r="Z516" s="201">
        <v>12</v>
      </c>
      <c r="AA516" s="201">
        <v>0</v>
      </c>
      <c r="AB516" s="200">
        <v>0</v>
      </c>
      <c r="AC516" s="200">
        <v>0</v>
      </c>
      <c r="AD516" s="200">
        <v>0</v>
      </c>
      <c r="AE516" s="200" t="s">
        <v>428</v>
      </c>
      <c r="AF516" s="201">
        <f ca="1">Table2[[#This Row],[End Date]]+2-TODAY()</f>
        <v>-16</v>
      </c>
      <c r="AG516" s="200">
        <f>IF(ISBLANK(Table2[[#This Row],[Roster Received by]]),1,0)</f>
        <v>0</v>
      </c>
      <c r="AH516" s="200">
        <f ca="1">IF(Table2[[#This Row],[Start Date]]&gt;TODAY(),1,)</f>
        <v>0</v>
      </c>
      <c r="AI516" s="200">
        <f>IF(ISBLANK(Table2[[#This Row],[Primary Instructor]]),0,1)</f>
        <v>1</v>
      </c>
      <c r="AJ516" s="200">
        <f>IF(ISBLANK(Table2[[#This Row],[Instructor 2]]),0,1)</f>
        <v>1</v>
      </c>
      <c r="AK516" s="200">
        <f>AJ847</f>
        <v>0</v>
      </c>
      <c r="AL516" s="318">
        <v>888</v>
      </c>
      <c r="AM516" s="200"/>
      <c r="AN516" s="200" t="str">
        <f>VLOOKUP(Table2[[#This Row],[Course Title]],'TSD-Data'!$A$1:$G$83,7,FALSE)</f>
        <v>N8-RMI</v>
      </c>
      <c r="AO516" s="518">
        <f>Table2[[#This Row],[Quotas]]-Table2[[#This Row],[Graduates]]-Table2[[#This Row],[Fail]]</f>
        <v>988</v>
      </c>
    </row>
    <row r="517" spans="2:41" s="202" customFormat="1" ht="15" customHeight="1" x14ac:dyDescent="0.25">
      <c r="B517" s="530"/>
      <c r="C517" s="530" t="s">
        <v>412</v>
      </c>
      <c r="D517" s="200" t="str">
        <f>VLOOKUP(Table2[[#This Row],[Course Title]],'TSD-Data'!$A$1:$E$83,2,FALSE)</f>
        <v>A-493-3009</v>
      </c>
      <c r="E517" s="200" t="str">
        <f>VLOOKUP(Table2[[#This Row],[Course Title]],'TSD-Data'!$A$1:$E$83,3,FALSE)</f>
        <v>31VB</v>
      </c>
      <c r="F517" s="530" t="s">
        <v>54</v>
      </c>
      <c r="G517" s="531">
        <v>46226</v>
      </c>
      <c r="H517" s="531">
        <v>46226</v>
      </c>
      <c r="I517" s="531" t="s">
        <v>42</v>
      </c>
      <c r="J517" s="532"/>
      <c r="K517" s="558">
        <v>0.33333333333333331</v>
      </c>
      <c r="L517" s="532">
        <v>0.20833333333333334</v>
      </c>
      <c r="M517" s="532">
        <v>0.625</v>
      </c>
      <c r="N517" s="532">
        <v>0.58333333333333337</v>
      </c>
      <c r="O517" s="532">
        <v>0.125</v>
      </c>
      <c r="P517" s="532">
        <v>0.875</v>
      </c>
      <c r="Q517" s="535" t="s">
        <v>445</v>
      </c>
      <c r="R517" s="535" t="s">
        <v>483</v>
      </c>
      <c r="S517" s="535"/>
      <c r="T517" s="200">
        <f>VLOOKUP(Table2[[#This Row],[Course Title]],'TSD-Data'!$A$1:$E$83,4,FALSE)</f>
        <v>1000</v>
      </c>
      <c r="U517" s="200">
        <f>VLOOKUP(Table2[[#This Row],[Course Title]],'TSD-Data'!$A$1:$F$83,6,FALSE)</f>
        <v>1.5</v>
      </c>
      <c r="V517" s="201">
        <f>VLOOKUP(Table2[[#This Row],[Course Title]],'TSD-Data'!$A$1:$F$83,5,FALSE)</f>
        <v>0.1</v>
      </c>
      <c r="W517" s="201"/>
      <c r="X517" s="200">
        <f>Table2[[#This Row],[Quotas]]-Table2[[#This Row],[Open Quotas]]</f>
        <v>112</v>
      </c>
      <c r="Y517" s="200"/>
      <c r="Z517" s="201">
        <v>12</v>
      </c>
      <c r="AA517" s="201">
        <v>0</v>
      </c>
      <c r="AB517" s="200">
        <v>0</v>
      </c>
      <c r="AC517" s="200">
        <v>0</v>
      </c>
      <c r="AD517" s="200">
        <v>0</v>
      </c>
      <c r="AE517" s="200" t="s">
        <v>428</v>
      </c>
      <c r="AF517" s="201">
        <f ca="1">Table2[[#This Row],[End Date]]+2-TODAY()</f>
        <v>-16</v>
      </c>
      <c r="AG517" s="200">
        <f>IF(ISBLANK(Table2[[#This Row],[Roster Received by]]),1,0)</f>
        <v>0</v>
      </c>
      <c r="AH517" s="200">
        <f ca="1">IF(Table2[[#This Row],[Start Date]]&gt;TODAY(),1,)</f>
        <v>0</v>
      </c>
      <c r="AI517" s="200">
        <f>IF(ISBLANK(Table2[[#This Row],[Primary Instructor]]),0,1)</f>
        <v>1</v>
      </c>
      <c r="AJ517" s="200">
        <f>IF(ISBLANK(Table2[[#This Row],[Instructor 2]]),0,1)</f>
        <v>1</v>
      </c>
      <c r="AK517" s="200">
        <f>AJ849</f>
        <v>0</v>
      </c>
      <c r="AL517" s="318">
        <v>888</v>
      </c>
      <c r="AM517" s="200"/>
      <c r="AN517" s="200" t="str">
        <f>VLOOKUP(Table2[[#This Row],[Course Title]],'TSD-Data'!$A$1:$G$83,7,FALSE)</f>
        <v>N8-RMI</v>
      </c>
      <c r="AO517" s="518">
        <f>Table2[[#This Row],[Quotas]]-Table2[[#This Row],[Graduates]]-Table2[[#This Row],[Fail]]</f>
        <v>988</v>
      </c>
    </row>
    <row r="518" spans="2:41" s="202" customFormat="1" ht="15" customHeight="1" x14ac:dyDescent="0.25">
      <c r="B518" s="530"/>
      <c r="C518" s="530" t="s">
        <v>276</v>
      </c>
      <c r="D518" s="200" t="str">
        <f>VLOOKUP(Table2[[#This Row],[Course Title]],'TSD-Data'!$A$1:$E$83,2,FALSE)</f>
        <v>A-493-0103</v>
      </c>
      <c r="E518" s="200" t="str">
        <f>VLOOKUP(Table2[[#This Row],[Course Title]],'TSD-Data'!$A$1:$E$83,3,FALSE)</f>
        <v>12JY</v>
      </c>
      <c r="F518" s="530" t="s">
        <v>96</v>
      </c>
      <c r="G518" s="531">
        <v>46230</v>
      </c>
      <c r="H518" s="531">
        <v>46234</v>
      </c>
      <c r="I518" s="531" t="s">
        <v>42</v>
      </c>
      <c r="J518" s="532">
        <v>0.33333333333333331</v>
      </c>
      <c r="K518" s="532"/>
      <c r="L518" s="531"/>
      <c r="M518" s="531"/>
      <c r="N518" s="531"/>
      <c r="O518" s="531"/>
      <c r="P518" s="531"/>
      <c r="Q518" s="535" t="s">
        <v>280</v>
      </c>
      <c r="R518" s="535"/>
      <c r="S518" s="535"/>
      <c r="T518" s="200">
        <f>VLOOKUP(Table2[[#This Row],[Course Title]],'TSD-Data'!$A$1:$E$83,4,FALSE)</f>
        <v>25</v>
      </c>
      <c r="U518" s="200">
        <f>VLOOKUP(Table2[[#This Row],[Course Title]],'TSD-Data'!$A$1:$F$83,6,FALSE)</f>
        <v>40</v>
      </c>
      <c r="V518" s="201">
        <f>VLOOKUP(Table2[[#This Row],[Course Title]],'TSD-Data'!$A$1:$F$83,5,FALSE)</f>
        <v>5</v>
      </c>
      <c r="W518" s="201">
        <v>67</v>
      </c>
      <c r="X518" s="200">
        <f>Table2[[#This Row],[Quotas]]-Table2[[#This Row],[Open Quotas]]</f>
        <v>8</v>
      </c>
      <c r="Y518" s="200">
        <v>0</v>
      </c>
      <c r="Z518" s="201">
        <v>8</v>
      </c>
      <c r="AA518" s="201">
        <v>0</v>
      </c>
      <c r="AB518" s="200">
        <v>4</v>
      </c>
      <c r="AC518" s="200">
        <v>3</v>
      </c>
      <c r="AD518" s="200">
        <v>0</v>
      </c>
      <c r="AE518" s="200" t="s">
        <v>431</v>
      </c>
      <c r="AF518" s="495">
        <f ca="1">Table2[[#This Row],[End Date]]+2-TODAY()</f>
        <v>-8</v>
      </c>
      <c r="AG518" s="496">
        <f>IF(ISBLANK(Table2[[#This Row],[Roster Received by]]),1,0)</f>
        <v>0</v>
      </c>
      <c r="AH518" s="496">
        <f ca="1">IF(Table2[[#This Row],[Start Date]]&gt;TODAY(),1,)</f>
        <v>0</v>
      </c>
      <c r="AI518" s="496">
        <f>IF(ISBLANK(Table2[[#This Row],[Primary Instructor]]),0,1)</f>
        <v>1</v>
      </c>
      <c r="AJ518" s="496">
        <f>IF(ISBLANK(Table2[[#This Row],[Instructor 2]]),0,1)</f>
        <v>0</v>
      </c>
      <c r="AK518" s="496">
        <f>Table2[[#This Row],[Course Length (Hours)]]/(Table2[[#This Row],[1 Instructor]]+Table2[[#This Row],[2 Instructors]])</f>
        <v>40</v>
      </c>
      <c r="AL518" s="318">
        <v>17</v>
      </c>
      <c r="AM518" s="501">
        <v>4</v>
      </c>
      <c r="AN518" s="496" t="str">
        <f>VLOOKUP(Table2[[#This Row],[Course Title]],'TSD-Data'!$A$1:$G$83,7,FALSE)</f>
        <v>N5</v>
      </c>
      <c r="AO518" s="500">
        <f>Table2[[#This Row],[Quotas]]-Table2[[#This Row],[Graduates]]-Table2[[#This Row],[Fail]]</f>
        <v>17</v>
      </c>
    </row>
    <row r="519" spans="2:41" s="202" customFormat="1" ht="15" customHeight="1" x14ac:dyDescent="0.25">
      <c r="B519" s="530"/>
      <c r="C519" s="530" t="s">
        <v>276</v>
      </c>
      <c r="D519" s="200" t="str">
        <f>VLOOKUP(Table2[[#This Row],[Course Title]],'TSD-Data'!$A$1:$E$83,2,FALSE)</f>
        <v>A-493-0103</v>
      </c>
      <c r="E519" s="200" t="str">
        <f>VLOOKUP(Table2[[#This Row],[Course Title]],'TSD-Data'!$A$1:$E$83,3,FALSE)</f>
        <v>12JY</v>
      </c>
      <c r="F519" s="550" t="s">
        <v>121</v>
      </c>
      <c r="G519" s="531">
        <v>46230</v>
      </c>
      <c r="H519" s="531">
        <v>46234</v>
      </c>
      <c r="I519" s="531" t="s">
        <v>42</v>
      </c>
      <c r="J519" s="532">
        <v>0.33333333333333331</v>
      </c>
      <c r="K519" s="532"/>
      <c r="L519" s="531"/>
      <c r="M519" s="531"/>
      <c r="N519" s="531"/>
      <c r="O519" s="531"/>
      <c r="P519" s="531"/>
      <c r="Q519" s="535" t="s">
        <v>280</v>
      </c>
      <c r="R519" s="535"/>
      <c r="S519" s="535"/>
      <c r="T519" s="200">
        <f>VLOOKUP(Table2[[#This Row],[Course Title]],'TSD-Data'!$A$1:$E$83,4,FALSE)</f>
        <v>25</v>
      </c>
      <c r="U519" s="200">
        <f>VLOOKUP(Table2[[#This Row],[Course Title]],'TSD-Data'!$A$1:$F$83,6,FALSE)</f>
        <v>40</v>
      </c>
      <c r="V519" s="201">
        <f>VLOOKUP(Table2[[#This Row],[Course Title]],'TSD-Data'!$A$1:$F$83,5,FALSE)</f>
        <v>5</v>
      </c>
      <c r="W519" s="201">
        <v>225</v>
      </c>
      <c r="X519" s="200">
        <f>Table2[[#This Row],[Quotas]]-Table2[[#This Row],[Open Quotas]]</f>
        <v>25</v>
      </c>
      <c r="Y519" s="200">
        <v>0</v>
      </c>
      <c r="Z519" s="201">
        <v>23</v>
      </c>
      <c r="AA519" s="201">
        <v>0</v>
      </c>
      <c r="AB519" s="200">
        <v>4</v>
      </c>
      <c r="AC519" s="200">
        <v>2</v>
      </c>
      <c r="AD519" s="200">
        <v>0</v>
      </c>
      <c r="AE519" s="200" t="s">
        <v>431</v>
      </c>
      <c r="AF519" s="495">
        <f ca="1">Table2[[#This Row],[End Date]]+2-TODAY()</f>
        <v>-8</v>
      </c>
      <c r="AG519" s="496">
        <f>IF(ISBLANK(Table2[[#This Row],[Roster Received by]]),1,0)</f>
        <v>0</v>
      </c>
      <c r="AH519" s="496">
        <f ca="1">IF(Table2[[#This Row],[Start Date]]&gt;TODAY(),1,)</f>
        <v>0</v>
      </c>
      <c r="AI519" s="496">
        <f>IF(ISBLANK(Table2[[#This Row],[Primary Instructor]]),0,1)</f>
        <v>1</v>
      </c>
      <c r="AJ519" s="496">
        <f>IF(ISBLANK(Table2[[#This Row],[Instructor 2]]),0,1)</f>
        <v>0</v>
      </c>
      <c r="AK519" s="496">
        <f>Table2[[#This Row],[Course Length (Hours)]]/(Table2[[#This Row],[1 Instructor]]+Table2[[#This Row],[2 Instructors]])</f>
        <v>40</v>
      </c>
      <c r="AL519" s="318">
        <v>0</v>
      </c>
      <c r="AM519" s="501">
        <v>4</v>
      </c>
      <c r="AN519" s="496" t="str">
        <f>VLOOKUP(Table2[[#This Row],[Course Title]],'TSD-Data'!$A$1:$G$83,7,FALSE)</f>
        <v>N5</v>
      </c>
      <c r="AO519" s="500">
        <f>Table2[[#This Row],[Quotas]]-Table2[[#This Row],[Graduates]]-Table2[[#This Row],[Fail]]</f>
        <v>2</v>
      </c>
    </row>
    <row r="520" spans="2:41" s="202" customFormat="1" ht="15" customHeight="1" x14ac:dyDescent="0.25">
      <c r="B520" s="530"/>
      <c r="C520" s="530" t="s">
        <v>271</v>
      </c>
      <c r="D520" s="200" t="str">
        <f>VLOOKUP(Table2[[#This Row],[Course Title]],'TSD-Data'!$A$1:$E$83,2,FALSE)</f>
        <v>A-493-0061</v>
      </c>
      <c r="E520" s="200" t="str">
        <f>VLOOKUP(Table2[[#This Row],[Course Title]],'TSD-Data'!$A$1:$E$83,3,FALSE)</f>
        <v>288E</v>
      </c>
      <c r="F520" s="530" t="s">
        <v>54</v>
      </c>
      <c r="G520" s="531">
        <v>46230</v>
      </c>
      <c r="H520" s="531">
        <v>46233</v>
      </c>
      <c r="I520" s="531" t="s">
        <v>42</v>
      </c>
      <c r="J520" s="532"/>
      <c r="K520" s="532">
        <v>0.5</v>
      </c>
      <c r="L520" s="536">
        <v>0.375</v>
      </c>
      <c r="M520" s="536">
        <v>0.79166666666666663</v>
      </c>
      <c r="N520" s="536">
        <v>0.75</v>
      </c>
      <c r="O520" s="536">
        <v>0.25</v>
      </c>
      <c r="P520" s="536">
        <v>4.1666666666666664E-2</v>
      </c>
      <c r="Q520" s="535" t="s">
        <v>148</v>
      </c>
      <c r="R520" s="535"/>
      <c r="S520" s="535"/>
      <c r="T520" s="200">
        <f>VLOOKUP(Table2[[#This Row],[Course Title]],'TSD-Data'!$A$1:$E$83,4,FALSE)</f>
        <v>45</v>
      </c>
      <c r="U520" s="200">
        <f>VLOOKUP(Table2[[#This Row],[Course Title]],'TSD-Data'!$A$1:$F$83,6,FALSE)</f>
        <v>30</v>
      </c>
      <c r="V520" s="201">
        <f>VLOOKUP(Table2[[#This Row],[Course Title]],'TSD-Data'!$A$1:$F$83,5,FALSE)</f>
        <v>4</v>
      </c>
      <c r="W520" s="201">
        <v>620</v>
      </c>
      <c r="X520" s="200">
        <f>Table2[[#This Row],[Quotas]]-Table2[[#This Row],[Open Quotas]]</f>
        <v>35</v>
      </c>
      <c r="Y520" s="200">
        <v>0</v>
      </c>
      <c r="Z520" s="201">
        <v>28</v>
      </c>
      <c r="AA520" s="201">
        <v>3</v>
      </c>
      <c r="AB520" s="200">
        <v>4</v>
      </c>
      <c r="AC520" s="200">
        <v>0</v>
      </c>
      <c r="AD520" s="200">
        <v>0</v>
      </c>
      <c r="AE520" s="200" t="s">
        <v>431</v>
      </c>
      <c r="AF520" s="495">
        <f ca="1">Table2[[#This Row],[End Date]]+2-TODAY()</f>
        <v>-9</v>
      </c>
      <c r="AG520" s="496">
        <f>IF(ISBLANK(Table2[[#This Row],[Roster Received by]]),1,0)</f>
        <v>0</v>
      </c>
      <c r="AH520" s="496">
        <f ca="1">IF(Table2[[#This Row],[Start Date]]&gt;TODAY(),1,)</f>
        <v>0</v>
      </c>
      <c r="AI520" s="496">
        <f>IF(ISBLANK(Table2[[#This Row],[Primary Instructor]]),0,1)</f>
        <v>1</v>
      </c>
      <c r="AJ520" s="496">
        <f>IF(ISBLANK(Table2[[#This Row],[Instructor 2]]),0,1)</f>
        <v>0</v>
      </c>
      <c r="AK520" s="496">
        <f>Table2[[#This Row],[Course Length (Hours)]]/(Table2[[#This Row],[1 Instructor]]+Table2[[#This Row],[2 Instructors]])</f>
        <v>30</v>
      </c>
      <c r="AL520" s="318">
        <v>10</v>
      </c>
      <c r="AM520" s="501">
        <v>4</v>
      </c>
      <c r="AN520" s="496" t="str">
        <f>VLOOKUP(Table2[[#This Row],[Course Title]],'TSD-Data'!$A$1:$G$83,7,FALSE)</f>
        <v>N5</v>
      </c>
      <c r="AO520" s="500">
        <f>Table2[[#This Row],[Quotas]]-Table2[[#This Row],[Graduates]]-Table2[[#This Row],[Fail]]</f>
        <v>14</v>
      </c>
    </row>
    <row r="521" spans="2:41" s="202" customFormat="1" ht="15" customHeight="1" x14ac:dyDescent="0.25">
      <c r="B521" s="530"/>
      <c r="C521" s="530" t="s">
        <v>53</v>
      </c>
      <c r="D521" s="200" t="str">
        <f>VLOOKUP(Table2[[#This Row],[Course Title]],'TSD-Data'!$A$1:$E$83,2,FALSE)</f>
        <v>A-493-0078</v>
      </c>
      <c r="E521" s="200">
        <f>VLOOKUP(Table2[[#This Row],[Course Title]],'TSD-Data'!$A$1:$E$83,3,FALSE)</f>
        <v>1228</v>
      </c>
      <c r="F521" s="561" t="s">
        <v>54</v>
      </c>
      <c r="G521" s="562">
        <v>46230</v>
      </c>
      <c r="H521" s="562">
        <v>46233</v>
      </c>
      <c r="I521" s="531" t="s">
        <v>42</v>
      </c>
      <c r="J521" s="532"/>
      <c r="K521" s="532">
        <v>0.5</v>
      </c>
      <c r="L521" s="536">
        <v>0.375</v>
      </c>
      <c r="M521" s="536">
        <v>0.79166666666666663</v>
      </c>
      <c r="N521" s="536">
        <v>0.75</v>
      </c>
      <c r="O521" s="536">
        <v>0.25</v>
      </c>
      <c r="P521" s="536">
        <v>4.1666666666666664E-2</v>
      </c>
      <c r="Q521" s="535" t="s">
        <v>55</v>
      </c>
      <c r="R521" s="535"/>
      <c r="S521" s="535"/>
      <c r="T521" s="200">
        <f>VLOOKUP(Table2[[#This Row],[Course Title]],'TSD-Data'!$A$1:$E$83,4,FALSE)</f>
        <v>45</v>
      </c>
      <c r="U521" s="200">
        <f>VLOOKUP(Table2[[#This Row],[Course Title]],'TSD-Data'!$A$1:$F$83,6,FALSE)</f>
        <v>32</v>
      </c>
      <c r="V521" s="201">
        <f>VLOOKUP(Table2[[#This Row],[Course Title]],'TSD-Data'!$A$1:$F$83,5,FALSE)</f>
        <v>4</v>
      </c>
      <c r="W521" s="201">
        <v>568</v>
      </c>
      <c r="X521" s="200">
        <f>Table2[[#This Row],[Quotas]]-Table2[[#This Row],[Open Quotas]]</f>
        <v>30</v>
      </c>
      <c r="Y521" s="200">
        <v>0</v>
      </c>
      <c r="Z521" s="201">
        <v>25</v>
      </c>
      <c r="AA521" s="201">
        <v>0</v>
      </c>
      <c r="AB521" s="200">
        <v>10</v>
      </c>
      <c r="AC521" s="200">
        <v>0</v>
      </c>
      <c r="AD521" s="200">
        <v>0</v>
      </c>
      <c r="AE521" s="200" t="s">
        <v>431</v>
      </c>
      <c r="AF521" s="495">
        <f ca="1">Table2[[#This Row],[End Date]]+2-TODAY()</f>
        <v>-9</v>
      </c>
      <c r="AG521" s="496">
        <f>IF(ISBLANK(Table2[[#This Row],[Roster Received by]]),1,0)</f>
        <v>0</v>
      </c>
      <c r="AH521" s="496">
        <f ca="1">IF(Table2[[#This Row],[Start Date]]&gt;TODAY(),1,)</f>
        <v>0</v>
      </c>
      <c r="AI521" s="496">
        <f>IF(ISBLANK(Table2[[#This Row],[Primary Instructor]]),0,1)</f>
        <v>1</v>
      </c>
      <c r="AJ521" s="496">
        <f>IF(ISBLANK(Table2[[#This Row],[Instructor 2]]),0,1)</f>
        <v>0</v>
      </c>
      <c r="AK521" s="496">
        <f>Table2[[#This Row],[Course Length (Hours)]]/(Table2[[#This Row],[1 Instructor]]+Table2[[#This Row],[2 Instructors]])</f>
        <v>32</v>
      </c>
      <c r="AL521" s="318">
        <v>15</v>
      </c>
      <c r="AM521" s="501">
        <v>4</v>
      </c>
      <c r="AN521" s="496" t="str">
        <f>VLOOKUP(Table2[[#This Row],[Course Title]],'TSD-Data'!$A$1:$G$83,7,FALSE)</f>
        <v>N5</v>
      </c>
      <c r="AO521" s="500">
        <f>Table2[[#This Row],[Quotas]]-Table2[[#This Row],[Graduates]]-Table2[[#This Row],[Fail]]</f>
        <v>20</v>
      </c>
    </row>
    <row r="522" spans="2:41" ht="15" customHeight="1" x14ac:dyDescent="0.25">
      <c r="B522" s="530"/>
      <c r="C522" s="530" t="s">
        <v>255</v>
      </c>
      <c r="D522" s="200" t="str">
        <f>VLOOKUP(Table2[[#This Row],[Course Title]],'TSD-Data'!$A$1:$E$83,2,FALSE)</f>
        <v>A-493-0085</v>
      </c>
      <c r="E522" s="200">
        <f>VLOOKUP(Table2[[#This Row],[Course Title]],'TSD-Data'!$A$1:$E$83,3,FALSE)</f>
        <v>3555</v>
      </c>
      <c r="F522" s="530" t="s">
        <v>54</v>
      </c>
      <c r="G522" s="531">
        <v>46230</v>
      </c>
      <c r="H522" s="531">
        <v>46233</v>
      </c>
      <c r="I522" s="531" t="s">
        <v>42</v>
      </c>
      <c r="J522" s="532"/>
      <c r="K522" s="532">
        <v>0.33333333333333331</v>
      </c>
      <c r="L522" s="532">
        <v>0.20833333333333334</v>
      </c>
      <c r="M522" s="532">
        <v>0.625</v>
      </c>
      <c r="N522" s="532">
        <v>0.54166666666666663</v>
      </c>
      <c r="O522" s="532">
        <v>8.3333333333333329E-2</v>
      </c>
      <c r="P522" s="532">
        <v>0.875</v>
      </c>
      <c r="Q522" s="535" t="s">
        <v>111</v>
      </c>
      <c r="R522" s="535" t="s">
        <v>67</v>
      </c>
      <c r="S522" s="535"/>
      <c r="T522" s="200">
        <f>VLOOKUP(Table2[[#This Row],[Course Title]],'TSD-Data'!$A$1:$E$83,4,FALSE)</f>
        <v>45</v>
      </c>
      <c r="U522" s="200">
        <f>VLOOKUP(Table2[[#This Row],[Course Title]],'TSD-Data'!$A$1:$F$83,6,FALSE)</f>
        <v>32</v>
      </c>
      <c r="V522" s="201">
        <f>VLOOKUP(Table2[[#This Row],[Course Title]],'TSD-Data'!$A$1:$F$83,5,FALSE)</f>
        <v>4</v>
      </c>
      <c r="W522" s="201">
        <v>397</v>
      </c>
      <c r="X522" s="200">
        <f>Table2[[#This Row],[Quotas]]-Table2[[#This Row],[Open Quotas]]</f>
        <v>32</v>
      </c>
      <c r="Y522" s="200">
        <v>0</v>
      </c>
      <c r="Z522" s="201">
        <v>26</v>
      </c>
      <c r="AA522" s="201">
        <v>2</v>
      </c>
      <c r="AB522" s="200">
        <v>5</v>
      </c>
      <c r="AC522" s="200">
        <v>0</v>
      </c>
      <c r="AD522" s="200">
        <v>0</v>
      </c>
      <c r="AE522" s="200" t="s">
        <v>429</v>
      </c>
      <c r="AF522" s="495">
        <f ca="1">Table2[[#This Row],[End Date]]+2-TODAY()</f>
        <v>-9</v>
      </c>
      <c r="AG522" s="496">
        <f>IF(ISBLANK(Table2[[#This Row],[Roster Received by]]),1,0)</f>
        <v>0</v>
      </c>
      <c r="AH522" s="496">
        <f ca="1">IF(Table2[[#This Row],[Start Date]]&gt;TODAY(),1,)</f>
        <v>0</v>
      </c>
      <c r="AI522" s="496">
        <f>IF(ISBLANK(Table2[[#This Row],[Primary Instructor]]),0,1)</f>
        <v>1</v>
      </c>
      <c r="AJ522" s="496">
        <f>IF(ISBLANK(Table2[[#This Row],[Instructor 2]]),0,1)</f>
        <v>1</v>
      </c>
      <c r="AK522" s="496">
        <f>Table2[[#This Row],[Course Length (Hours)]]/(Table2[[#This Row],[1 Instructor]]+Table2[[#This Row],[2 Instructors]])</f>
        <v>16</v>
      </c>
      <c r="AL522" s="318">
        <v>13</v>
      </c>
      <c r="AM522" s="501">
        <v>4</v>
      </c>
      <c r="AN522" s="496" t="str">
        <f>VLOOKUP(Table2[[#This Row],[Course Title]],'TSD-Data'!$A$1:$G$83,7,FALSE)</f>
        <v>N3</v>
      </c>
      <c r="AO522" s="500">
        <f>Table2[[#This Row],[Quotas]]-Table2[[#This Row],[Graduates]]-Table2[[#This Row],[Fail]]</f>
        <v>17</v>
      </c>
    </row>
    <row r="523" spans="2:41" ht="15" customHeight="1" x14ac:dyDescent="0.25">
      <c r="B523" s="83"/>
      <c r="C523" s="83" t="s">
        <v>491</v>
      </c>
      <c r="D523" s="59" t="str">
        <f>VLOOKUP(Table2[[#This Row],[Course Title]],'TSD-Data'!$A$1:$E$83,2,FALSE)</f>
        <v xml:space="preserve">A-493-2021 </v>
      </c>
      <c r="E523" s="59" t="str">
        <f>VLOOKUP(Table2[[#This Row],[Course Title]],'TSD-Data'!$A$1:$E$83,3,FALSE)</f>
        <v>33DB</v>
      </c>
      <c r="F523" s="83" t="s">
        <v>54</v>
      </c>
      <c r="G523" s="61">
        <v>46230</v>
      </c>
      <c r="H523" s="61">
        <v>46230</v>
      </c>
      <c r="I523" s="61" t="s">
        <v>42</v>
      </c>
      <c r="J523" s="64"/>
      <c r="K523" s="566">
        <v>0.79166666666666663</v>
      </c>
      <c r="L523" s="64">
        <v>0.66666666666666663</v>
      </c>
      <c r="M523" s="64">
        <v>8.3333333333333329E-2</v>
      </c>
      <c r="N523" s="64">
        <v>4.1666666666666664E-2</v>
      </c>
      <c r="O523" s="64">
        <v>0.58333333333333337</v>
      </c>
      <c r="P523" s="64">
        <v>0.33333333333333331</v>
      </c>
      <c r="Q523" s="73" t="s">
        <v>445</v>
      </c>
      <c r="R523" s="73" t="s">
        <v>483</v>
      </c>
      <c r="S523" s="73"/>
      <c r="T523" s="59">
        <f>VLOOKUP(Table2[[#This Row],[Course Title]],'TSD-Data'!$A$1:$E$83,4,FALSE)</f>
        <v>1000</v>
      </c>
      <c r="U523" s="59">
        <f>VLOOKUP(Table2[[#This Row],[Course Title]],'TSD-Data'!$A$1:$F$83,6,FALSE)</f>
        <v>2</v>
      </c>
      <c r="V523" s="63">
        <f>VLOOKUP(Table2[[#This Row],[Course Title]],'TSD-Data'!$A$1:$F$83,5,FALSE)</f>
        <v>0.25</v>
      </c>
      <c r="W523" s="63"/>
      <c r="X523" s="59">
        <f>Table2[[#This Row],[Quotas]]-Table2[[#This Row],[Open Quotas]]</f>
        <v>112</v>
      </c>
      <c r="Y523" s="59"/>
      <c r="Z523" s="63"/>
      <c r="AA523" s="63"/>
      <c r="AB523" s="59"/>
      <c r="AC523" s="59"/>
      <c r="AD523" s="59"/>
      <c r="AE523" s="59"/>
      <c r="AF523" s="63">
        <f ca="1">Table2[[#This Row],[End Date]]+2-TODAY()</f>
        <v>-12</v>
      </c>
      <c r="AG523" s="59">
        <f>IF(ISBLANK(Table2[[#This Row],[Roster Received by]]),1,0)</f>
        <v>1</v>
      </c>
      <c r="AH523" s="59">
        <f ca="1">IF(Table2[[#This Row],[Start Date]]&gt;TODAY(),1,)</f>
        <v>0</v>
      </c>
      <c r="AI523" s="59">
        <f>IF(ISBLANK(Table2[[#This Row],[Primary Instructor]]),0,1)</f>
        <v>1</v>
      </c>
      <c r="AJ523" s="59">
        <f>IF(ISBLANK(Table2[[#This Row],[Instructor 2]]),0,1)</f>
        <v>1</v>
      </c>
      <c r="AK523" s="59">
        <f>AJ849</f>
        <v>0</v>
      </c>
      <c r="AL523" s="113">
        <v>888</v>
      </c>
      <c r="AM523" s="59"/>
      <c r="AN523" s="59" t="str">
        <f>VLOOKUP(Table2[[#This Row],[Course Title]],'TSD-Data'!$A$1:$G$83,7,FALSE)</f>
        <v>N8-RMI</v>
      </c>
      <c r="AO523" s="508">
        <f>Table2[[#This Row],[Quotas]]-Table2[[#This Row],[Graduates]]-Table2[[#This Row],[Fail]]</f>
        <v>1000</v>
      </c>
    </row>
    <row r="524" spans="2:41" s="202" customFormat="1" ht="15" customHeight="1" x14ac:dyDescent="0.25">
      <c r="B524" s="530"/>
      <c r="C524" s="530" t="s">
        <v>56</v>
      </c>
      <c r="D524" s="200" t="str">
        <f>VLOOKUP(Table2[[#This Row],[Course Title]],'TSD-Data'!$A$1:$E$83,2,FALSE)</f>
        <v>A-493-0550</v>
      </c>
      <c r="E524" s="200" t="str">
        <f>VLOOKUP(Table2[[#This Row],[Course Title]],'TSD-Data'!$A$1:$E$83,3,FALSE)</f>
        <v>09K5</v>
      </c>
      <c r="F524" s="530" t="s">
        <v>54</v>
      </c>
      <c r="G524" s="531">
        <v>46231</v>
      </c>
      <c r="H524" s="531">
        <v>46234</v>
      </c>
      <c r="I524" s="531" t="s">
        <v>42</v>
      </c>
      <c r="J524" s="532"/>
      <c r="K524" s="532">
        <v>0.33333333333333331</v>
      </c>
      <c r="L524" s="532">
        <v>0.20833333333333334</v>
      </c>
      <c r="M524" s="532">
        <v>0.625</v>
      </c>
      <c r="N524" s="532">
        <v>0.54166666666666663</v>
      </c>
      <c r="O524" s="532">
        <v>8.3333333333333329E-2</v>
      </c>
      <c r="P524" s="532">
        <v>0.875</v>
      </c>
      <c r="Q524" s="535" t="s">
        <v>427</v>
      </c>
      <c r="R524" s="535"/>
      <c r="S524" s="535"/>
      <c r="T524" s="200">
        <f>VLOOKUP(Table2[[#This Row],[Course Title]],'TSD-Data'!$A$1:$E$83,4,FALSE)</f>
        <v>45</v>
      </c>
      <c r="U524" s="200">
        <f>VLOOKUP(Table2[[#This Row],[Course Title]],'TSD-Data'!$A$1:$F$83,6,FALSE)</f>
        <v>32</v>
      </c>
      <c r="V524" s="201">
        <f>VLOOKUP(Table2[[#This Row],[Course Title]],'TSD-Data'!$A$1:$F$83,5,FALSE)</f>
        <v>4</v>
      </c>
      <c r="W524" s="201">
        <v>455</v>
      </c>
      <c r="X524" s="200">
        <f>Table2[[#This Row],[Quotas]]-Table2[[#This Row],[Open Quotas]]</f>
        <v>44</v>
      </c>
      <c r="Y524" s="200">
        <v>0</v>
      </c>
      <c r="Z524" s="201">
        <v>36</v>
      </c>
      <c r="AA524" s="201">
        <v>0</v>
      </c>
      <c r="AB524" s="200">
        <v>10</v>
      </c>
      <c r="AC524" s="200">
        <v>1</v>
      </c>
      <c r="AD524" s="200">
        <v>0</v>
      </c>
      <c r="AE524" s="200" t="s">
        <v>431</v>
      </c>
      <c r="AF524" s="495">
        <f ca="1">Table2[[#This Row],[End Date]]+2-TODAY()</f>
        <v>-8</v>
      </c>
      <c r="AG524" s="496">
        <f>IF(ISBLANK(Table2[[#This Row],[Roster Received by]]),1,0)</f>
        <v>0</v>
      </c>
      <c r="AH524" s="496">
        <f ca="1">IF(Table2[[#This Row],[Start Date]]&gt;TODAY(),1,)</f>
        <v>0</v>
      </c>
      <c r="AI524" s="496">
        <f>IF(ISBLANK(Table2[[#This Row],[Primary Instructor]]),0,1)</f>
        <v>1</v>
      </c>
      <c r="AJ524" s="496">
        <f>IF(ISBLANK(Table2[[#This Row],[Instructor 2]]),0,1)</f>
        <v>0</v>
      </c>
      <c r="AK524" s="496">
        <f>Table2[[#This Row],[Course Length (Hours)]]/(Table2[[#This Row],[1 Instructor]]+Table2[[#This Row],[2 Instructors]])</f>
        <v>32</v>
      </c>
      <c r="AL524" s="318">
        <v>1</v>
      </c>
      <c r="AM524" s="501">
        <v>4</v>
      </c>
      <c r="AN524" s="496" t="str">
        <f>VLOOKUP(Table2[[#This Row],[Course Title]],'TSD-Data'!$A$1:$G$83,7,FALSE)</f>
        <v>N5</v>
      </c>
      <c r="AO524" s="500">
        <f>Table2[[#This Row],[Quotas]]-Table2[[#This Row],[Graduates]]-Table2[[#This Row],[Fail]]</f>
        <v>9</v>
      </c>
    </row>
    <row r="525" spans="2:41" s="202" customFormat="1" ht="15" customHeight="1" x14ac:dyDescent="0.25">
      <c r="B525" s="530"/>
      <c r="C525" s="530" t="s">
        <v>491</v>
      </c>
      <c r="D525" s="200" t="str">
        <f>VLOOKUP(Table2[[#This Row],[Course Title]],'TSD-Data'!$A$1:$E$83,2,FALSE)</f>
        <v xml:space="preserve">A-493-2021 </v>
      </c>
      <c r="E525" s="200" t="str">
        <f>VLOOKUP(Table2[[#This Row],[Course Title]],'TSD-Data'!$A$1:$E$83,3,FALSE)</f>
        <v>33DB</v>
      </c>
      <c r="F525" s="530" t="s">
        <v>54</v>
      </c>
      <c r="G525" s="531">
        <v>46231</v>
      </c>
      <c r="H525" s="531">
        <v>46231</v>
      </c>
      <c r="I525" s="531" t="s">
        <v>42</v>
      </c>
      <c r="J525" s="532"/>
      <c r="K525" s="558">
        <v>0.33333333333333331</v>
      </c>
      <c r="L525" s="532">
        <v>0.20833333333333334</v>
      </c>
      <c r="M525" s="532">
        <v>0.625</v>
      </c>
      <c r="N525" s="532">
        <v>0.58333333333333337</v>
      </c>
      <c r="O525" s="532">
        <v>0.125</v>
      </c>
      <c r="P525" s="532">
        <v>0.875</v>
      </c>
      <c r="Q525" s="535" t="s">
        <v>445</v>
      </c>
      <c r="R525" s="535" t="s">
        <v>483</v>
      </c>
      <c r="S525" s="535"/>
      <c r="T525" s="200">
        <f>VLOOKUP(Table2[[#This Row],[Course Title]],'TSD-Data'!$A$1:$E$83,4,FALSE)</f>
        <v>1000</v>
      </c>
      <c r="U525" s="200">
        <f>VLOOKUP(Table2[[#This Row],[Course Title]],'TSD-Data'!$A$1:$F$83,6,FALSE)</f>
        <v>2</v>
      </c>
      <c r="V525" s="201">
        <f>VLOOKUP(Table2[[#This Row],[Course Title]],'TSD-Data'!$A$1:$F$83,5,FALSE)</f>
        <v>0.25</v>
      </c>
      <c r="W525" s="201"/>
      <c r="X525" s="200">
        <f>Table2[[#This Row],[Quotas]]-Table2[[#This Row],[Open Quotas]]</f>
        <v>112</v>
      </c>
      <c r="Y525" s="200"/>
      <c r="Z525" s="201">
        <v>6</v>
      </c>
      <c r="AA525" s="201">
        <v>0</v>
      </c>
      <c r="AB525" s="200">
        <v>0</v>
      </c>
      <c r="AC525" s="200">
        <v>0</v>
      </c>
      <c r="AD525" s="200">
        <v>0</v>
      </c>
      <c r="AE525" s="200" t="s">
        <v>428</v>
      </c>
      <c r="AF525" s="201">
        <f ca="1">Table2[[#This Row],[End Date]]+2-TODAY()</f>
        <v>-11</v>
      </c>
      <c r="AG525" s="200">
        <f>IF(ISBLANK(Table2[[#This Row],[Roster Received by]]),1,0)</f>
        <v>0</v>
      </c>
      <c r="AH525" s="200">
        <f ca="1">IF(Table2[[#This Row],[Start Date]]&gt;TODAY(),1,)</f>
        <v>0</v>
      </c>
      <c r="AI525" s="200">
        <f>IF(ISBLANK(Table2[[#This Row],[Primary Instructor]]),0,1)</f>
        <v>1</v>
      </c>
      <c r="AJ525" s="200">
        <f>IF(ISBLANK(Table2[[#This Row],[Instructor 2]]),0,1)</f>
        <v>1</v>
      </c>
      <c r="AK525" s="200">
        <f>AJ851</f>
        <v>0</v>
      </c>
      <c r="AL525" s="318">
        <v>888</v>
      </c>
      <c r="AM525" s="200"/>
      <c r="AN525" s="200" t="str">
        <f>VLOOKUP(Table2[[#This Row],[Course Title]],'TSD-Data'!$A$1:$G$83,7,FALSE)</f>
        <v>N8-RMI</v>
      </c>
      <c r="AO525" s="518">
        <f>Table2[[#This Row],[Quotas]]-Table2[[#This Row],[Graduates]]-Table2[[#This Row],[Fail]]</f>
        <v>994</v>
      </c>
    </row>
    <row r="526" spans="2:41" s="202" customFormat="1" ht="15" customHeight="1" x14ac:dyDescent="0.25">
      <c r="B526" s="530"/>
      <c r="C526" s="530" t="s">
        <v>491</v>
      </c>
      <c r="D526" s="200" t="str">
        <f>VLOOKUP(Table2[[#This Row],[Course Title]],'TSD-Data'!$A$1:$E$83,2,FALSE)</f>
        <v xml:space="preserve">A-493-2021 </v>
      </c>
      <c r="E526" s="200" t="str">
        <f>VLOOKUP(Table2[[#This Row],[Course Title]],'TSD-Data'!$A$1:$E$83,3,FALSE)</f>
        <v>33DB</v>
      </c>
      <c r="F526" s="530" t="s">
        <v>54</v>
      </c>
      <c r="G526" s="531">
        <v>46231</v>
      </c>
      <c r="H526" s="531">
        <v>46231</v>
      </c>
      <c r="I526" s="531" t="s">
        <v>42</v>
      </c>
      <c r="J526" s="532"/>
      <c r="K526" s="558">
        <v>0.45833333333333331</v>
      </c>
      <c r="L526" s="532">
        <v>0.33333333333333331</v>
      </c>
      <c r="M526" s="532">
        <v>0.75</v>
      </c>
      <c r="N526" s="532">
        <v>0.70833333333333337</v>
      </c>
      <c r="O526" s="532">
        <v>0.25</v>
      </c>
      <c r="P526" s="532">
        <v>6.9444444444444447E-4</v>
      </c>
      <c r="Q526" s="535" t="s">
        <v>445</v>
      </c>
      <c r="R526" s="535" t="s">
        <v>483</v>
      </c>
      <c r="S526" s="535"/>
      <c r="T526" s="200">
        <f>VLOOKUP(Table2[[#This Row],[Course Title]],'TSD-Data'!$A$1:$E$83,4,FALSE)</f>
        <v>1000</v>
      </c>
      <c r="U526" s="200">
        <f>VLOOKUP(Table2[[#This Row],[Course Title]],'TSD-Data'!$A$1:$F$83,6,FALSE)</f>
        <v>2</v>
      </c>
      <c r="V526" s="201">
        <f>VLOOKUP(Table2[[#This Row],[Course Title]],'TSD-Data'!$A$1:$F$83,5,FALSE)</f>
        <v>0.25</v>
      </c>
      <c r="W526" s="201"/>
      <c r="X526" s="200">
        <f>Table2[[#This Row],[Quotas]]-Table2[[#This Row],[Open Quotas]]</f>
        <v>112</v>
      </c>
      <c r="Y526" s="200"/>
      <c r="Z526" s="201">
        <v>2</v>
      </c>
      <c r="AA526" s="201">
        <v>0</v>
      </c>
      <c r="AB526" s="200">
        <v>0</v>
      </c>
      <c r="AC526" s="200">
        <v>0</v>
      </c>
      <c r="AD526" s="200">
        <v>0</v>
      </c>
      <c r="AE526" s="200" t="s">
        <v>428</v>
      </c>
      <c r="AF526" s="201">
        <f ca="1">Table2[[#This Row],[End Date]]+2-TODAY()</f>
        <v>-11</v>
      </c>
      <c r="AG526" s="200">
        <f>IF(ISBLANK(Table2[[#This Row],[Roster Received by]]),1,0)</f>
        <v>0</v>
      </c>
      <c r="AH526" s="200">
        <f ca="1">IF(Table2[[#This Row],[Start Date]]&gt;TODAY(),1,)</f>
        <v>0</v>
      </c>
      <c r="AI526" s="200">
        <f>IF(ISBLANK(Table2[[#This Row],[Primary Instructor]]),0,1)</f>
        <v>1</v>
      </c>
      <c r="AJ526" s="200">
        <f>IF(ISBLANK(Table2[[#This Row],[Instructor 2]]),0,1)</f>
        <v>1</v>
      </c>
      <c r="AK526" s="200">
        <f>AJ852</f>
        <v>0</v>
      </c>
      <c r="AL526" s="318">
        <v>888</v>
      </c>
      <c r="AM526" s="200"/>
      <c r="AN526" s="200" t="str">
        <f>VLOOKUP(Table2[[#This Row],[Course Title]],'TSD-Data'!$A$1:$G$83,7,FALSE)</f>
        <v>N8-RMI</v>
      </c>
      <c r="AO526" s="518">
        <f>Table2[[#This Row],[Quotas]]-Table2[[#This Row],[Graduates]]-Table2[[#This Row],[Fail]]</f>
        <v>998</v>
      </c>
    </row>
    <row r="527" spans="2:41" s="202" customFormat="1" ht="15" customHeight="1" x14ac:dyDescent="0.25">
      <c r="B527" s="530"/>
      <c r="C527" s="530" t="s">
        <v>491</v>
      </c>
      <c r="D527" s="200" t="str">
        <f>VLOOKUP(Table2[[#This Row],[Course Title]],'TSD-Data'!$A$1:$E$83,2,FALSE)</f>
        <v xml:space="preserve">A-493-2021 </v>
      </c>
      <c r="E527" s="200" t="str">
        <f>VLOOKUP(Table2[[#This Row],[Course Title]],'TSD-Data'!$A$1:$E$83,3,FALSE)</f>
        <v>33DB</v>
      </c>
      <c r="F527" s="530" t="s">
        <v>54</v>
      </c>
      <c r="G527" s="531">
        <v>46231</v>
      </c>
      <c r="H527" s="531">
        <v>46231</v>
      </c>
      <c r="I527" s="531" t="s">
        <v>42</v>
      </c>
      <c r="J527" s="532"/>
      <c r="K527" s="558">
        <v>0.58333333333333337</v>
      </c>
      <c r="L527" s="532">
        <v>0.45833333333333331</v>
      </c>
      <c r="M527" s="532">
        <v>0.875</v>
      </c>
      <c r="N527" s="532">
        <v>0.83333333333333337</v>
      </c>
      <c r="O527" s="532">
        <v>0.375</v>
      </c>
      <c r="P527" s="532">
        <v>0.125</v>
      </c>
      <c r="Q527" s="535" t="s">
        <v>445</v>
      </c>
      <c r="R527" s="535" t="s">
        <v>483</v>
      </c>
      <c r="S527" s="535"/>
      <c r="T527" s="200">
        <f>VLOOKUP(Table2[[#This Row],[Course Title]],'TSD-Data'!$A$1:$E$83,4,FALSE)</f>
        <v>1000</v>
      </c>
      <c r="U527" s="200">
        <f>VLOOKUP(Table2[[#This Row],[Course Title]],'TSD-Data'!$A$1:$F$83,6,FALSE)</f>
        <v>2</v>
      </c>
      <c r="V527" s="201">
        <f>VLOOKUP(Table2[[#This Row],[Course Title]],'TSD-Data'!$A$1:$F$83,5,FALSE)</f>
        <v>0.25</v>
      </c>
      <c r="W527" s="201"/>
      <c r="X527" s="200">
        <f>Table2[[#This Row],[Quotas]]-Table2[[#This Row],[Open Quotas]]</f>
        <v>112</v>
      </c>
      <c r="Y527" s="200"/>
      <c r="Z527" s="201">
        <v>1</v>
      </c>
      <c r="AA527" s="201">
        <v>0</v>
      </c>
      <c r="AB527" s="200">
        <v>0</v>
      </c>
      <c r="AC527" s="200">
        <v>0</v>
      </c>
      <c r="AD527" s="200">
        <v>0</v>
      </c>
      <c r="AE527" s="200" t="s">
        <v>428</v>
      </c>
      <c r="AF527" s="201">
        <f ca="1">Table2[[#This Row],[End Date]]+2-TODAY()</f>
        <v>-11</v>
      </c>
      <c r="AG527" s="200">
        <f>IF(ISBLANK(Table2[[#This Row],[Roster Received by]]),1,0)</f>
        <v>0</v>
      </c>
      <c r="AH527" s="200">
        <f ca="1">IF(Table2[[#This Row],[Start Date]]&gt;TODAY(),1,)</f>
        <v>0</v>
      </c>
      <c r="AI527" s="200">
        <f>IF(ISBLANK(Table2[[#This Row],[Primary Instructor]]),0,1)</f>
        <v>1</v>
      </c>
      <c r="AJ527" s="200">
        <f>IF(ISBLANK(Table2[[#This Row],[Instructor 2]]),0,1)</f>
        <v>1</v>
      </c>
      <c r="AK527" s="200">
        <f>AJ853</f>
        <v>0</v>
      </c>
      <c r="AL527" s="318">
        <v>888</v>
      </c>
      <c r="AM527" s="200"/>
      <c r="AN527" s="200" t="str">
        <f>VLOOKUP(Table2[[#This Row],[Course Title]],'TSD-Data'!$A$1:$G$83,7,FALSE)</f>
        <v>N8-RMI</v>
      </c>
      <c r="AO527" s="518">
        <f>Table2[[#This Row],[Quotas]]-Table2[[#This Row],[Graduates]]-Table2[[#This Row],[Fail]]</f>
        <v>999</v>
      </c>
    </row>
    <row r="528" spans="2:41" s="202" customFormat="1" ht="15" customHeight="1" x14ac:dyDescent="0.25">
      <c r="B528" s="83"/>
      <c r="C528" s="83" t="s">
        <v>276</v>
      </c>
      <c r="D528" s="59" t="str">
        <f>VLOOKUP(Table2[[#This Row],[Course Title]],'TSD-Data'!$A$1:$E$83,2,FALSE)</f>
        <v>A-493-0103</v>
      </c>
      <c r="E528" s="59" t="str">
        <f>VLOOKUP(Table2[[#This Row],[Course Title]],'TSD-Data'!$A$1:$E$83,3,FALSE)</f>
        <v>12JY</v>
      </c>
      <c r="F528" s="198" t="s">
        <v>129</v>
      </c>
      <c r="G528" s="93">
        <v>46237</v>
      </c>
      <c r="H528" s="93">
        <v>46241</v>
      </c>
      <c r="I528" s="61" t="s">
        <v>42</v>
      </c>
      <c r="J528" s="64">
        <v>0.33333333333333331</v>
      </c>
      <c r="K528" s="64"/>
      <c r="L528" s="61"/>
      <c r="M528" s="61"/>
      <c r="N528" s="61"/>
      <c r="O528" s="61"/>
      <c r="P528" s="61"/>
      <c r="Q528" s="73" t="s">
        <v>280</v>
      </c>
      <c r="R528" s="73"/>
      <c r="S528" s="73"/>
      <c r="T528" s="59">
        <f>VLOOKUP(Table2[[#This Row],[Course Title]],'TSD-Data'!$A$1:$E$83,4,FALSE)</f>
        <v>25</v>
      </c>
      <c r="U528" s="59">
        <f>VLOOKUP(Table2[[#This Row],[Course Title]],'TSD-Data'!$A$1:$F$83,6,FALSE)</f>
        <v>40</v>
      </c>
      <c r="V528" s="63">
        <f>VLOOKUP(Table2[[#This Row],[Course Title]],'TSD-Data'!$A$1:$F$83,5,FALSE)</f>
        <v>5</v>
      </c>
      <c r="W528" s="63">
        <v>25</v>
      </c>
      <c r="X528" s="59">
        <f>Table2[[#This Row],[Quotas]]-Table2[[#This Row],[Open Quotas]]</f>
        <v>19</v>
      </c>
      <c r="Y528" s="59">
        <v>0</v>
      </c>
      <c r="Z528" s="63"/>
      <c r="AA528" s="63"/>
      <c r="AB528" s="59"/>
      <c r="AC528" s="59"/>
      <c r="AD528" s="59"/>
      <c r="AE528" s="59"/>
      <c r="AF528" s="149">
        <f ca="1">Table2[[#This Row],[End Date]]+2-TODAY()</f>
        <v>-1</v>
      </c>
      <c r="AG528" s="151">
        <f>IF(ISBLANK(Table2[[#This Row],[Roster Received by]]),1,0)</f>
        <v>1</v>
      </c>
      <c r="AH528" s="151">
        <f ca="1">IF(Table2[[#This Row],[Start Date]]&gt;TODAY(),1,)</f>
        <v>0</v>
      </c>
      <c r="AI528" s="151">
        <f>IF(ISBLANK(Table2[[#This Row],[Primary Instructor]]),0,1)</f>
        <v>1</v>
      </c>
      <c r="AJ528" s="151">
        <f>IF(ISBLANK(Table2[[#This Row],[Instructor 2]]),0,1)</f>
        <v>0</v>
      </c>
      <c r="AK528" s="496">
        <f>Table2[[#This Row],[Course Length (Hours)]]/(Table2[[#This Row],[1 Instructor]]+Table2[[#This Row],[2 Instructors]])</f>
        <v>40</v>
      </c>
      <c r="AL528" s="113">
        <v>6</v>
      </c>
      <c r="AM528" s="498">
        <v>4</v>
      </c>
      <c r="AN528" s="151" t="str">
        <f>VLOOKUP(Table2[[#This Row],[Course Title]],'TSD-Data'!$A$1:$G$83,7,FALSE)</f>
        <v>N5</v>
      </c>
      <c r="AO528" s="502">
        <f>Table2[[#This Row],[Quotas]]-Table2[[#This Row],[Graduates]]-Table2[[#This Row],[Fail]]</f>
        <v>25</v>
      </c>
    </row>
    <row r="529" spans="2:41" ht="15" customHeight="1" x14ac:dyDescent="0.25">
      <c r="B529" s="83"/>
      <c r="C529" s="83" t="s">
        <v>395</v>
      </c>
      <c r="D529" s="59" t="str">
        <f>VLOOKUP(Table2[[#This Row],[Course Title]],'TSD-Data'!$A$1:$E$83,2,FALSE)</f>
        <v>A-493-0030</v>
      </c>
      <c r="E529" s="59" t="str">
        <f>VLOOKUP(Table2[[#This Row],[Course Title]],'TSD-Data'!$A$1:$E$83,3,FALSE)</f>
        <v>286X</v>
      </c>
      <c r="F529" s="83" t="s">
        <v>112</v>
      </c>
      <c r="G529" s="61">
        <v>46237</v>
      </c>
      <c r="H529" s="61">
        <v>46241</v>
      </c>
      <c r="I529" s="61" t="s">
        <v>42</v>
      </c>
      <c r="J529" s="64">
        <v>0.33333333333333331</v>
      </c>
      <c r="K529" s="568"/>
      <c r="L529" s="61"/>
      <c r="M529" s="61"/>
      <c r="N529" s="61"/>
      <c r="O529" s="61"/>
      <c r="P529" s="61"/>
      <c r="Q529" s="73" t="s">
        <v>438</v>
      </c>
      <c r="R529" s="73"/>
      <c r="S529" s="73"/>
      <c r="T529" s="59">
        <f>VLOOKUP(Table2[[#This Row],[Course Title]],'TSD-Data'!$A$1:$E$83,4,FALSE)</f>
        <v>25</v>
      </c>
      <c r="U529" s="59">
        <f>VLOOKUP(Table2[[#This Row],[Course Title]],'TSD-Data'!$A$1:$F$83,6,FALSE)</f>
        <v>40</v>
      </c>
      <c r="V529" s="63">
        <f>VLOOKUP(Table2[[#This Row],[Course Title]],'TSD-Data'!$A$1:$F$83,5,FALSE)</f>
        <v>5</v>
      </c>
      <c r="W529" s="63">
        <v>94</v>
      </c>
      <c r="X529" s="59">
        <f>Table2[[#This Row],[Quotas]]-Table2[[#This Row],[Open Quotas]]</f>
        <v>15</v>
      </c>
      <c r="Y529" s="59">
        <v>0</v>
      </c>
      <c r="Z529" s="63"/>
      <c r="AA529" s="63"/>
      <c r="AB529" s="59"/>
      <c r="AC529" s="59"/>
      <c r="AD529" s="59"/>
      <c r="AE529" s="59"/>
      <c r="AF529" s="149">
        <f ca="1">Table2[[#This Row],[End Date]]+2-TODAY()</f>
        <v>-1</v>
      </c>
      <c r="AG529" s="151">
        <f>IF(ISBLANK(Table2[[#This Row],[Roster Received by]]),1,0)</f>
        <v>1</v>
      </c>
      <c r="AH529" s="151">
        <f ca="1">IF(Table2[[#This Row],[Start Date]]&gt;TODAY(),1,)</f>
        <v>0</v>
      </c>
      <c r="AI529" s="151">
        <f>IF(ISBLANK(Table2[[#This Row],[Primary Instructor]]),0,1)</f>
        <v>1</v>
      </c>
      <c r="AJ529" s="151">
        <f>IF(ISBLANK(Table2[[#This Row],[Instructor 2]]),0,1)</f>
        <v>0</v>
      </c>
      <c r="AK529" s="496">
        <f>Table2[[#This Row],[Course Length (Hours)]]/(Table2[[#This Row],[1 Instructor]]+Table2[[#This Row],[2 Instructors]])</f>
        <v>40</v>
      </c>
      <c r="AL529" s="113">
        <v>10</v>
      </c>
      <c r="AM529" s="498">
        <v>4</v>
      </c>
      <c r="AN529" s="151" t="str">
        <f>VLOOKUP(Table2[[#This Row],[Course Title]],'TSD-Data'!$A$1:$G$83,7,FALSE)</f>
        <v>N3</v>
      </c>
      <c r="AO529" s="502">
        <f>Table2[[#This Row],[Quotas]]-Table2[[#This Row],[Graduates]]-Table2[[#This Row],[Fail]]</f>
        <v>25</v>
      </c>
    </row>
    <row r="530" spans="2:41" ht="15" customHeight="1" x14ac:dyDescent="0.25">
      <c r="B530" s="46"/>
      <c r="C530" s="3" t="s">
        <v>49</v>
      </c>
      <c r="D530" s="59" t="str">
        <f>VLOOKUP(Table2[[#This Row],[Course Title]],'TSD-Data'!$A$1:$E$83,2,FALSE)</f>
        <v>A-493-0012</v>
      </c>
      <c r="E530" s="59">
        <f>VLOOKUP(Table2[[#This Row],[Course Title]],'TSD-Data'!$A$1:$E$83,3,FALSE)</f>
        <v>3682</v>
      </c>
      <c r="F530" s="83" t="s">
        <v>129</v>
      </c>
      <c r="G530" s="61">
        <v>46237</v>
      </c>
      <c r="H530" s="61">
        <v>46241</v>
      </c>
      <c r="I530" s="10" t="s">
        <v>42</v>
      </c>
      <c r="J530" s="64">
        <v>0.33333333333333331</v>
      </c>
      <c r="K530" s="64"/>
      <c r="L530" s="61"/>
      <c r="M530" s="61"/>
      <c r="N530" s="61"/>
      <c r="O530" s="61"/>
      <c r="P530" s="61"/>
      <c r="Q530" s="73" t="s">
        <v>450</v>
      </c>
      <c r="R530" s="73"/>
      <c r="S530" s="73"/>
      <c r="T530" s="59">
        <f>VLOOKUP(Table2[[#This Row],[Course Title]],'TSD-Data'!$A$1:$E$83,4,FALSE)</f>
        <v>40</v>
      </c>
      <c r="U530" s="59">
        <f>VLOOKUP(Table2[[#This Row],[Course Title]],'TSD-Data'!$A$1:$F$83,6,FALSE)</f>
        <v>40</v>
      </c>
      <c r="V530" s="63">
        <f>VLOOKUP(Table2[[#This Row],[Course Title]],'TSD-Data'!$A$1:$F$83,5,FALSE)</f>
        <v>5</v>
      </c>
      <c r="W530" s="63"/>
      <c r="X530" s="59">
        <f>Table2[[#This Row],[Quotas]]-Table2[[#This Row],[Open Quotas]]</f>
        <v>19</v>
      </c>
      <c r="Y530" s="59"/>
      <c r="Z530" s="63"/>
      <c r="AA530" s="63"/>
      <c r="AB530" s="59"/>
      <c r="AC530" s="59"/>
      <c r="AD530" s="59"/>
      <c r="AE530" s="59"/>
      <c r="AF530" s="63">
        <f ca="1">Table2[[#This Row],[End Date]]+2-TODAY()</f>
        <v>-1</v>
      </c>
      <c r="AG530" s="59">
        <f>IF(ISBLANK(Table2[[#This Row],[Roster Received by]]),1,0)</f>
        <v>1</v>
      </c>
      <c r="AH530" s="59">
        <f ca="1">IF(Table2[[#This Row],[Start Date]]&gt;TODAY(),1,)</f>
        <v>0</v>
      </c>
      <c r="AI530" s="59">
        <f>IF(ISBLANK(Table2[[#This Row],[Primary Instructor]]),0,1)</f>
        <v>1</v>
      </c>
      <c r="AJ530" s="59">
        <f>IF(ISBLANK(Table2[[#This Row],[Instructor 2]]),0,1)</f>
        <v>0</v>
      </c>
      <c r="AK530" s="59">
        <f>AJ889</f>
        <v>0</v>
      </c>
      <c r="AL530" s="113">
        <v>21</v>
      </c>
      <c r="AM530" s="59"/>
      <c r="AN530" s="59" t="str">
        <f>VLOOKUP(Table2[[#This Row],[Course Title]],'TSD-Data'!$A$1:$G$83,7,FALSE)</f>
        <v>N4</v>
      </c>
      <c r="AO530" s="508">
        <f>Table2[[#This Row],[Quotas]]-Table2[[#This Row],[Graduates]]-Table2[[#This Row],[Fail]]</f>
        <v>40</v>
      </c>
    </row>
    <row r="531" spans="2:41" ht="15" customHeight="1" x14ac:dyDescent="0.25">
      <c r="B531" s="83"/>
      <c r="C531" s="87" t="s">
        <v>77</v>
      </c>
      <c r="D531" s="59" t="str">
        <f>VLOOKUP(Table2[[#This Row],[Course Title]],'TSD-Data'!$A$1:$E$83,2,FALSE)</f>
        <v>A-493-0072</v>
      </c>
      <c r="E531" s="59" t="str">
        <f>VLOOKUP(Table2[[#This Row],[Course Title]],'TSD-Data'!$A$1:$E$83,3,FALSE)</f>
        <v>713U</v>
      </c>
      <c r="F531" s="198" t="s">
        <v>101</v>
      </c>
      <c r="G531" s="569">
        <v>46237</v>
      </c>
      <c r="H531" s="569">
        <v>46241</v>
      </c>
      <c r="I531" s="61" t="s">
        <v>42</v>
      </c>
      <c r="J531" s="64">
        <v>0.33333333333333331</v>
      </c>
      <c r="K531" s="64"/>
      <c r="L531" s="61"/>
      <c r="M531" s="61"/>
      <c r="N531" s="61"/>
      <c r="O531" s="61"/>
      <c r="P531" s="61"/>
      <c r="Q531" s="73" t="s">
        <v>62</v>
      </c>
      <c r="R531" s="73" t="s">
        <v>111</v>
      </c>
      <c r="S531" s="73"/>
      <c r="T531" s="59">
        <f>VLOOKUP(Table2[[#This Row],[Course Title]],'TSD-Data'!$A$1:$E$83,4,FALSE)</f>
        <v>30</v>
      </c>
      <c r="U531" s="59">
        <f>VLOOKUP(Table2[[#This Row],[Course Title]],'TSD-Data'!$A$1:$F$83,6,FALSE)</f>
        <v>40</v>
      </c>
      <c r="V531" s="63">
        <f>VLOOKUP(Table2[[#This Row],[Course Title]],'TSD-Data'!$A$1:$F$83,5,FALSE)</f>
        <v>5</v>
      </c>
      <c r="W531" s="63">
        <v>265</v>
      </c>
      <c r="X531" s="59">
        <f>Table2[[#This Row],[Quotas]]-Table2[[#This Row],[Open Quotas]]</f>
        <v>30</v>
      </c>
      <c r="Y531" s="59">
        <v>4</v>
      </c>
      <c r="Z531" s="63"/>
      <c r="AA531" s="63"/>
      <c r="AB531" s="59"/>
      <c r="AC531" s="59"/>
      <c r="AD531" s="59"/>
      <c r="AE531" s="59"/>
      <c r="AF531" s="149">
        <f ca="1">Table2[[#This Row],[End Date]]+2-TODAY()</f>
        <v>-1</v>
      </c>
      <c r="AG531" s="151">
        <f>IF(ISBLANK(Table2[[#This Row],[Roster Received by]]),1,0)</f>
        <v>1</v>
      </c>
      <c r="AH531" s="151">
        <f ca="1">IF(Table2[[#This Row],[Start Date]]&gt;TODAY(),1,)</f>
        <v>0</v>
      </c>
      <c r="AI531" s="151">
        <f>IF(ISBLANK(Table2[[#This Row],[Primary Instructor]]),0,1)</f>
        <v>1</v>
      </c>
      <c r="AJ531" s="151">
        <f>IF(ISBLANK(Table2[[#This Row],[Instructor 2]]),0,1)</f>
        <v>1</v>
      </c>
      <c r="AK531" s="496">
        <f>Table2[[#This Row],[Course Length (Hours)]]/(Table2[[#This Row],[1 Instructor]]+Table2[[#This Row],[2 Instructors]])</f>
        <v>20</v>
      </c>
      <c r="AL531" s="113">
        <v>0</v>
      </c>
      <c r="AM531" s="498">
        <v>4</v>
      </c>
      <c r="AN531" s="151" t="str">
        <f>VLOOKUP(Table2[[#This Row],[Course Title]],'TSD-Data'!$A$1:$G$83,7,FALSE)</f>
        <v>N3</v>
      </c>
      <c r="AO531" s="502">
        <f>Table2[[#This Row],[Quotas]]-Table2[[#This Row],[Graduates]]-Table2[[#This Row],[Fail]]</f>
        <v>30</v>
      </c>
    </row>
    <row r="532" spans="2:41" s="202" customFormat="1" ht="15" customHeight="1" x14ac:dyDescent="0.25">
      <c r="B532" s="530" t="s">
        <v>448</v>
      </c>
      <c r="C532" s="87" t="s">
        <v>38</v>
      </c>
      <c r="D532" s="59" t="str">
        <f>VLOOKUP(Table2[[#This Row],[Course Title]],'TSD-Data'!$A$1:$E$83,2,FALSE)</f>
        <v>A-493-2099</v>
      </c>
      <c r="E532" s="59" t="str">
        <f>VLOOKUP(Table2[[#This Row],[Course Title]],'TSD-Data'!$A$1:$E$83,3,FALSE)</f>
        <v>438G</v>
      </c>
      <c r="F532" s="83" t="s">
        <v>61</v>
      </c>
      <c r="G532" s="61">
        <v>46237</v>
      </c>
      <c r="H532" s="61">
        <v>46238</v>
      </c>
      <c r="I532" s="61" t="s">
        <v>42</v>
      </c>
      <c r="J532" s="64">
        <v>0.33333333333333331</v>
      </c>
      <c r="K532" s="64"/>
      <c r="L532" s="61"/>
      <c r="M532" s="61"/>
      <c r="N532" s="61"/>
      <c r="O532" s="61"/>
      <c r="P532" s="61"/>
      <c r="Q532" s="73" t="s">
        <v>43</v>
      </c>
      <c r="R532" s="73"/>
      <c r="S532" s="73"/>
      <c r="T532" s="59">
        <f>VLOOKUP(Table2[[#This Row],[Course Title]],'TSD-Data'!$A$1:$E$83,4,FALSE)</f>
        <v>30</v>
      </c>
      <c r="U532" s="59">
        <f>VLOOKUP(Table2[[#This Row],[Course Title]],'TSD-Data'!$A$1:$F$83,6,FALSE)</f>
        <v>16</v>
      </c>
      <c r="V532" s="63">
        <f>VLOOKUP(Table2[[#This Row],[Course Title]],'TSD-Data'!$A$1:$F$83,5,FALSE)</f>
        <v>2</v>
      </c>
      <c r="W532" s="63">
        <v>0</v>
      </c>
      <c r="X532" s="59">
        <f>Table2[[#This Row],[Quotas]]-Table2[[#This Row],[Open Quotas]]</f>
        <v>26</v>
      </c>
      <c r="Y532" s="59"/>
      <c r="Z532" s="63"/>
      <c r="AA532" s="63"/>
      <c r="AB532" s="59"/>
      <c r="AC532" s="59"/>
      <c r="AD532" s="59"/>
      <c r="AE532" s="59"/>
      <c r="AF532" s="149">
        <f ca="1">Table2[[#This Row],[End Date]]+2-TODAY()</f>
        <v>-4</v>
      </c>
      <c r="AG532" s="151">
        <f>IF(ISBLANK(Table2[[#This Row],[Roster Received by]]),1,0)</f>
        <v>1</v>
      </c>
      <c r="AH532" s="151">
        <f ca="1">IF(Table2[[#This Row],[Start Date]]&gt;TODAY(),1,)</f>
        <v>0</v>
      </c>
      <c r="AI532" s="151">
        <f>IF(ISBLANK(Table2[[#This Row],[Primary Instructor]]),0,1)</f>
        <v>1</v>
      </c>
      <c r="AJ532" s="151">
        <f>IF(ISBLANK(Table2[[#This Row],[Instructor 2]]),0,1)</f>
        <v>0</v>
      </c>
      <c r="AK532" s="496">
        <f>Table2[[#This Row],[Course Length (Hours)]]/(Table2[[#This Row],[1 Instructor]]+Table2[[#This Row],[2 Instructors]])</f>
        <v>16</v>
      </c>
      <c r="AL532" s="113">
        <v>4</v>
      </c>
      <c r="AM532" s="498">
        <v>4</v>
      </c>
      <c r="AN532" s="151" t="str">
        <f>VLOOKUP(Table2[[#This Row],[Course Title]],'TSD-Data'!$A$1:$G$83,7,FALSE)</f>
        <v>N8</v>
      </c>
      <c r="AO532" s="502">
        <f>Table2[[#This Row],[Quotas]]-Table2[[#This Row],[Graduates]]-Table2[[#This Row],[Fail]]</f>
        <v>30</v>
      </c>
    </row>
    <row r="533" spans="2:41" ht="15" customHeight="1" x14ac:dyDescent="0.25">
      <c r="B533" s="83"/>
      <c r="C533" s="83" t="s">
        <v>275</v>
      </c>
      <c r="D533" s="59" t="str">
        <f>VLOOKUP(Table2[[#This Row],[Course Title]],'TSD-Data'!$A$1:$E$83,2,FALSE)</f>
        <v>A-493-0099</v>
      </c>
      <c r="E533" s="59" t="str">
        <f>VLOOKUP(Table2[[#This Row],[Course Title]],'TSD-Data'!$A$1:$E$83,3,FALSE)</f>
        <v>12JW</v>
      </c>
      <c r="F533" s="83" t="s">
        <v>54</v>
      </c>
      <c r="G533" s="61">
        <v>46238</v>
      </c>
      <c r="H533" s="61">
        <v>46240</v>
      </c>
      <c r="I533" s="61" t="s">
        <v>42</v>
      </c>
      <c r="J533" s="64"/>
      <c r="K533" s="64">
        <v>0.33333333333333331</v>
      </c>
      <c r="L533" s="64">
        <v>0.20833333333333334</v>
      </c>
      <c r="M533" s="64">
        <v>0.625</v>
      </c>
      <c r="N533" s="64">
        <v>0.54166666666666663</v>
      </c>
      <c r="O533" s="64">
        <v>8.3333333333333329E-2</v>
      </c>
      <c r="P533" s="64">
        <v>0.875</v>
      </c>
      <c r="Q533" s="73" t="s">
        <v>274</v>
      </c>
      <c r="R533" s="73"/>
      <c r="S533" s="73"/>
      <c r="T533" s="59">
        <f>VLOOKUP(Table2[[#This Row],[Course Title]],'TSD-Data'!$A$1:$E$83,4,FALSE)</f>
        <v>45</v>
      </c>
      <c r="U533" s="59">
        <f>VLOOKUP(Table2[[#This Row],[Course Title]],'TSD-Data'!$A$1:$F$83,6,FALSE)</f>
        <v>24</v>
      </c>
      <c r="V533" s="63">
        <f>VLOOKUP(Table2[[#This Row],[Course Title]],'TSD-Data'!$A$1:$F$83,5,FALSE)</f>
        <v>3</v>
      </c>
      <c r="W533" s="63">
        <v>934</v>
      </c>
      <c r="X533" s="59">
        <f>Table2[[#This Row],[Quotas]]-Table2[[#This Row],[Open Quotas]]</f>
        <v>32</v>
      </c>
      <c r="Y533" s="59"/>
      <c r="Z533" s="63"/>
      <c r="AA533" s="63"/>
      <c r="AB533" s="59"/>
      <c r="AC533" s="59"/>
      <c r="AD533" s="59"/>
      <c r="AE533" s="59"/>
      <c r="AF533" s="149">
        <f ca="1">Table2[[#This Row],[End Date]]+2-TODAY()</f>
        <v>-2</v>
      </c>
      <c r="AG533" s="151">
        <f>IF(ISBLANK(Table2[[#This Row],[Roster Received by]]),1,0)</f>
        <v>1</v>
      </c>
      <c r="AH533" s="151">
        <f ca="1">IF(Table2[[#This Row],[Start Date]]&gt;TODAY(),1,)</f>
        <v>0</v>
      </c>
      <c r="AI533" s="151">
        <f>IF(ISBLANK(Table2[[#This Row],[Primary Instructor]]),0,1)</f>
        <v>1</v>
      </c>
      <c r="AJ533" s="151">
        <f>IF(ISBLANK(Table2[[#This Row],[Instructor 2]]),0,1)</f>
        <v>0</v>
      </c>
      <c r="AK533" s="496">
        <f>Table2[[#This Row],[Course Length (Hours)]]/(Table2[[#This Row],[1 Instructor]]+Table2[[#This Row],[2 Instructors]])</f>
        <v>24</v>
      </c>
      <c r="AL533" s="113">
        <v>13</v>
      </c>
      <c r="AM533" s="498">
        <v>4</v>
      </c>
      <c r="AN533" s="151" t="str">
        <f>VLOOKUP(Table2[[#This Row],[Course Title]],'TSD-Data'!$A$1:$G$83,7,FALSE)</f>
        <v>N5</v>
      </c>
      <c r="AO533" s="502">
        <f>Table2[[#This Row],[Quotas]]-Table2[[#This Row],[Graduates]]-Table2[[#This Row],[Fail]]</f>
        <v>45</v>
      </c>
    </row>
    <row r="534" spans="2:41" ht="15" customHeight="1" x14ac:dyDescent="0.25">
      <c r="B534" s="83"/>
      <c r="C534" s="83" t="s">
        <v>213</v>
      </c>
      <c r="D534" s="59" t="str">
        <f>VLOOKUP(Table2[[#This Row],[Course Title]],'TSD-Data'!$A$1:$E$83,2,FALSE)</f>
        <v>A-322-2604</v>
      </c>
      <c r="E534" s="59" t="str">
        <f>VLOOKUP(Table2[[#This Row],[Course Title]],'TSD-Data'!$A$1:$E$83,3,FALSE)</f>
        <v>10ZZ</v>
      </c>
      <c r="F534" s="83" t="s">
        <v>54</v>
      </c>
      <c r="G534" s="61">
        <v>46238</v>
      </c>
      <c r="H534" s="61">
        <v>46240</v>
      </c>
      <c r="I534" s="61" t="s">
        <v>42</v>
      </c>
      <c r="J534" s="64"/>
      <c r="K534" s="566">
        <v>0.79166666666666663</v>
      </c>
      <c r="L534" s="570">
        <v>0.66666666666666663</v>
      </c>
      <c r="M534" s="570">
        <v>8.3333333333333329E-2</v>
      </c>
      <c r="N534" s="570">
        <v>0</v>
      </c>
      <c r="O534" s="570">
        <v>0.54166666666666663</v>
      </c>
      <c r="P534" s="570">
        <v>0.33333333333333331</v>
      </c>
      <c r="Q534" s="73" t="s">
        <v>79</v>
      </c>
      <c r="R534" s="73"/>
      <c r="S534" s="73"/>
      <c r="T534" s="59">
        <f>VLOOKUP(Table2[[#This Row],[Course Title]],'TSD-Data'!$A$1:$E$83,4,FALSE)</f>
        <v>45</v>
      </c>
      <c r="U534" s="59">
        <f>VLOOKUP(Table2[[#This Row],[Course Title]],'TSD-Data'!$A$1:$F$83,6,FALSE)</f>
        <v>24</v>
      </c>
      <c r="V534" s="63">
        <f>VLOOKUP(Table2[[#This Row],[Course Title]],'TSD-Data'!$A$1:$F$83,5,FALSE)</f>
        <v>3</v>
      </c>
      <c r="W534" s="63">
        <v>174</v>
      </c>
      <c r="X534" s="59">
        <f>Table2[[#This Row],[Quotas]]-Table2[[#This Row],[Open Quotas]]</f>
        <v>43</v>
      </c>
      <c r="Y534" s="59">
        <v>3</v>
      </c>
      <c r="Z534" s="63"/>
      <c r="AA534" s="63"/>
      <c r="AB534" s="59"/>
      <c r="AC534" s="59"/>
      <c r="AD534" s="59"/>
      <c r="AE534" s="59"/>
      <c r="AF534" s="149">
        <f ca="1">Table2[[#This Row],[End Date]]+2-TODAY()</f>
        <v>-2</v>
      </c>
      <c r="AG534" s="151">
        <f>IF(ISBLANK(Table2[[#This Row],[Roster Received by]]),1,0)</f>
        <v>1</v>
      </c>
      <c r="AH534" s="151">
        <f ca="1">IF(Table2[[#This Row],[Start Date]]&gt;TODAY(),1,)</f>
        <v>0</v>
      </c>
      <c r="AI534" s="151">
        <f>IF(ISBLANK(Table2[[#This Row],[Primary Instructor]]),0,1)</f>
        <v>1</v>
      </c>
      <c r="AJ534" s="151">
        <f>IF(ISBLANK(Table2[[#This Row],[Instructor 2]]),0,1)</f>
        <v>0</v>
      </c>
      <c r="AK534" s="496">
        <f>Table2[[#This Row],[Course Length (Hours)]]/(Table2[[#This Row],[1 Instructor]]+Table2[[#This Row],[2 Instructors]])</f>
        <v>24</v>
      </c>
      <c r="AL534" s="113">
        <v>2</v>
      </c>
      <c r="AM534" s="498">
        <v>4</v>
      </c>
      <c r="AN534" s="151" t="str">
        <f>VLOOKUP(Table2[[#This Row],[Course Title]],'TSD-Data'!$A$1:$G$83,7,FALSE)</f>
        <v>N8</v>
      </c>
      <c r="AO534" s="502">
        <f>Table2[[#This Row],[Quotas]]-Table2[[#This Row],[Graduates]]-Table2[[#This Row],[Fail]]</f>
        <v>45</v>
      </c>
    </row>
    <row r="535" spans="2:41" s="202" customFormat="1" ht="15" customHeight="1" x14ac:dyDescent="0.25">
      <c r="B535" s="530"/>
      <c r="C535" s="542" t="s">
        <v>249</v>
      </c>
      <c r="D535" s="200" t="str">
        <f>VLOOKUP(Table2[[#This Row],[Course Title]],'TSD-Data'!$A$1:$E$83,2,FALSE)</f>
        <v>A-493-0331</v>
      </c>
      <c r="E535" s="200" t="str">
        <f>VLOOKUP(Table2[[#This Row],[Course Title]],'TSD-Data'!$A$1:$E$83,3,FALSE)</f>
        <v>10UG</v>
      </c>
      <c r="F535" s="530" t="s">
        <v>54</v>
      </c>
      <c r="G535" s="531">
        <v>46238</v>
      </c>
      <c r="H535" s="531">
        <v>46240</v>
      </c>
      <c r="I535" s="531" t="s">
        <v>42</v>
      </c>
      <c r="J535" s="532"/>
      <c r="K535" s="532">
        <v>0.5</v>
      </c>
      <c r="L535" s="536">
        <v>0.375</v>
      </c>
      <c r="M535" s="536">
        <v>0.79166666666666663</v>
      </c>
      <c r="N535" s="536">
        <v>0.75</v>
      </c>
      <c r="O535" s="536">
        <v>0.25</v>
      </c>
      <c r="P535" s="536">
        <v>4.1666666666666664E-2</v>
      </c>
      <c r="Q535" s="535" t="s">
        <v>295</v>
      </c>
      <c r="R535" s="535"/>
      <c r="S535" s="535"/>
      <c r="T535" s="200">
        <f>VLOOKUP(Table2[[#This Row],[Course Title]],'TSD-Data'!$A$1:$E$83,4,FALSE)</f>
        <v>45</v>
      </c>
      <c r="U535" s="200">
        <f>VLOOKUP(Table2[[#This Row],[Course Title]],'TSD-Data'!$A$1:$F$83,6,FALSE)</f>
        <v>24</v>
      </c>
      <c r="V535" s="201">
        <f>VLOOKUP(Table2[[#This Row],[Course Title]],'TSD-Data'!$A$1:$F$83,5,FALSE)</f>
        <v>3</v>
      </c>
      <c r="W535" s="201">
        <v>844</v>
      </c>
      <c r="X535" s="200">
        <f>Table2[[#This Row],[Quotas]]-Table2[[#This Row],[Open Quotas]]</f>
        <v>37</v>
      </c>
      <c r="Y535" s="200">
        <v>0</v>
      </c>
      <c r="Z535" s="201">
        <v>33</v>
      </c>
      <c r="AA535" s="201">
        <v>1</v>
      </c>
      <c r="AB535" s="200">
        <v>6</v>
      </c>
      <c r="AC535" s="200">
        <v>2</v>
      </c>
      <c r="AD535" s="200">
        <v>0</v>
      </c>
      <c r="AE535" s="200" t="s">
        <v>429</v>
      </c>
      <c r="AF535" s="495">
        <f ca="1">Table2[[#This Row],[End Date]]+2-TODAY()</f>
        <v>-2</v>
      </c>
      <c r="AG535" s="496">
        <f>IF(ISBLANK(Table2[[#This Row],[Roster Received by]]),1,0)</f>
        <v>0</v>
      </c>
      <c r="AH535" s="496">
        <f ca="1">IF(Table2[[#This Row],[Start Date]]&gt;TODAY(),1,)</f>
        <v>0</v>
      </c>
      <c r="AI535" s="496">
        <f>IF(ISBLANK(Table2[[#This Row],[Primary Instructor]]),0,1)</f>
        <v>1</v>
      </c>
      <c r="AJ535" s="496">
        <f>IF(ISBLANK(Table2[[#This Row],[Instructor 2]]),0,1)</f>
        <v>0</v>
      </c>
      <c r="AK535" s="496">
        <f>Table2[[#This Row],[Course Length (Hours)]]/(Table2[[#This Row],[1 Instructor]]+Table2[[#This Row],[2 Instructors]])</f>
        <v>24</v>
      </c>
      <c r="AL535" s="318">
        <v>8</v>
      </c>
      <c r="AM535" s="501">
        <v>4</v>
      </c>
      <c r="AN535" s="496" t="str">
        <f>VLOOKUP(Table2[[#This Row],[Course Title]],'TSD-Data'!$A$1:$G$83,7,FALSE)</f>
        <v>N3</v>
      </c>
      <c r="AO535" s="500">
        <f>Table2[[#This Row],[Quotas]]-Table2[[#This Row],[Graduates]]-Table2[[#This Row],[Fail]]</f>
        <v>11</v>
      </c>
    </row>
    <row r="536" spans="2:41" ht="15" customHeight="1" x14ac:dyDescent="0.25">
      <c r="B536" s="83"/>
      <c r="C536" s="83" t="s">
        <v>45</v>
      </c>
      <c r="D536" s="59" t="str">
        <f>VLOOKUP(Table2[[#This Row],[Course Title]],'TSD-Data'!$A$1:$E$83,2,FALSE)</f>
        <v>A-493-0013</v>
      </c>
      <c r="E536" s="59">
        <f>VLOOKUP(Table2[[#This Row],[Course Title]],'TSD-Data'!$A$1:$E$83,3,FALSE)</f>
        <v>3683</v>
      </c>
      <c r="F536" s="47" t="s">
        <v>125</v>
      </c>
      <c r="G536" s="61">
        <v>46238</v>
      </c>
      <c r="H536" s="61">
        <v>46240</v>
      </c>
      <c r="I536" s="61" t="s">
        <v>42</v>
      </c>
      <c r="J536" s="64">
        <v>0.33333333333333331</v>
      </c>
      <c r="K536" s="64"/>
      <c r="L536" s="61"/>
      <c r="M536" s="61"/>
      <c r="N536" s="61"/>
      <c r="O536" s="61"/>
      <c r="P536" s="61"/>
      <c r="Q536" s="73" t="s">
        <v>48</v>
      </c>
      <c r="R536" s="73"/>
      <c r="S536" s="73"/>
      <c r="T536" s="59">
        <f>VLOOKUP(Table2[[#This Row],[Course Title]],'TSD-Data'!$A$1:$E$83,4,FALSE)</f>
        <v>40</v>
      </c>
      <c r="U536" s="59">
        <f>VLOOKUP(Table2[[#This Row],[Course Title]],'TSD-Data'!$A$1:$F$83,6,FALSE)</f>
        <v>24</v>
      </c>
      <c r="V536" s="63">
        <f>VLOOKUP(Table2[[#This Row],[Course Title]],'TSD-Data'!$A$1:$F$83,5,FALSE)</f>
        <v>3</v>
      </c>
      <c r="W536" s="63"/>
      <c r="X536" s="59">
        <f>Table2[[#This Row],[Quotas]]-Table2[[#This Row],[Open Quotas]]</f>
        <v>3</v>
      </c>
      <c r="Y536" s="59"/>
      <c r="Z536" s="63"/>
      <c r="AA536" s="63"/>
      <c r="AB536" s="59"/>
      <c r="AC536" s="59"/>
      <c r="AD536" s="59"/>
      <c r="AE536" s="59"/>
      <c r="AF536" s="63">
        <f ca="1">Table2[[#This Row],[End Date]]+2-TODAY()</f>
        <v>-2</v>
      </c>
      <c r="AG536" s="59">
        <f>IF(ISBLANK(Table2[[#This Row],[Roster Received by]]),1,0)</f>
        <v>1</v>
      </c>
      <c r="AH536" s="59">
        <f ca="1">IF(Table2[[#This Row],[Start Date]]&gt;TODAY(),1,)</f>
        <v>0</v>
      </c>
      <c r="AI536" s="59">
        <f>IF(ISBLANK(Table2[[#This Row],[Primary Instructor]]),0,1)</f>
        <v>1</v>
      </c>
      <c r="AJ536" s="59">
        <f>IF(ISBLANK(Table2[[#This Row],[Instructor 2]]),0,1)</f>
        <v>0</v>
      </c>
      <c r="AK536" s="59">
        <f>AJ894</f>
        <v>0</v>
      </c>
      <c r="AL536" s="113">
        <v>37</v>
      </c>
      <c r="AM536" s="197"/>
      <c r="AN536" s="59" t="str">
        <f>VLOOKUP(Table2[[#This Row],[Course Title]],'TSD-Data'!$A$1:$G$83,7,FALSE)</f>
        <v>N4</v>
      </c>
      <c r="AO536" s="508">
        <f>Table2[[#This Row],[Quotas]]-Table2[[#This Row],[Graduates]]-Table2[[#This Row],[Fail]]</f>
        <v>40</v>
      </c>
    </row>
    <row r="537" spans="2:41" ht="15" customHeight="1" x14ac:dyDescent="0.25">
      <c r="B537" s="83"/>
      <c r="C537" s="83" t="s">
        <v>488</v>
      </c>
      <c r="D537" s="59" t="str">
        <f>VLOOKUP(Table2[[#This Row],[Course Title]],'TSD-Data'!$A$1:$E$83,2,FALSE)</f>
        <v xml:space="preserve">A-493-3019 </v>
      </c>
      <c r="E537" s="59" t="str">
        <f>VLOOKUP(Table2[[#This Row],[Course Title]],'TSD-Data'!$A$1:$E$83,3,FALSE)</f>
        <v>33D9</v>
      </c>
      <c r="F537" s="83" t="s">
        <v>54</v>
      </c>
      <c r="G537" s="61">
        <v>46238</v>
      </c>
      <c r="H537" s="61">
        <v>46238</v>
      </c>
      <c r="I537" s="61" t="s">
        <v>42</v>
      </c>
      <c r="J537" s="64"/>
      <c r="K537" s="64">
        <v>0.33333333333333331</v>
      </c>
      <c r="L537" s="64">
        <v>0.20833333333333334</v>
      </c>
      <c r="M537" s="64">
        <v>0.625</v>
      </c>
      <c r="N537" s="64">
        <v>0.58333333333333337</v>
      </c>
      <c r="O537" s="64">
        <v>0.125</v>
      </c>
      <c r="P537" s="64">
        <v>0.875</v>
      </c>
      <c r="Q537" s="73" t="s">
        <v>445</v>
      </c>
      <c r="R537" s="73" t="s">
        <v>483</v>
      </c>
      <c r="S537" s="73"/>
      <c r="T537" s="59">
        <f>VLOOKUP(Table2[[#This Row],[Course Title]],'TSD-Data'!$A$1:$E$83,4,FALSE)</f>
        <v>1000</v>
      </c>
      <c r="U537" s="59">
        <f>VLOOKUP(Table2[[#This Row],[Course Title]],'TSD-Data'!$A$1:$F$83,6,FALSE)</f>
        <v>2</v>
      </c>
      <c r="V537" s="63">
        <f>VLOOKUP(Table2[[#This Row],[Course Title]],'TSD-Data'!$A$1:$F$83,5,FALSE)</f>
        <v>0.25</v>
      </c>
      <c r="W537" s="63"/>
      <c r="X537" s="59">
        <f>Table2[[#This Row],[Quotas]]-Table2[[#This Row],[Open Quotas]]</f>
        <v>46</v>
      </c>
      <c r="Y537" s="59"/>
      <c r="Z537" s="63"/>
      <c r="AA537" s="63"/>
      <c r="AB537" s="59"/>
      <c r="AC537" s="59"/>
      <c r="AD537" s="59"/>
      <c r="AE537" s="59"/>
      <c r="AF537" s="63">
        <f ca="1">Table2[[#This Row],[End Date]]+2-TODAY()</f>
        <v>-4</v>
      </c>
      <c r="AG537" s="59">
        <f>IF(ISBLANK(Table2[[#This Row],[Roster Received by]]),1,0)</f>
        <v>1</v>
      </c>
      <c r="AH537" s="59">
        <f ca="1">IF(Table2[[#This Row],[Start Date]]&gt;TODAY(),1,)</f>
        <v>0</v>
      </c>
      <c r="AI537" s="59">
        <f>IF(ISBLANK(Table2[[#This Row],[Primary Instructor]]),0,1)</f>
        <v>1</v>
      </c>
      <c r="AJ537" s="59">
        <f>IF(ISBLANK(Table2[[#This Row],[Instructor 2]]),0,1)</f>
        <v>1</v>
      </c>
      <c r="AK537" s="59">
        <f>AJ863</f>
        <v>0</v>
      </c>
      <c r="AL537" s="113">
        <v>954</v>
      </c>
      <c r="AM537" s="59"/>
      <c r="AN537" s="59" t="str">
        <f>VLOOKUP(Table2[[#This Row],[Course Title]],'TSD-Data'!$A$1:$G$83,7,FALSE)</f>
        <v>N8-RMI</v>
      </c>
      <c r="AO537" s="508">
        <f>Table2[[#This Row],[Quotas]]-Table2[[#This Row],[Graduates]]-Table2[[#This Row],[Fail]]</f>
        <v>1000</v>
      </c>
    </row>
    <row r="538" spans="2:41" ht="15" customHeight="1" x14ac:dyDescent="0.25">
      <c r="B538" s="83"/>
      <c r="C538" s="83" t="s">
        <v>489</v>
      </c>
      <c r="D538" s="59" t="str">
        <f>VLOOKUP(Table2[[#This Row],[Course Title]],'TSD-Data'!$A$1:$E$83,2,FALSE)</f>
        <v xml:space="preserve">A-493-3020 </v>
      </c>
      <c r="E538" s="59" t="str">
        <f>VLOOKUP(Table2[[#This Row],[Course Title]],'TSD-Data'!$A$1:$E$83,3,FALSE)</f>
        <v>33DA</v>
      </c>
      <c r="F538" s="83" t="s">
        <v>54</v>
      </c>
      <c r="G538" s="61">
        <v>46238</v>
      </c>
      <c r="H538" s="61">
        <v>46238</v>
      </c>
      <c r="I538" s="61" t="s">
        <v>42</v>
      </c>
      <c r="J538" s="64"/>
      <c r="K538" s="64">
        <v>0.5</v>
      </c>
      <c r="L538" s="64">
        <v>0.375</v>
      </c>
      <c r="M538" s="64">
        <v>0.79166666666666663</v>
      </c>
      <c r="N538" s="64">
        <v>0.75</v>
      </c>
      <c r="O538" s="64">
        <v>0.29166666666666669</v>
      </c>
      <c r="P538" s="64">
        <v>4.1666666666666664E-2</v>
      </c>
      <c r="Q538" s="73" t="s">
        <v>445</v>
      </c>
      <c r="R538" s="73" t="s">
        <v>483</v>
      </c>
      <c r="S538" s="73"/>
      <c r="T538" s="59">
        <f>VLOOKUP(Table2[[#This Row],[Course Title]],'TSD-Data'!$A$1:$E$83,4,FALSE)</f>
        <v>1000</v>
      </c>
      <c r="U538" s="59">
        <f>VLOOKUP(Table2[[#This Row],[Course Title]],'TSD-Data'!$A$1:$F$83,6,FALSE)</f>
        <v>2</v>
      </c>
      <c r="V538" s="63">
        <f>VLOOKUP(Table2[[#This Row],[Course Title]],'TSD-Data'!$A$1:$F$83,5,FALSE)</f>
        <v>0.25</v>
      </c>
      <c r="W538" s="63"/>
      <c r="X538" s="59">
        <f>Table2[[#This Row],[Quotas]]-Table2[[#This Row],[Open Quotas]]</f>
        <v>46</v>
      </c>
      <c r="Y538" s="59"/>
      <c r="Z538" s="63"/>
      <c r="AA538" s="63"/>
      <c r="AB538" s="59"/>
      <c r="AC538" s="59"/>
      <c r="AD538" s="59"/>
      <c r="AE538" s="59"/>
      <c r="AF538" s="63">
        <f ca="1">Table2[[#This Row],[End Date]]+2-TODAY()</f>
        <v>-4</v>
      </c>
      <c r="AG538" s="59">
        <f>IF(ISBLANK(Table2[[#This Row],[Roster Received by]]),1,0)</f>
        <v>1</v>
      </c>
      <c r="AH538" s="59">
        <f ca="1">IF(Table2[[#This Row],[Start Date]]&gt;TODAY(),1,)</f>
        <v>0</v>
      </c>
      <c r="AI538" s="59">
        <f>IF(ISBLANK(Table2[[#This Row],[Primary Instructor]]),0,1)</f>
        <v>1</v>
      </c>
      <c r="AJ538" s="59">
        <f>IF(ISBLANK(Table2[[#This Row],[Instructor 2]]),0,1)</f>
        <v>1</v>
      </c>
      <c r="AK538" s="59">
        <f>AJ836</f>
        <v>0</v>
      </c>
      <c r="AL538" s="113">
        <v>954</v>
      </c>
      <c r="AM538" s="59"/>
      <c r="AN538" s="59" t="str">
        <f>VLOOKUP(Table2[[#This Row],[Course Title]],'TSD-Data'!$A$1:$G$83,7,FALSE)</f>
        <v>N8-RMI</v>
      </c>
      <c r="AO538" s="508">
        <f>Table2[[#This Row],[Quotas]]-Table2[[#This Row],[Graduates]]-Table2[[#This Row],[Fail]]</f>
        <v>1000</v>
      </c>
    </row>
    <row r="539" spans="2:41" ht="15" customHeight="1" x14ac:dyDescent="0.25">
      <c r="B539" s="83"/>
      <c r="C539" s="83" t="s">
        <v>276</v>
      </c>
      <c r="D539" s="59" t="str">
        <f>VLOOKUP(Table2[[#This Row],[Course Title]],'TSD-Data'!$A$1:$E$83,2,FALSE)</f>
        <v>A-493-0103</v>
      </c>
      <c r="E539" s="59" t="str">
        <f>VLOOKUP(Table2[[#This Row],[Course Title]],'TSD-Data'!$A$1:$E$83,3,FALSE)</f>
        <v>12JY</v>
      </c>
      <c r="F539" s="442" t="s">
        <v>75</v>
      </c>
      <c r="G539" s="61">
        <v>46244</v>
      </c>
      <c r="H539" s="61">
        <v>46248</v>
      </c>
      <c r="I539" s="61" t="s">
        <v>42</v>
      </c>
      <c r="J539" s="64">
        <v>0.33333333333333331</v>
      </c>
      <c r="K539" s="64"/>
      <c r="L539" s="61"/>
      <c r="M539" s="61"/>
      <c r="N539" s="61"/>
      <c r="O539" s="61"/>
      <c r="P539" s="61"/>
      <c r="Q539" s="73" t="s">
        <v>280</v>
      </c>
      <c r="R539" s="73"/>
      <c r="S539" s="73"/>
      <c r="T539" s="59">
        <f>VLOOKUP(Table2[[#This Row],[Course Title]],'TSD-Data'!$A$1:$E$83,4,FALSE)</f>
        <v>25</v>
      </c>
      <c r="U539" s="59">
        <f>VLOOKUP(Table2[[#This Row],[Course Title]],'TSD-Data'!$A$1:$F$83,6,FALSE)</f>
        <v>40</v>
      </c>
      <c r="V539" s="63">
        <f>VLOOKUP(Table2[[#This Row],[Course Title]],'TSD-Data'!$A$1:$F$83,5,FALSE)</f>
        <v>5</v>
      </c>
      <c r="W539" s="63">
        <v>90</v>
      </c>
      <c r="X539" s="59">
        <f>Table2[[#This Row],[Quotas]]-Table2[[#This Row],[Open Quotas]]</f>
        <v>18</v>
      </c>
      <c r="Y539" s="59">
        <v>0</v>
      </c>
      <c r="Z539" s="63"/>
      <c r="AA539" s="63"/>
      <c r="AB539" s="59"/>
      <c r="AC539" s="59"/>
      <c r="AD539" s="59"/>
      <c r="AE539" s="59"/>
      <c r="AF539" s="149">
        <f ca="1">Table2[[#This Row],[End Date]]+2-TODAY()</f>
        <v>6</v>
      </c>
      <c r="AG539" s="151">
        <f>IF(ISBLANK(Table2[[#This Row],[Roster Received by]]),1,0)</f>
        <v>1</v>
      </c>
      <c r="AH539" s="151">
        <f ca="1">IF(Table2[[#This Row],[Start Date]]&gt;TODAY(),1,)</f>
        <v>0</v>
      </c>
      <c r="AI539" s="151">
        <f>IF(ISBLANK(Table2[[#This Row],[Primary Instructor]]),0,1)</f>
        <v>1</v>
      </c>
      <c r="AJ539" s="151">
        <f>IF(ISBLANK(Table2[[#This Row],[Instructor 2]]),0,1)</f>
        <v>0</v>
      </c>
      <c r="AK539" s="496">
        <f>Table2[[#This Row],[Course Length (Hours)]]/(Table2[[#This Row],[1 Instructor]]+Table2[[#This Row],[2 Instructors]])</f>
        <v>40</v>
      </c>
      <c r="AL539" s="113">
        <v>7</v>
      </c>
      <c r="AM539" s="498">
        <v>4</v>
      </c>
      <c r="AN539" s="151" t="str">
        <f>VLOOKUP(Table2[[#This Row],[Course Title]],'TSD-Data'!$A$1:$G$83,7,FALSE)</f>
        <v>N5</v>
      </c>
      <c r="AO539" s="502">
        <f>Table2[[#This Row],[Quotas]]-Table2[[#This Row],[Graduates]]-Table2[[#This Row],[Fail]]</f>
        <v>25</v>
      </c>
    </row>
    <row r="540" spans="2:41" ht="15" customHeight="1" x14ac:dyDescent="0.25">
      <c r="B540" s="83"/>
      <c r="C540" s="83" t="s">
        <v>276</v>
      </c>
      <c r="D540" s="59" t="str">
        <f>VLOOKUP(Table2[[#This Row],[Course Title]],'TSD-Data'!$A$1:$E$83,2,FALSE)</f>
        <v>A-493-0103</v>
      </c>
      <c r="E540" s="59" t="str">
        <f>VLOOKUP(Table2[[#This Row],[Course Title]],'TSD-Data'!$A$1:$E$83,3,FALSE)</f>
        <v>12JY</v>
      </c>
      <c r="F540" s="83" t="s">
        <v>81</v>
      </c>
      <c r="G540" s="61">
        <v>46244</v>
      </c>
      <c r="H540" s="61">
        <v>46248</v>
      </c>
      <c r="I540" s="61" t="s">
        <v>42</v>
      </c>
      <c r="J540" s="64">
        <v>0.33333333333333331</v>
      </c>
      <c r="K540" s="64"/>
      <c r="L540" s="61"/>
      <c r="M540" s="61"/>
      <c r="N540" s="61"/>
      <c r="O540" s="61"/>
      <c r="P540" s="61"/>
      <c r="Q540" s="73" t="s">
        <v>280</v>
      </c>
      <c r="R540" s="73"/>
      <c r="S540" s="73"/>
      <c r="T540" s="59">
        <f>VLOOKUP(Table2[[#This Row],[Course Title]],'TSD-Data'!$A$1:$E$83,4,FALSE)</f>
        <v>25</v>
      </c>
      <c r="U540" s="59">
        <f>VLOOKUP(Table2[[#This Row],[Course Title]],'TSD-Data'!$A$1:$F$83,6,FALSE)</f>
        <v>40</v>
      </c>
      <c r="V540" s="63">
        <f>VLOOKUP(Table2[[#This Row],[Course Title]],'TSD-Data'!$A$1:$F$83,5,FALSE)</f>
        <v>5</v>
      </c>
      <c r="W540" s="63">
        <v>84</v>
      </c>
      <c r="X540" s="59">
        <f>Table2[[#This Row],[Quotas]]-Table2[[#This Row],[Open Quotas]]</f>
        <v>7</v>
      </c>
      <c r="Y540" s="59">
        <v>0</v>
      </c>
      <c r="Z540" s="63"/>
      <c r="AA540" s="63"/>
      <c r="AB540" s="59"/>
      <c r="AC540" s="59"/>
      <c r="AD540" s="59"/>
      <c r="AE540" s="59"/>
      <c r="AF540" s="149">
        <f ca="1">Table2[[#This Row],[End Date]]+2-TODAY()</f>
        <v>6</v>
      </c>
      <c r="AG540" s="151">
        <f>IF(ISBLANK(Table2[[#This Row],[Roster Received by]]),1,0)</f>
        <v>1</v>
      </c>
      <c r="AH540" s="151">
        <f ca="1">IF(Table2[[#This Row],[Start Date]]&gt;TODAY(),1,)</f>
        <v>0</v>
      </c>
      <c r="AI540" s="151">
        <f>IF(ISBLANK(Table2[[#This Row],[Primary Instructor]]),0,1)</f>
        <v>1</v>
      </c>
      <c r="AJ540" s="151">
        <f>IF(ISBLANK(Table2[[#This Row],[Instructor 2]]),0,1)</f>
        <v>0</v>
      </c>
      <c r="AK540" s="496">
        <f>Table2[[#This Row],[Course Length (Hours)]]/(Table2[[#This Row],[1 Instructor]]+Table2[[#This Row],[2 Instructors]])</f>
        <v>40</v>
      </c>
      <c r="AL540" s="113">
        <v>18</v>
      </c>
      <c r="AM540" s="498">
        <v>4</v>
      </c>
      <c r="AN540" s="151" t="str">
        <f>VLOOKUP(Table2[[#This Row],[Course Title]],'TSD-Data'!$A$1:$G$83,7,FALSE)</f>
        <v>N5</v>
      </c>
      <c r="AO540" s="502">
        <f>Table2[[#This Row],[Quotas]]-Table2[[#This Row],[Graduates]]-Table2[[#This Row],[Fail]]</f>
        <v>25</v>
      </c>
    </row>
    <row r="541" spans="2:41" s="202" customFormat="1" ht="15" customHeight="1" x14ac:dyDescent="0.25">
      <c r="B541" s="83"/>
      <c r="C541" s="83" t="s">
        <v>395</v>
      </c>
      <c r="D541" s="59" t="str">
        <f>VLOOKUP(Table2[[#This Row],[Course Title]],'TSD-Data'!$A$1:$E$83,2,FALSE)</f>
        <v>A-493-0030</v>
      </c>
      <c r="E541" s="59" t="str">
        <f>VLOOKUP(Table2[[#This Row],[Course Title]],'TSD-Data'!$A$1:$E$83,3,FALSE)</f>
        <v>286X</v>
      </c>
      <c r="F541" s="442" t="s">
        <v>101</v>
      </c>
      <c r="G541" s="61">
        <v>46244</v>
      </c>
      <c r="H541" s="61">
        <v>46248</v>
      </c>
      <c r="I541" s="61" t="s">
        <v>42</v>
      </c>
      <c r="J541" s="64">
        <v>0.33333333333333331</v>
      </c>
      <c r="K541" s="571"/>
      <c r="L541" s="61"/>
      <c r="M541" s="61"/>
      <c r="N541" s="61"/>
      <c r="O541" s="61"/>
      <c r="P541" s="61"/>
      <c r="Q541" s="73" t="s">
        <v>438</v>
      </c>
      <c r="R541" s="73"/>
      <c r="S541" s="73"/>
      <c r="T541" s="59">
        <f>VLOOKUP(Table2[[#This Row],[Course Title]],'TSD-Data'!$A$1:$E$83,4,FALSE)</f>
        <v>25</v>
      </c>
      <c r="U541" s="59">
        <f>VLOOKUP(Table2[[#This Row],[Course Title]],'TSD-Data'!$A$1:$F$83,6,FALSE)</f>
        <v>40</v>
      </c>
      <c r="V541" s="63">
        <f>VLOOKUP(Table2[[#This Row],[Course Title]],'TSD-Data'!$A$1:$F$83,5,FALSE)</f>
        <v>5</v>
      </c>
      <c r="W541" s="63">
        <v>85</v>
      </c>
      <c r="X541" s="59">
        <f>Table2[[#This Row],[Quotas]]-Table2[[#This Row],[Open Quotas]]</f>
        <v>22</v>
      </c>
      <c r="Y541" s="59">
        <v>0</v>
      </c>
      <c r="Z541" s="63"/>
      <c r="AA541" s="63"/>
      <c r="AB541" s="59"/>
      <c r="AC541" s="59"/>
      <c r="AD541" s="59"/>
      <c r="AE541" s="59"/>
      <c r="AF541" s="149">
        <f ca="1">Table2[[#This Row],[End Date]]+2-TODAY()</f>
        <v>6</v>
      </c>
      <c r="AG541" s="151">
        <f>IF(ISBLANK(Table2[[#This Row],[Roster Received by]]),1,0)</f>
        <v>1</v>
      </c>
      <c r="AH541" s="151">
        <f ca="1">IF(Table2[[#This Row],[Start Date]]&gt;TODAY(),1,)</f>
        <v>0</v>
      </c>
      <c r="AI541" s="151">
        <f>IF(ISBLANK(Table2[[#This Row],[Primary Instructor]]),0,1)</f>
        <v>1</v>
      </c>
      <c r="AJ541" s="151">
        <f>IF(ISBLANK(Table2[[#This Row],[Instructor 2]]),0,1)</f>
        <v>0</v>
      </c>
      <c r="AK541" s="496">
        <f>Table2[[#This Row],[Course Length (Hours)]]/(Table2[[#This Row],[1 Instructor]]+Table2[[#This Row],[2 Instructors]])</f>
        <v>40</v>
      </c>
      <c r="AL541" s="113">
        <v>3</v>
      </c>
      <c r="AM541" s="498">
        <v>4</v>
      </c>
      <c r="AN541" s="151" t="str">
        <f>VLOOKUP(Table2[[#This Row],[Course Title]],'TSD-Data'!$A$1:$G$83,7,FALSE)</f>
        <v>N3</v>
      </c>
      <c r="AO541" s="502">
        <f>Table2[[#This Row],[Quotas]]-Table2[[#This Row],[Graduates]]-Table2[[#This Row],[Fail]]</f>
        <v>25</v>
      </c>
    </row>
    <row r="542" spans="2:41" ht="15" customHeight="1" x14ac:dyDescent="0.25">
      <c r="B542" s="83"/>
      <c r="C542" s="83" t="s">
        <v>271</v>
      </c>
      <c r="D542" s="59" t="str">
        <f>VLOOKUP(Table2[[#This Row],[Course Title]],'TSD-Data'!$A$1:$E$83,2,FALSE)</f>
        <v>A-493-0061</v>
      </c>
      <c r="E542" s="59" t="str">
        <f>VLOOKUP(Table2[[#This Row],[Course Title]],'TSD-Data'!$A$1:$E$83,3,FALSE)</f>
        <v>288E</v>
      </c>
      <c r="F542" s="442" t="s">
        <v>54</v>
      </c>
      <c r="G542" s="61">
        <v>46244</v>
      </c>
      <c r="H542" s="61">
        <v>46247</v>
      </c>
      <c r="I542" s="61" t="s">
        <v>42</v>
      </c>
      <c r="J542" s="64"/>
      <c r="K542" s="572">
        <v>0.33333333333333331</v>
      </c>
      <c r="L542" s="64">
        <v>0.20833333333333334</v>
      </c>
      <c r="M542" s="64">
        <v>0.625</v>
      </c>
      <c r="N542" s="64">
        <v>0.54166666666666663</v>
      </c>
      <c r="O542" s="64">
        <v>8.3333333333333329E-2</v>
      </c>
      <c r="P542" s="64">
        <v>0.875</v>
      </c>
      <c r="Q542" s="73" t="s">
        <v>148</v>
      </c>
      <c r="R542" s="73"/>
      <c r="S542" s="73"/>
      <c r="T542" s="59">
        <f>VLOOKUP(Table2[[#This Row],[Course Title]],'TSD-Data'!$A$1:$E$83,4,FALSE)</f>
        <v>45</v>
      </c>
      <c r="U542" s="59">
        <f>VLOOKUP(Table2[[#This Row],[Course Title]],'TSD-Data'!$A$1:$F$83,6,FALSE)</f>
        <v>30</v>
      </c>
      <c r="V542" s="63">
        <f>VLOOKUP(Table2[[#This Row],[Course Title]],'TSD-Data'!$A$1:$F$83,5,FALSE)</f>
        <v>4</v>
      </c>
      <c r="W542" s="63">
        <v>366</v>
      </c>
      <c r="X542" s="59">
        <f>Table2[[#This Row],[Quotas]]-Table2[[#This Row],[Open Quotas]]</f>
        <v>24</v>
      </c>
      <c r="Y542" s="59">
        <v>0</v>
      </c>
      <c r="Z542" s="63"/>
      <c r="AA542" s="63"/>
      <c r="AB542" s="59"/>
      <c r="AC542" s="59"/>
      <c r="AD542" s="59"/>
      <c r="AE542" s="59"/>
      <c r="AF542" s="149">
        <f ca="1">Table2[[#This Row],[End Date]]+2-TODAY()</f>
        <v>5</v>
      </c>
      <c r="AG542" s="151">
        <f>IF(ISBLANK(Table2[[#This Row],[Roster Received by]]),1,0)</f>
        <v>1</v>
      </c>
      <c r="AH542" s="151">
        <f ca="1">IF(Table2[[#This Row],[Start Date]]&gt;TODAY(),1,)</f>
        <v>0</v>
      </c>
      <c r="AI542" s="151">
        <f>IF(ISBLANK(Table2[[#This Row],[Primary Instructor]]),0,1)</f>
        <v>1</v>
      </c>
      <c r="AJ542" s="151">
        <f>IF(ISBLANK(Table2[[#This Row],[Instructor 2]]),0,1)</f>
        <v>0</v>
      </c>
      <c r="AK542" s="496">
        <f>Table2[[#This Row],[Course Length (Hours)]]/(Table2[[#This Row],[1 Instructor]]+Table2[[#This Row],[2 Instructors]])</f>
        <v>30</v>
      </c>
      <c r="AL542" s="113">
        <v>21</v>
      </c>
      <c r="AM542" s="498">
        <v>4</v>
      </c>
      <c r="AN542" s="151" t="str">
        <f>VLOOKUP(Table2[[#This Row],[Course Title]],'TSD-Data'!$A$1:$G$83,7,FALSE)</f>
        <v>N5</v>
      </c>
      <c r="AO542" s="502">
        <f>Table2[[#This Row],[Quotas]]-Table2[[#This Row],[Graduates]]-Table2[[#This Row],[Fail]]</f>
        <v>45</v>
      </c>
    </row>
    <row r="543" spans="2:41" s="202" customFormat="1" ht="15" customHeight="1" x14ac:dyDescent="0.25">
      <c r="B543" s="83"/>
      <c r="C543" s="3" t="s">
        <v>49</v>
      </c>
      <c r="D543" s="59" t="str">
        <f>VLOOKUP(Table2[[#This Row],[Course Title]],'TSD-Data'!$A$1:$E$83,2,FALSE)</f>
        <v>A-493-0012</v>
      </c>
      <c r="E543" s="59">
        <f>VLOOKUP(Table2[[#This Row],[Course Title]],'TSD-Data'!$A$1:$E$83,3,FALSE)</f>
        <v>3682</v>
      </c>
      <c r="F543" s="442" t="s">
        <v>112</v>
      </c>
      <c r="G543" s="61">
        <v>46244</v>
      </c>
      <c r="H543" s="61">
        <v>46248</v>
      </c>
      <c r="I543" s="10" t="s">
        <v>42</v>
      </c>
      <c r="J543" s="64">
        <v>0.33333333333333331</v>
      </c>
      <c r="K543" s="572"/>
      <c r="L543" s="61"/>
      <c r="M543" s="61"/>
      <c r="N543" s="61"/>
      <c r="O543" s="61"/>
      <c r="P543" s="61"/>
      <c r="Q543" s="73" t="s">
        <v>439</v>
      </c>
      <c r="R543" s="73"/>
      <c r="S543" s="73"/>
      <c r="T543" s="59">
        <f>VLOOKUP(Table2[[#This Row],[Course Title]],'TSD-Data'!$A$1:$E$83,4,FALSE)</f>
        <v>40</v>
      </c>
      <c r="U543" s="59">
        <f>VLOOKUP(Table2[[#This Row],[Course Title]],'TSD-Data'!$A$1:$F$83,6,FALSE)</f>
        <v>40</v>
      </c>
      <c r="V543" s="63">
        <f>VLOOKUP(Table2[[#This Row],[Course Title]],'TSD-Data'!$A$1:$F$83,5,FALSE)</f>
        <v>5</v>
      </c>
      <c r="W543" s="63"/>
      <c r="X543" s="59">
        <f>Table2[[#This Row],[Quotas]]-Table2[[#This Row],[Open Quotas]]</f>
        <v>33</v>
      </c>
      <c r="Y543" s="59"/>
      <c r="Z543" s="63"/>
      <c r="AA543" s="63"/>
      <c r="AB543" s="59"/>
      <c r="AC543" s="59"/>
      <c r="AD543" s="59"/>
      <c r="AE543" s="59"/>
      <c r="AF543" s="63">
        <f ca="1">Table2[[#This Row],[End Date]]+2-TODAY()</f>
        <v>6</v>
      </c>
      <c r="AG543" s="59">
        <f>IF(ISBLANK(Table2[[#This Row],[Roster Received by]]),1,0)</f>
        <v>1</v>
      </c>
      <c r="AH543" s="59">
        <f ca="1">IF(Table2[[#This Row],[Start Date]]&gt;TODAY(),1,)</f>
        <v>0</v>
      </c>
      <c r="AI543" s="59">
        <f>IF(ISBLANK(Table2[[#This Row],[Primary Instructor]]),0,1)</f>
        <v>1</v>
      </c>
      <c r="AJ543" s="59">
        <f>IF(ISBLANK(Table2[[#This Row],[Instructor 2]]),0,1)</f>
        <v>0</v>
      </c>
      <c r="AK543" s="59">
        <f>AJ900</f>
        <v>0</v>
      </c>
      <c r="AL543" s="113">
        <v>7</v>
      </c>
      <c r="AM543" s="59"/>
      <c r="AN543" s="59" t="str">
        <f>VLOOKUP(Table2[[#This Row],[Course Title]],'TSD-Data'!$A$1:$G$83,7,FALSE)</f>
        <v>N4</v>
      </c>
      <c r="AO543" s="508">
        <f>Table2[[#This Row],[Quotas]]-Table2[[#This Row],[Graduates]]-Table2[[#This Row],[Fail]]</f>
        <v>40</v>
      </c>
    </row>
    <row r="544" spans="2:41" ht="15" customHeight="1" x14ac:dyDescent="0.25">
      <c r="B544" s="83"/>
      <c r="C544" s="83" t="s">
        <v>53</v>
      </c>
      <c r="D544" s="59" t="str">
        <f>VLOOKUP(Table2[[#This Row],[Course Title]],'TSD-Data'!$A$1:$E$83,2,FALSE)</f>
        <v>A-493-0078</v>
      </c>
      <c r="E544" s="59">
        <f>VLOOKUP(Table2[[#This Row],[Course Title]],'TSD-Data'!$A$1:$E$83,3,FALSE)</f>
        <v>1228</v>
      </c>
      <c r="F544" s="442" t="s">
        <v>54</v>
      </c>
      <c r="G544" s="61">
        <v>46244</v>
      </c>
      <c r="H544" s="61">
        <v>46247</v>
      </c>
      <c r="I544" s="61" t="s">
        <v>42</v>
      </c>
      <c r="J544" s="64"/>
      <c r="K544" s="572">
        <v>0.33333333333333331</v>
      </c>
      <c r="L544" s="64">
        <v>0.20833333333333334</v>
      </c>
      <c r="M544" s="64">
        <v>0.625</v>
      </c>
      <c r="N544" s="64">
        <v>0.54166666666666663</v>
      </c>
      <c r="O544" s="64">
        <v>8.3333333333333329E-2</v>
      </c>
      <c r="P544" s="64">
        <v>0.875</v>
      </c>
      <c r="Q544" s="73" t="s">
        <v>55</v>
      </c>
      <c r="R544" s="73"/>
      <c r="S544" s="73"/>
      <c r="T544" s="59">
        <f>VLOOKUP(Table2[[#This Row],[Course Title]],'TSD-Data'!$A$1:$E$83,4,FALSE)</f>
        <v>45</v>
      </c>
      <c r="U544" s="59">
        <f>VLOOKUP(Table2[[#This Row],[Course Title]],'TSD-Data'!$A$1:$F$83,6,FALSE)</f>
        <v>32</v>
      </c>
      <c r="V544" s="63">
        <f>VLOOKUP(Table2[[#This Row],[Course Title]],'TSD-Data'!$A$1:$F$83,5,FALSE)</f>
        <v>4</v>
      </c>
      <c r="W544" s="63">
        <v>454</v>
      </c>
      <c r="X544" s="59">
        <f>Table2[[#This Row],[Quotas]]-Table2[[#This Row],[Open Quotas]]</f>
        <v>40</v>
      </c>
      <c r="Y544" s="59">
        <v>0</v>
      </c>
      <c r="Z544" s="63"/>
      <c r="AA544" s="63"/>
      <c r="AB544" s="59"/>
      <c r="AC544" s="59"/>
      <c r="AD544" s="59"/>
      <c r="AE544" s="59"/>
      <c r="AF544" s="149">
        <f ca="1">Table2[[#This Row],[End Date]]+2-TODAY()</f>
        <v>5</v>
      </c>
      <c r="AG544" s="151">
        <f>IF(ISBLANK(Table2[[#This Row],[Roster Received by]]),1,0)</f>
        <v>1</v>
      </c>
      <c r="AH544" s="151">
        <f ca="1">IF(Table2[[#This Row],[Start Date]]&gt;TODAY(),1,)</f>
        <v>0</v>
      </c>
      <c r="AI544" s="151">
        <f>IF(ISBLANK(Table2[[#This Row],[Primary Instructor]]),0,1)</f>
        <v>1</v>
      </c>
      <c r="AJ544" s="151">
        <f>IF(ISBLANK(Table2[[#This Row],[Instructor 2]]),0,1)</f>
        <v>0</v>
      </c>
      <c r="AK544" s="496">
        <f>Table2[[#This Row],[Course Length (Hours)]]/(Table2[[#This Row],[1 Instructor]]+Table2[[#This Row],[2 Instructors]])</f>
        <v>32</v>
      </c>
      <c r="AL544" s="113">
        <v>5</v>
      </c>
      <c r="AM544" s="498">
        <v>4</v>
      </c>
      <c r="AN544" s="151" t="str">
        <f>VLOOKUP(Table2[[#This Row],[Course Title]],'TSD-Data'!$A$1:$G$83,7,FALSE)</f>
        <v>N5</v>
      </c>
      <c r="AO544" s="502">
        <f>Table2[[#This Row],[Quotas]]-Table2[[#This Row],[Graduates]]-Table2[[#This Row],[Fail]]</f>
        <v>45</v>
      </c>
    </row>
    <row r="545" spans="2:41" s="202" customFormat="1" ht="15" customHeight="1" x14ac:dyDescent="0.25">
      <c r="B545" s="83"/>
      <c r="C545" s="83" t="s">
        <v>229</v>
      </c>
      <c r="D545" s="59" t="str">
        <f>VLOOKUP(Table2[[#This Row],[Course Title]],'TSD-Data'!$A$1:$E$83,2,FALSE)</f>
        <v>A-570-0100</v>
      </c>
      <c r="E545" s="59" t="str">
        <f>VLOOKUP(Table2[[#This Row],[Course Title]],'TSD-Data'!$A$1:$E$83,3,FALSE)</f>
        <v>18B7</v>
      </c>
      <c r="F545" s="442" t="s">
        <v>54</v>
      </c>
      <c r="G545" s="61">
        <v>46244</v>
      </c>
      <c r="H545" s="61">
        <v>46245</v>
      </c>
      <c r="I545" s="61" t="s">
        <v>42</v>
      </c>
      <c r="J545" s="64"/>
      <c r="K545" s="572">
        <v>0.79166666666666663</v>
      </c>
      <c r="L545" s="570">
        <v>0.66666666666666663</v>
      </c>
      <c r="M545" s="570">
        <v>8.3333333333333329E-2</v>
      </c>
      <c r="N545" s="570">
        <v>0</v>
      </c>
      <c r="O545" s="570">
        <v>0.54166666666666663</v>
      </c>
      <c r="P545" s="570">
        <v>0.33333333333333331</v>
      </c>
      <c r="Q545" s="73" t="s">
        <v>432</v>
      </c>
      <c r="R545" s="73"/>
      <c r="S545" s="73"/>
      <c r="T545" s="59">
        <f>VLOOKUP(Table2[[#This Row],[Course Title]],'TSD-Data'!$A$1:$E$83,4,FALSE)</f>
        <v>45</v>
      </c>
      <c r="U545" s="59">
        <f>VLOOKUP(Table2[[#This Row],[Course Title]],'TSD-Data'!$A$1:$F$83,6,FALSE)</f>
        <v>16</v>
      </c>
      <c r="V545" s="63">
        <f>VLOOKUP(Table2[[#This Row],[Course Title]],'TSD-Data'!$A$1:$F$83,5,FALSE)</f>
        <v>2</v>
      </c>
      <c r="W545" s="63">
        <v>126</v>
      </c>
      <c r="X545" s="59">
        <f>Table2[[#This Row],[Quotas]]-Table2[[#This Row],[Open Quotas]]</f>
        <v>26</v>
      </c>
      <c r="Y545" s="59">
        <v>0</v>
      </c>
      <c r="Z545" s="63"/>
      <c r="AA545" s="63"/>
      <c r="AB545" s="59"/>
      <c r="AC545" s="59"/>
      <c r="AD545" s="59"/>
      <c r="AE545" s="59"/>
      <c r="AF545" s="149">
        <f ca="1">Table2[[#This Row],[End Date]]+2-TODAY()</f>
        <v>3</v>
      </c>
      <c r="AG545" s="151">
        <f>IF(ISBLANK(Table2[[#This Row],[Roster Received by]]),1,0)</f>
        <v>1</v>
      </c>
      <c r="AH545" s="151">
        <f ca="1">IF(Table2[[#This Row],[Start Date]]&gt;TODAY(),1,)</f>
        <v>0</v>
      </c>
      <c r="AI545" s="151">
        <f>IF(ISBLANK(Table2[[#This Row],[Primary Instructor]]),0,1)</f>
        <v>1</v>
      </c>
      <c r="AJ545" s="151">
        <f>IF(ISBLANK(Table2[[#This Row],[Instructor 2]]),0,1)</f>
        <v>0</v>
      </c>
      <c r="AK545" s="496">
        <f>Table2[[#This Row],[Course Length (Hours)]]/(Table2[[#This Row],[1 Instructor]]+Table2[[#This Row],[2 Instructors]])</f>
        <v>16</v>
      </c>
      <c r="AL545" s="113">
        <v>19</v>
      </c>
      <c r="AM545" s="498">
        <v>4</v>
      </c>
      <c r="AN545" s="151" t="str">
        <f>VLOOKUP(Table2[[#This Row],[Course Title]],'TSD-Data'!$A$1:$G$83,7,FALSE)</f>
        <v>N8</v>
      </c>
      <c r="AO545" s="502">
        <f>Table2[[#This Row],[Quotas]]-Table2[[#This Row],[Graduates]]-Table2[[#This Row],[Fail]]</f>
        <v>45</v>
      </c>
    </row>
    <row r="546" spans="2:41" ht="15" customHeight="1" x14ac:dyDescent="0.25">
      <c r="B546" s="83"/>
      <c r="C546" s="83" t="s">
        <v>77</v>
      </c>
      <c r="D546" s="59" t="str">
        <f>VLOOKUP(Table2[[#This Row],[Course Title]],'TSD-Data'!$A$1:$E$83,2,FALSE)</f>
        <v>A-493-0072</v>
      </c>
      <c r="E546" s="59" t="str">
        <f>VLOOKUP(Table2[[#This Row],[Course Title]],'TSD-Data'!$A$1:$E$83,3,FALSE)</f>
        <v>713U</v>
      </c>
      <c r="F546" s="442" t="s">
        <v>51</v>
      </c>
      <c r="G546" s="127">
        <v>46244</v>
      </c>
      <c r="H546" s="127">
        <v>46248</v>
      </c>
      <c r="I546" s="61" t="s">
        <v>42</v>
      </c>
      <c r="J546" s="64">
        <v>0.33333333333333331</v>
      </c>
      <c r="K546" s="572"/>
      <c r="L546" s="61"/>
      <c r="M546" s="61"/>
      <c r="N546" s="61"/>
      <c r="O546" s="61"/>
      <c r="P546" s="61"/>
      <c r="Q546" s="73" t="s">
        <v>111</v>
      </c>
      <c r="R546" s="73" t="s">
        <v>462</v>
      </c>
      <c r="S546" s="73" t="s">
        <v>492</v>
      </c>
      <c r="T546" s="59">
        <f>VLOOKUP(Table2[[#This Row],[Course Title]],'TSD-Data'!$A$1:$E$83,4,FALSE)</f>
        <v>30</v>
      </c>
      <c r="U546" s="59">
        <f>VLOOKUP(Table2[[#This Row],[Course Title]],'TSD-Data'!$A$1:$F$83,6,FALSE)</f>
        <v>40</v>
      </c>
      <c r="V546" s="63">
        <f>VLOOKUP(Table2[[#This Row],[Course Title]],'TSD-Data'!$A$1:$F$83,5,FALSE)</f>
        <v>5</v>
      </c>
      <c r="W546" s="63">
        <v>78</v>
      </c>
      <c r="X546" s="59">
        <f>Table2[[#This Row],[Quotas]]-Table2[[#This Row],[Open Quotas]]</f>
        <v>26</v>
      </c>
      <c r="Y546" s="59">
        <v>0</v>
      </c>
      <c r="Z546" s="63"/>
      <c r="AA546" s="63"/>
      <c r="AB546" s="59"/>
      <c r="AC546" s="59"/>
      <c r="AD546" s="59"/>
      <c r="AE546" s="59"/>
      <c r="AF546" s="149">
        <f ca="1">Table2[[#This Row],[End Date]]+2-TODAY()</f>
        <v>6</v>
      </c>
      <c r="AG546" s="151">
        <f>IF(ISBLANK(Table2[[#This Row],[Roster Received by]]),1,0)</f>
        <v>1</v>
      </c>
      <c r="AH546" s="151">
        <f ca="1">IF(Table2[[#This Row],[Start Date]]&gt;TODAY(),1,)</f>
        <v>0</v>
      </c>
      <c r="AI546" s="151">
        <f>IF(ISBLANK(Table2[[#This Row],[Primary Instructor]]),0,1)</f>
        <v>1</v>
      </c>
      <c r="AJ546" s="151">
        <f>IF(ISBLANK(Table2[[#This Row],[Instructor 2]]),0,1)</f>
        <v>1</v>
      </c>
      <c r="AK546" s="496">
        <f>Table2[[#This Row],[Course Length (Hours)]]/(Table2[[#This Row],[1 Instructor]]+Table2[[#This Row],[2 Instructors]])</f>
        <v>20</v>
      </c>
      <c r="AL546" s="113">
        <v>4</v>
      </c>
      <c r="AM546" s="498">
        <v>4</v>
      </c>
      <c r="AN546" s="151" t="str">
        <f>VLOOKUP(Table2[[#This Row],[Course Title]],'TSD-Data'!$A$1:$G$83,7,FALSE)</f>
        <v>N3</v>
      </c>
      <c r="AO546" s="502">
        <f>Table2[[#This Row],[Quotas]]-Table2[[#This Row],[Graduates]]-Table2[[#This Row],[Fail]]</f>
        <v>30</v>
      </c>
    </row>
    <row r="547" spans="2:41" x14ac:dyDescent="0.25">
      <c r="B547" s="83"/>
      <c r="C547" s="83" t="s">
        <v>488</v>
      </c>
      <c r="D547" s="59" t="str">
        <f>VLOOKUP(Table2[[#This Row],[Course Title]],'TSD-Data'!$A$1:$E$83,2,FALSE)</f>
        <v xml:space="preserve">A-493-3019 </v>
      </c>
      <c r="E547" s="59" t="str">
        <f>VLOOKUP(Table2[[#This Row],[Course Title]],'TSD-Data'!$A$1:$E$83,3,FALSE)</f>
        <v>33D9</v>
      </c>
      <c r="F547" s="442" t="s">
        <v>54</v>
      </c>
      <c r="G547" s="61">
        <v>46244</v>
      </c>
      <c r="H547" s="61">
        <v>46244</v>
      </c>
      <c r="I547" s="61" t="s">
        <v>42</v>
      </c>
      <c r="J547" s="64"/>
      <c r="K547" s="64">
        <v>0.58333333333333337</v>
      </c>
      <c r="L547" s="64">
        <v>0.45833333333333331</v>
      </c>
      <c r="M547" s="64">
        <v>0.875</v>
      </c>
      <c r="N547" s="64">
        <v>0.83333333333333337</v>
      </c>
      <c r="O547" s="64">
        <v>0.375</v>
      </c>
      <c r="P547" s="64">
        <v>0.125</v>
      </c>
      <c r="Q547" s="73" t="s">
        <v>445</v>
      </c>
      <c r="R547" s="73" t="s">
        <v>483</v>
      </c>
      <c r="S547" s="73"/>
      <c r="T547" s="59">
        <f>VLOOKUP(Table2[[#This Row],[Course Title]],'TSD-Data'!$A$1:$E$83,4,FALSE)</f>
        <v>1000</v>
      </c>
      <c r="U547" s="59">
        <f>VLOOKUP(Table2[[#This Row],[Course Title]],'TSD-Data'!$A$1:$F$83,6,FALSE)</f>
        <v>2</v>
      </c>
      <c r="V547" s="63">
        <f>VLOOKUP(Table2[[#This Row],[Course Title]],'TSD-Data'!$A$1:$F$83,5,FALSE)</f>
        <v>0.25</v>
      </c>
      <c r="W547" s="63"/>
      <c r="X547" s="59">
        <f>Table2[[#This Row],[Quotas]]-Table2[[#This Row],[Open Quotas]]</f>
        <v>46</v>
      </c>
      <c r="Y547" s="59"/>
      <c r="Z547" s="63"/>
      <c r="AA547" s="63"/>
      <c r="AB547" s="59"/>
      <c r="AC547" s="59"/>
      <c r="AD547" s="59"/>
      <c r="AE547" s="59"/>
      <c r="AF547" s="63">
        <f ca="1">Table2[[#This Row],[End Date]]+2-TODAY()</f>
        <v>2</v>
      </c>
      <c r="AG547" s="59">
        <f>IF(ISBLANK(Table2[[#This Row],[Roster Received by]]),1,0)</f>
        <v>1</v>
      </c>
      <c r="AH547" s="59">
        <f ca="1">IF(Table2[[#This Row],[Start Date]]&gt;TODAY(),1,)</f>
        <v>0</v>
      </c>
      <c r="AI547" s="59">
        <f>IF(ISBLANK(Table2[[#This Row],[Primary Instructor]]),0,1)</f>
        <v>1</v>
      </c>
      <c r="AJ547" s="59">
        <f>IF(ISBLANK(Table2[[#This Row],[Instructor 2]]),0,1)</f>
        <v>1</v>
      </c>
      <c r="AK547" s="59">
        <f>AJ845</f>
        <v>0</v>
      </c>
      <c r="AL547" s="113">
        <v>954</v>
      </c>
      <c r="AM547" s="59"/>
      <c r="AN547" s="59" t="str">
        <f>VLOOKUP(Table2[[#This Row],[Course Title]],'TSD-Data'!$A$1:$G$83,7,FALSE)</f>
        <v>N8-RMI</v>
      </c>
      <c r="AO547" s="508">
        <f>Table2[[#This Row],[Quotas]]-Table2[[#This Row],[Graduates]]-Table2[[#This Row],[Fail]]</f>
        <v>1000</v>
      </c>
    </row>
    <row r="548" spans="2:41" x14ac:dyDescent="0.25">
      <c r="B548" s="83"/>
      <c r="C548" s="83" t="s">
        <v>489</v>
      </c>
      <c r="D548" s="59" t="str">
        <f>VLOOKUP(Table2[[#This Row],[Course Title]],'TSD-Data'!$A$1:$E$83,2,FALSE)</f>
        <v xml:space="preserve">A-493-3020 </v>
      </c>
      <c r="E548" s="59" t="str">
        <f>VLOOKUP(Table2[[#This Row],[Course Title]],'TSD-Data'!$A$1:$E$83,3,FALSE)</f>
        <v>33DA</v>
      </c>
      <c r="F548" s="442" t="s">
        <v>54</v>
      </c>
      <c r="G548" s="61">
        <v>46244</v>
      </c>
      <c r="H548" s="61">
        <v>46244</v>
      </c>
      <c r="I548" s="61" t="s">
        <v>42</v>
      </c>
      <c r="J548" s="64"/>
      <c r="K548" s="572">
        <v>0.6875</v>
      </c>
      <c r="L548" s="64">
        <v>0.5625</v>
      </c>
      <c r="M548" s="64">
        <v>0.97916666666666663</v>
      </c>
      <c r="N548" s="64">
        <v>0.9375</v>
      </c>
      <c r="O548" s="64">
        <v>0.47916666666666669</v>
      </c>
      <c r="P548" s="64">
        <v>0.22916666666666666</v>
      </c>
      <c r="Q548" s="73" t="s">
        <v>445</v>
      </c>
      <c r="R548" s="73" t="s">
        <v>483</v>
      </c>
      <c r="S548" s="73"/>
      <c r="T548" s="59">
        <f>VLOOKUP(Table2[[#This Row],[Course Title]],'TSD-Data'!$A$1:$E$83,4,FALSE)</f>
        <v>1000</v>
      </c>
      <c r="U548" s="59">
        <f>VLOOKUP(Table2[[#This Row],[Course Title]],'TSD-Data'!$A$1:$F$83,6,FALSE)</f>
        <v>2</v>
      </c>
      <c r="V548" s="63">
        <f>VLOOKUP(Table2[[#This Row],[Course Title]],'TSD-Data'!$A$1:$F$83,5,FALSE)</f>
        <v>0.25</v>
      </c>
      <c r="W548" s="63"/>
      <c r="X548" s="59">
        <f>Table2[[#This Row],[Quotas]]-Table2[[#This Row],[Open Quotas]]</f>
        <v>46</v>
      </c>
      <c r="Y548" s="59"/>
      <c r="Z548" s="63"/>
      <c r="AA548" s="63"/>
      <c r="AB548" s="59"/>
      <c r="AC548" s="59"/>
      <c r="AD548" s="59"/>
      <c r="AE548" s="59"/>
      <c r="AF548" s="63">
        <f ca="1">Table2[[#This Row],[End Date]]+2-TODAY()</f>
        <v>2</v>
      </c>
      <c r="AG548" s="59">
        <f>IF(ISBLANK(Table2[[#This Row],[Roster Received by]]),1,0)</f>
        <v>1</v>
      </c>
      <c r="AH548" s="59">
        <f ca="1">IF(Table2[[#This Row],[Start Date]]&gt;TODAY(),1,)</f>
        <v>0</v>
      </c>
      <c r="AI548" s="59">
        <f>IF(ISBLANK(Table2[[#This Row],[Primary Instructor]]),0,1)</f>
        <v>1</v>
      </c>
      <c r="AJ548" s="59">
        <f>IF(ISBLANK(Table2[[#This Row],[Instructor 2]]),0,1)</f>
        <v>1</v>
      </c>
      <c r="AK548" s="59">
        <f>AJ846</f>
        <v>0</v>
      </c>
      <c r="AL548" s="113">
        <v>954</v>
      </c>
      <c r="AM548" s="59"/>
      <c r="AN548" s="59" t="str">
        <f>VLOOKUP(Table2[[#This Row],[Course Title]],'TSD-Data'!$A$1:$G$83,7,FALSE)</f>
        <v>N8-RMI</v>
      </c>
      <c r="AO548" s="508">
        <f>Table2[[#This Row],[Quotas]]-Table2[[#This Row],[Graduates]]-Table2[[#This Row],[Fail]]</f>
        <v>1000</v>
      </c>
    </row>
    <row r="549" spans="2:41" x14ac:dyDescent="0.25">
      <c r="B549" s="83"/>
      <c r="C549" s="83" t="s">
        <v>413</v>
      </c>
      <c r="D549" s="59" t="str">
        <f>VLOOKUP(Table2[[#This Row],[Course Title]],'TSD-Data'!$A$1:$E$83,2,FALSE)</f>
        <v>A-493-3007</v>
      </c>
      <c r="E549" s="59" t="str">
        <f>VLOOKUP(Table2[[#This Row],[Course Title]],'TSD-Data'!$A$1:$E$83,3,FALSE)</f>
        <v>31V9</v>
      </c>
      <c r="F549" s="442" t="s">
        <v>54</v>
      </c>
      <c r="G549" s="61">
        <v>46244</v>
      </c>
      <c r="H549" s="61">
        <v>46244</v>
      </c>
      <c r="I549" s="61" t="s">
        <v>42</v>
      </c>
      <c r="J549" s="64"/>
      <c r="K549" s="572">
        <v>0.45833333333333331</v>
      </c>
      <c r="L549" s="64">
        <v>0.33333333333333331</v>
      </c>
      <c r="M549" s="64">
        <v>0.75</v>
      </c>
      <c r="N549" s="64">
        <v>0.70833333333333337</v>
      </c>
      <c r="O549" s="64">
        <v>0.25</v>
      </c>
      <c r="P549" s="64">
        <v>6.9444444444444447E-4</v>
      </c>
      <c r="Q549" s="73" t="s">
        <v>445</v>
      </c>
      <c r="R549" s="73" t="s">
        <v>483</v>
      </c>
      <c r="S549" s="73"/>
      <c r="T549" s="59">
        <f>VLOOKUP(Table2[[#This Row],[Course Title]],'TSD-Data'!$A$1:$E$83,4,FALSE)</f>
        <v>1000</v>
      </c>
      <c r="U549" s="59">
        <f>VLOOKUP(Table2[[#This Row],[Course Title]],'TSD-Data'!$A$1:$F$83,6,FALSE)</f>
        <v>2.5</v>
      </c>
      <c r="V549" s="63">
        <f>VLOOKUP(Table2[[#This Row],[Course Title]],'TSD-Data'!$A$1:$F$83,5,FALSE)</f>
        <v>0.3</v>
      </c>
      <c r="W549" s="63"/>
      <c r="X549" s="59">
        <f>Table2[[#This Row],[Quotas]]-Table2[[#This Row],[Open Quotas]]</f>
        <v>46</v>
      </c>
      <c r="Y549" s="59"/>
      <c r="Z549" s="63"/>
      <c r="AA549" s="63"/>
      <c r="AB549" s="59"/>
      <c r="AC549" s="59"/>
      <c r="AD549" s="59"/>
      <c r="AE549" s="59"/>
      <c r="AF549" s="63">
        <f ca="1">Table2[[#This Row],[End Date]]+2-TODAY()</f>
        <v>2</v>
      </c>
      <c r="AG549" s="59">
        <f>IF(ISBLANK(Table2[[#This Row],[Roster Received by]]),1,0)</f>
        <v>1</v>
      </c>
      <c r="AH549" s="59">
        <f ca="1">IF(Table2[[#This Row],[Start Date]]&gt;TODAY(),1,)</f>
        <v>0</v>
      </c>
      <c r="AI549" s="59">
        <f>IF(ISBLANK(Table2[[#This Row],[Primary Instructor]]),0,1)</f>
        <v>1</v>
      </c>
      <c r="AJ549" s="59">
        <f>IF(ISBLANK(Table2[[#This Row],[Instructor 2]]),0,1)</f>
        <v>1</v>
      </c>
      <c r="AK549" s="59">
        <f>AJ847</f>
        <v>0</v>
      </c>
      <c r="AL549" s="113">
        <v>954</v>
      </c>
      <c r="AM549" s="59"/>
      <c r="AN549" s="59" t="str">
        <f>VLOOKUP(Table2[[#This Row],[Course Title]],'TSD-Data'!$A$1:$G$83,7,FALSE)</f>
        <v>N8-RMI</v>
      </c>
      <c r="AO549" s="508">
        <f>Table2[[#This Row],[Quotas]]-Table2[[#This Row],[Graduates]]-Table2[[#This Row],[Fail]]</f>
        <v>1000</v>
      </c>
    </row>
    <row r="550" spans="2:41" x14ac:dyDescent="0.25">
      <c r="B550" s="83"/>
      <c r="C550" s="83" t="s">
        <v>236</v>
      </c>
      <c r="D550" s="59" t="str">
        <f>VLOOKUP(Table2[[#This Row],[Course Title]],'TSD-Data'!$A$1:$E$83,2,FALSE)</f>
        <v>A-493-2098</v>
      </c>
      <c r="E550" s="59" t="str">
        <f>VLOOKUP(Table2[[#This Row],[Course Title]],'TSD-Data'!$A$1:$E$83,3,FALSE)</f>
        <v>09WW</v>
      </c>
      <c r="F550" s="83" t="s">
        <v>54</v>
      </c>
      <c r="G550" s="61">
        <v>46244</v>
      </c>
      <c r="H550" s="61">
        <v>46246</v>
      </c>
      <c r="I550" s="61" t="s">
        <v>42</v>
      </c>
      <c r="J550" s="64"/>
      <c r="K550" s="64">
        <v>0.5</v>
      </c>
      <c r="L550" s="570">
        <v>0.375</v>
      </c>
      <c r="M550" s="570">
        <v>0.79166666666666663</v>
      </c>
      <c r="N550" s="570">
        <v>0.75</v>
      </c>
      <c r="O550" s="570">
        <v>0.25</v>
      </c>
      <c r="P550" s="570">
        <v>4.1666666666666664E-2</v>
      </c>
      <c r="Q550" s="73" t="s">
        <v>43</v>
      </c>
      <c r="R550" s="73"/>
      <c r="S550" s="73"/>
      <c r="T550" s="59">
        <f>VLOOKUP(Table2[[#This Row],[Course Title]],'TSD-Data'!$A$1:$E$83,4,FALSE)</f>
        <v>100</v>
      </c>
      <c r="U550" s="59">
        <f>VLOOKUP(Table2[[#This Row],[Course Title]],'TSD-Data'!$A$1:$F$83,6,FALSE)</f>
        <v>16</v>
      </c>
      <c r="V550" s="63">
        <f>VLOOKUP(Table2[[#This Row],[Course Title]],'TSD-Data'!$A$1:$F$83,5,FALSE)</f>
        <v>3</v>
      </c>
      <c r="W550" s="63"/>
      <c r="X550" s="59">
        <f>Table2[[#This Row],[Quotas]]-Table2[[#This Row],[Open Quotas]]</f>
        <v>89</v>
      </c>
      <c r="Y550" s="59"/>
      <c r="Z550" s="63"/>
      <c r="AA550" s="63"/>
      <c r="AB550" s="59"/>
      <c r="AC550" s="59"/>
      <c r="AD550" s="59"/>
      <c r="AE550" s="59"/>
      <c r="AF550" s="149">
        <f ca="1">Table2[[#This Row],[End Date]]+2-TODAY()</f>
        <v>4</v>
      </c>
      <c r="AG550" s="151">
        <f>IF(ISBLANK(Table2[[#This Row],[Roster Received by]]),1,0)</f>
        <v>1</v>
      </c>
      <c r="AH550" s="151">
        <f ca="1">IF(Table2[[#This Row],[Start Date]]&gt;TODAY(),1,)</f>
        <v>0</v>
      </c>
      <c r="AI550" s="151">
        <f>IF(ISBLANK(Table2[[#This Row],[Primary Instructor]]),0,1)</f>
        <v>1</v>
      </c>
      <c r="AJ550" s="151">
        <f>IF(ISBLANK(Table2[[#This Row],[Instructor 2]]),0,1)</f>
        <v>0</v>
      </c>
      <c r="AK550" s="496">
        <f>Table2[[#This Row],[Course Length (Hours)]]/(Table2[[#This Row],[1 Instructor]]+Table2[[#This Row],[2 Instructors]])</f>
        <v>16</v>
      </c>
      <c r="AL550" s="113">
        <v>11</v>
      </c>
      <c r="AM550" s="498">
        <v>4</v>
      </c>
      <c r="AN550" s="151" t="str">
        <f>VLOOKUP(Table2[[#This Row],[Course Title]],'TSD-Data'!$A$1:$G$83,7,FALSE)</f>
        <v>N8</v>
      </c>
      <c r="AO550" s="502">
        <f>Table2[[#This Row],[Quotas]]-Table2[[#This Row],[Graduates]]-Table2[[#This Row],[Fail]]</f>
        <v>100</v>
      </c>
    </row>
    <row r="551" spans="2:41" s="202" customFormat="1" x14ac:dyDescent="0.25">
      <c r="B551" s="83" t="s">
        <v>470</v>
      </c>
      <c r="C551" s="83" t="s">
        <v>85</v>
      </c>
      <c r="D551" s="59" t="str">
        <f>VLOOKUP(Table2[[#This Row],[Course Title]],'TSD-Data'!$A$1:$E$83,2,FALSE)</f>
        <v>A-493-2017</v>
      </c>
      <c r="E551" s="59" t="str">
        <f>VLOOKUP(Table2[[#This Row],[Course Title]],'TSD-Data'!$A$1:$E$83,3,FALSE)</f>
        <v>12x3</v>
      </c>
      <c r="F551" s="442" t="s">
        <v>281</v>
      </c>
      <c r="G551" s="61">
        <v>46244</v>
      </c>
      <c r="H551" s="61">
        <v>46248</v>
      </c>
      <c r="I551" s="61" t="s">
        <v>42</v>
      </c>
      <c r="J551" s="64"/>
      <c r="K551" s="64"/>
      <c r="L551" s="61"/>
      <c r="M551" s="61"/>
      <c r="N551" s="61"/>
      <c r="O551" s="61"/>
      <c r="P551" s="61"/>
      <c r="Q551" s="73" t="s">
        <v>48</v>
      </c>
      <c r="R551" s="73"/>
      <c r="S551" s="73"/>
      <c r="T551" s="59">
        <f>VLOOKUP(Table2[[#This Row],[Course Title]],'TSD-Data'!$A$1:$E$83,4,FALSE)</f>
        <v>25</v>
      </c>
      <c r="U551" s="59">
        <f>VLOOKUP(Table2[[#This Row],[Course Title]],'TSD-Data'!$A$1:$F$83,6,FALSE)</f>
        <v>40</v>
      </c>
      <c r="V551" s="63">
        <f>VLOOKUP(Table2[[#This Row],[Course Title]],'TSD-Data'!$A$1:$F$83,5,FALSE)</f>
        <v>5</v>
      </c>
      <c r="W551" s="63"/>
      <c r="X551" s="59">
        <f>Table2[[#This Row],[Quotas]]-Table2[[#This Row],[Open Quotas]]</f>
        <v>25</v>
      </c>
      <c r="Y551" s="59"/>
      <c r="Z551" s="63"/>
      <c r="AA551" s="63"/>
      <c r="AB551" s="59"/>
      <c r="AC551" s="59"/>
      <c r="AD551" s="59"/>
      <c r="AE551" s="59"/>
      <c r="AF551" s="149">
        <f ca="1">Table2[[#This Row],[End Date]]+2-TODAY()</f>
        <v>6</v>
      </c>
      <c r="AG551" s="151">
        <f>IF(ISBLANK(Table2[[#This Row],[Roster Received by]]),1,0)</f>
        <v>1</v>
      </c>
      <c r="AH551" s="151">
        <f ca="1">IF(Table2[[#This Row],[Start Date]]&gt;TODAY(),1,)</f>
        <v>0</v>
      </c>
      <c r="AI551" s="151">
        <f>IF(ISBLANK(Table2[[#This Row],[Primary Instructor]]),0,1)</f>
        <v>1</v>
      </c>
      <c r="AJ551" s="151">
        <f>IF(ISBLANK(Table2[[#This Row],[Instructor 2]]),0,1)</f>
        <v>0</v>
      </c>
      <c r="AK551" s="496">
        <f>Table2[[#This Row],[Course Length (Hours)]]/(Table2[[#This Row],[1 Instructor]]+Table2[[#This Row],[2 Instructors]])</f>
        <v>40</v>
      </c>
      <c r="AL551" s="113">
        <v>0</v>
      </c>
      <c r="AM551" s="498">
        <v>4</v>
      </c>
      <c r="AN551" s="151" t="str">
        <f>VLOOKUP(Table2[[#This Row],[Course Title]],'TSD-Data'!$A$1:$G$83,7,FALSE)</f>
        <v>N4</v>
      </c>
      <c r="AO551" s="502">
        <f>Table2[[#This Row],[Quotas]]-Table2[[#This Row],[Graduates]]-Table2[[#This Row],[Fail]]</f>
        <v>25</v>
      </c>
    </row>
    <row r="552" spans="2:41" x14ac:dyDescent="0.25">
      <c r="B552" s="83"/>
      <c r="C552" s="573" t="s">
        <v>249</v>
      </c>
      <c r="D552" s="59" t="str">
        <f>VLOOKUP(Table2[[#This Row],[Course Title]],'TSD-Data'!$A$1:$E$83,2,FALSE)</f>
        <v>A-493-0331</v>
      </c>
      <c r="E552" s="59" t="str">
        <f>VLOOKUP(Table2[[#This Row],[Course Title]],'TSD-Data'!$A$1:$E$83,3,FALSE)</f>
        <v>10UG</v>
      </c>
      <c r="F552" s="442" t="s">
        <v>54</v>
      </c>
      <c r="G552" s="127">
        <v>46245</v>
      </c>
      <c r="H552" s="127">
        <v>46247</v>
      </c>
      <c r="I552" s="61" t="s">
        <v>42</v>
      </c>
      <c r="J552" s="64"/>
      <c r="K552" s="64">
        <v>0.79166666666666663</v>
      </c>
      <c r="L552" s="570">
        <v>0.66666666666666663</v>
      </c>
      <c r="M552" s="570">
        <v>8.3333333333333329E-2</v>
      </c>
      <c r="N552" s="570">
        <v>0</v>
      </c>
      <c r="O552" s="570">
        <v>0.54166666666666663</v>
      </c>
      <c r="P552" s="570">
        <v>0.33333333333333331</v>
      </c>
      <c r="Q552" s="73" t="s">
        <v>67</v>
      </c>
      <c r="R552" s="73" t="s">
        <v>62</v>
      </c>
      <c r="S552" s="73"/>
      <c r="T552" s="59">
        <f>VLOOKUP(Table2[[#This Row],[Course Title]],'TSD-Data'!$A$1:$E$83,4,FALSE)</f>
        <v>45</v>
      </c>
      <c r="U552" s="59">
        <f>VLOOKUP(Table2[[#This Row],[Course Title]],'TSD-Data'!$A$1:$F$83,6,FALSE)</f>
        <v>24</v>
      </c>
      <c r="V552" s="63">
        <f>VLOOKUP(Table2[[#This Row],[Course Title]],'TSD-Data'!$A$1:$F$83,5,FALSE)</f>
        <v>3</v>
      </c>
      <c r="W552" s="63">
        <v>183</v>
      </c>
      <c r="X552" s="59">
        <f>Table2[[#This Row],[Quotas]]-Table2[[#This Row],[Open Quotas]]</f>
        <v>29</v>
      </c>
      <c r="Y552" s="59">
        <v>0</v>
      </c>
      <c r="Z552" s="63"/>
      <c r="AA552" s="63"/>
      <c r="AB552" s="59"/>
      <c r="AC552" s="59"/>
      <c r="AD552" s="59"/>
      <c r="AE552" s="59"/>
      <c r="AF552" s="149">
        <f ca="1">Table2[[#This Row],[End Date]]+2-TODAY()</f>
        <v>5</v>
      </c>
      <c r="AG552" s="151">
        <f>IF(ISBLANK(Table2[[#This Row],[Roster Received by]]),1,0)</f>
        <v>1</v>
      </c>
      <c r="AH552" s="151">
        <f ca="1">IF(Table2[[#This Row],[Start Date]]&gt;TODAY(),1,)</f>
        <v>1</v>
      </c>
      <c r="AI552" s="151">
        <f>IF(ISBLANK(Table2[[#This Row],[Primary Instructor]]),0,1)</f>
        <v>1</v>
      </c>
      <c r="AJ552" s="151">
        <f>IF(ISBLANK(Table2[[#This Row],[Instructor 2]]),0,1)</f>
        <v>1</v>
      </c>
      <c r="AK552" s="496">
        <f>Table2[[#This Row],[Course Length (Hours)]]/(Table2[[#This Row],[1 Instructor]]+Table2[[#This Row],[2 Instructors]])</f>
        <v>12</v>
      </c>
      <c r="AL552" s="113">
        <v>16</v>
      </c>
      <c r="AM552" s="498">
        <v>4</v>
      </c>
      <c r="AN552" s="151" t="str">
        <f>VLOOKUP(Table2[[#This Row],[Course Title]],'TSD-Data'!$A$1:$G$83,7,FALSE)</f>
        <v>N3</v>
      </c>
      <c r="AO552" s="502">
        <f>Table2[[#This Row],[Quotas]]-Table2[[#This Row],[Graduates]]-Table2[[#This Row],[Fail]]</f>
        <v>45</v>
      </c>
    </row>
    <row r="553" spans="2:41" s="202" customFormat="1" x14ac:dyDescent="0.25">
      <c r="B553" s="83"/>
      <c r="C553" s="83" t="s">
        <v>56</v>
      </c>
      <c r="D553" s="59" t="str">
        <f>VLOOKUP(Table2[[#This Row],[Course Title]],'TSD-Data'!$A$1:$E$83,2,FALSE)</f>
        <v>A-493-0550</v>
      </c>
      <c r="E553" s="59" t="str">
        <f>VLOOKUP(Table2[[#This Row],[Course Title]],'TSD-Data'!$A$1:$E$83,3,FALSE)</f>
        <v>09K5</v>
      </c>
      <c r="F553" s="442" t="s">
        <v>54</v>
      </c>
      <c r="G553" s="61">
        <v>46245</v>
      </c>
      <c r="H553" s="61">
        <v>46248</v>
      </c>
      <c r="I553" s="61" t="s">
        <v>42</v>
      </c>
      <c r="J553" s="64"/>
      <c r="K553" s="64">
        <v>0.5</v>
      </c>
      <c r="L553" s="570">
        <v>0.375</v>
      </c>
      <c r="M553" s="570">
        <v>0.79166666666666663</v>
      </c>
      <c r="N553" s="570">
        <v>0.75</v>
      </c>
      <c r="O553" s="570">
        <v>0.25</v>
      </c>
      <c r="P553" s="570">
        <v>4.1666666666666664E-2</v>
      </c>
      <c r="Q553" s="73" t="s">
        <v>274</v>
      </c>
      <c r="R553" s="73"/>
      <c r="S553" s="73"/>
      <c r="T553" s="59">
        <f>VLOOKUP(Table2[[#This Row],[Course Title]],'TSD-Data'!$A$1:$E$83,4,FALSE)</f>
        <v>45</v>
      </c>
      <c r="U553" s="59">
        <f>VLOOKUP(Table2[[#This Row],[Course Title]],'TSD-Data'!$A$1:$F$83,6,FALSE)</f>
        <v>32</v>
      </c>
      <c r="V553" s="63">
        <f>VLOOKUP(Table2[[#This Row],[Course Title]],'TSD-Data'!$A$1:$F$83,5,FALSE)</f>
        <v>4</v>
      </c>
      <c r="W553" s="63">
        <v>864</v>
      </c>
      <c r="X553" s="59">
        <f>Table2[[#This Row],[Quotas]]-Table2[[#This Row],[Open Quotas]]</f>
        <v>33</v>
      </c>
      <c r="Y553" s="59">
        <v>0</v>
      </c>
      <c r="Z553" s="63"/>
      <c r="AA553" s="63"/>
      <c r="AB553" s="59"/>
      <c r="AC553" s="59"/>
      <c r="AD553" s="59"/>
      <c r="AE553" s="59"/>
      <c r="AF553" s="149">
        <f ca="1">Table2[[#This Row],[End Date]]+2-TODAY()</f>
        <v>6</v>
      </c>
      <c r="AG553" s="151">
        <f>IF(ISBLANK(Table2[[#This Row],[Roster Received by]]),1,0)</f>
        <v>1</v>
      </c>
      <c r="AH553" s="151">
        <f ca="1">IF(Table2[[#This Row],[Start Date]]&gt;TODAY(),1,)</f>
        <v>1</v>
      </c>
      <c r="AI553" s="151">
        <f>IF(ISBLANK(Table2[[#This Row],[Primary Instructor]]),0,1)</f>
        <v>1</v>
      </c>
      <c r="AJ553" s="151">
        <f>IF(ISBLANK(Table2[[#This Row],[Instructor 2]]),0,1)</f>
        <v>0</v>
      </c>
      <c r="AK553" s="496">
        <f>Table2[[#This Row],[Course Length (Hours)]]/(Table2[[#This Row],[1 Instructor]]+Table2[[#This Row],[2 Instructors]])</f>
        <v>32</v>
      </c>
      <c r="AL553" s="113">
        <v>12</v>
      </c>
      <c r="AM553" s="498">
        <v>4</v>
      </c>
      <c r="AN553" s="151" t="str">
        <f>VLOOKUP(Table2[[#This Row],[Course Title]],'TSD-Data'!$A$1:$G$83,7,FALSE)</f>
        <v>N5</v>
      </c>
      <c r="AO553" s="502">
        <f>Table2[[#This Row],[Quotas]]-Table2[[#This Row],[Graduates]]-Table2[[#This Row],[Fail]]</f>
        <v>45</v>
      </c>
    </row>
    <row r="554" spans="2:41" x14ac:dyDescent="0.25">
      <c r="B554" s="83"/>
      <c r="C554" s="83" t="s">
        <v>401</v>
      </c>
      <c r="D554" s="59" t="str">
        <f>VLOOKUP(Table2[[#This Row],[Course Title]],'TSD-Data'!$A$1:$E$83,2,FALSE)</f>
        <v>A-493-3002</v>
      </c>
      <c r="E554" s="59" t="str">
        <f>VLOOKUP(Table2[[#This Row],[Course Title]],'TSD-Data'!$A$1:$E$83,3,FALSE)</f>
        <v>31V4</v>
      </c>
      <c r="F554" s="442" t="s">
        <v>54</v>
      </c>
      <c r="G554" s="61">
        <v>46245</v>
      </c>
      <c r="H554" s="61">
        <v>46245</v>
      </c>
      <c r="I554" s="61" t="s">
        <v>42</v>
      </c>
      <c r="J554" s="64"/>
      <c r="K554" s="64">
        <v>0.45833333333333331</v>
      </c>
      <c r="L554" s="64">
        <v>0.33333333333333331</v>
      </c>
      <c r="M554" s="64">
        <v>0.75</v>
      </c>
      <c r="N554" s="64">
        <v>0.70833333333333337</v>
      </c>
      <c r="O554" s="64">
        <v>0.25</v>
      </c>
      <c r="P554" s="64">
        <v>6.9444444444444447E-4</v>
      </c>
      <c r="Q554" s="73" t="s">
        <v>445</v>
      </c>
      <c r="R554" s="73" t="s">
        <v>483</v>
      </c>
      <c r="S554" s="73"/>
      <c r="T554" s="59">
        <f>VLOOKUP(Table2[[#This Row],[Course Title]],'TSD-Data'!$A$1:$E$83,4,FALSE)</f>
        <v>1000</v>
      </c>
      <c r="U554" s="59">
        <f>VLOOKUP(Table2[[#This Row],[Course Title]],'TSD-Data'!$A$1:$F$83,6,FALSE)</f>
        <v>8</v>
      </c>
      <c r="V554" s="63">
        <f>VLOOKUP(Table2[[#This Row],[Course Title]],'TSD-Data'!$A$1:$F$83,5,FALSE)</f>
        <v>1</v>
      </c>
      <c r="W554" s="63"/>
      <c r="X554" s="59">
        <f>Table2[[#This Row],[Quotas]]-Table2[[#This Row],[Open Quotas]]</f>
        <v>46</v>
      </c>
      <c r="Y554" s="59"/>
      <c r="Z554" s="63"/>
      <c r="AA554" s="63"/>
      <c r="AB554" s="59"/>
      <c r="AC554" s="59"/>
      <c r="AD554" s="59"/>
      <c r="AE554" s="59"/>
      <c r="AF554" s="63">
        <f ca="1">Table2[[#This Row],[End Date]]+2-TODAY()</f>
        <v>3</v>
      </c>
      <c r="AG554" s="59">
        <f>IF(ISBLANK(Table2[[#This Row],[Roster Received by]]),1,0)</f>
        <v>1</v>
      </c>
      <c r="AH554" s="59">
        <f ca="1">IF(Table2[[#This Row],[Start Date]]&gt;TODAY(),1,)</f>
        <v>1</v>
      </c>
      <c r="AI554" s="59">
        <f>IF(ISBLANK(Table2[[#This Row],[Primary Instructor]]),0,1)</f>
        <v>1</v>
      </c>
      <c r="AJ554" s="59">
        <f>IF(ISBLANK(Table2[[#This Row],[Instructor 2]]),0,1)</f>
        <v>1</v>
      </c>
      <c r="AK554" s="59">
        <f t="shared" ref="AK554:AK560" si="3">AJ852</f>
        <v>0</v>
      </c>
      <c r="AL554" s="113">
        <v>954</v>
      </c>
      <c r="AM554" s="59"/>
      <c r="AN554" s="59" t="str">
        <f>VLOOKUP(Table2[[#This Row],[Course Title]],'TSD-Data'!$A$1:$G$83,7,FALSE)</f>
        <v>N8-RMI</v>
      </c>
      <c r="AO554" s="508">
        <f>Table2[[#This Row],[Quotas]]-Table2[[#This Row],[Graduates]]-Table2[[#This Row],[Fail]]</f>
        <v>1000</v>
      </c>
    </row>
    <row r="555" spans="2:41" s="202" customFormat="1" x14ac:dyDescent="0.25">
      <c r="B555" s="83"/>
      <c r="C555" s="83" t="s">
        <v>407</v>
      </c>
      <c r="D555" s="59" t="str">
        <f>VLOOKUP(Table2[[#This Row],[Course Title]],'TSD-Data'!$A$1:$E$83,2,FALSE)</f>
        <v>A-493-3003</v>
      </c>
      <c r="E555" s="59" t="str">
        <f>VLOOKUP(Table2[[#This Row],[Course Title]],'TSD-Data'!$A$1:$E$83,3,FALSE)</f>
        <v>31V5</v>
      </c>
      <c r="F555" s="442" t="s">
        <v>54</v>
      </c>
      <c r="G555" s="61">
        <v>46246</v>
      </c>
      <c r="H555" s="61">
        <v>46246</v>
      </c>
      <c r="I555" s="61" t="s">
        <v>42</v>
      </c>
      <c r="J555" s="64"/>
      <c r="K555" s="64">
        <v>0.5625</v>
      </c>
      <c r="L555" s="64">
        <v>0.4375</v>
      </c>
      <c r="M555" s="64">
        <v>0.85416666666666663</v>
      </c>
      <c r="N555" s="64">
        <v>0.8125</v>
      </c>
      <c r="O555" s="64">
        <v>0.35416666666666669</v>
      </c>
      <c r="P555" s="64">
        <v>0.10416666666666667</v>
      </c>
      <c r="Q555" s="73" t="s">
        <v>445</v>
      </c>
      <c r="R555" s="73" t="s">
        <v>483</v>
      </c>
      <c r="S555" s="73"/>
      <c r="T555" s="59">
        <f>VLOOKUP(Table2[[#This Row],[Course Title]],'TSD-Data'!$A$1:$E$83,4,FALSE)</f>
        <v>1000</v>
      </c>
      <c r="U555" s="59">
        <f>VLOOKUP(Table2[[#This Row],[Course Title]],'TSD-Data'!$A$1:$F$83,6,FALSE)</f>
        <v>2</v>
      </c>
      <c r="V555" s="63">
        <f>VLOOKUP(Table2[[#This Row],[Course Title]],'TSD-Data'!$A$1:$F$83,5,FALSE)</f>
        <v>0.25</v>
      </c>
      <c r="W555" s="63"/>
      <c r="X555" s="59">
        <f>Table2[[#This Row],[Quotas]]-Table2[[#This Row],[Open Quotas]]</f>
        <v>46</v>
      </c>
      <c r="Y555" s="59"/>
      <c r="Z555" s="63"/>
      <c r="AA555" s="63"/>
      <c r="AB555" s="59"/>
      <c r="AC555" s="59"/>
      <c r="AD555" s="59"/>
      <c r="AE555" s="59"/>
      <c r="AF555" s="63">
        <f ca="1">Table2[[#This Row],[End Date]]+2-TODAY()</f>
        <v>4</v>
      </c>
      <c r="AG555" s="59">
        <f>IF(ISBLANK(Table2[[#This Row],[Roster Received by]]),1,0)</f>
        <v>1</v>
      </c>
      <c r="AH555" s="59">
        <f ca="1">IF(Table2[[#This Row],[Start Date]]&gt;TODAY(),1,)</f>
        <v>1</v>
      </c>
      <c r="AI555" s="59">
        <f>IF(ISBLANK(Table2[[#This Row],[Primary Instructor]]),0,1)</f>
        <v>1</v>
      </c>
      <c r="AJ555" s="59">
        <f>IF(ISBLANK(Table2[[#This Row],[Instructor 2]]),0,1)</f>
        <v>1</v>
      </c>
      <c r="AK555" s="59">
        <f t="shared" si="3"/>
        <v>0</v>
      </c>
      <c r="AL555" s="113">
        <v>954</v>
      </c>
      <c r="AM555" s="59"/>
      <c r="AN555" s="59" t="str">
        <f>VLOOKUP(Table2[[#This Row],[Course Title]],'TSD-Data'!$A$1:$G$83,7,FALSE)</f>
        <v>N8-RMI</v>
      </c>
      <c r="AO555" s="508">
        <f>Table2[[#This Row],[Quotas]]-Table2[[#This Row],[Graduates]]-Table2[[#This Row],[Fail]]</f>
        <v>1000</v>
      </c>
    </row>
    <row r="556" spans="2:41" x14ac:dyDescent="0.25">
      <c r="B556" s="83"/>
      <c r="C556" s="83" t="s">
        <v>409</v>
      </c>
      <c r="D556" s="59" t="str">
        <f>VLOOKUP(Table2[[#This Row],[Course Title]],'TSD-Data'!$A$1:$E$83,2,FALSE)</f>
        <v>A-493-3001</v>
      </c>
      <c r="E556" s="59" t="str">
        <f>VLOOKUP(Table2[[#This Row],[Course Title]],'TSD-Data'!$A$1:$E$83,3,FALSE)</f>
        <v>31V3</v>
      </c>
      <c r="F556" s="442" t="s">
        <v>54</v>
      </c>
      <c r="G556" s="61">
        <v>46246</v>
      </c>
      <c r="H556" s="61">
        <v>46246</v>
      </c>
      <c r="I556" s="61" t="s">
        <v>42</v>
      </c>
      <c r="J556" s="64"/>
      <c r="K556" s="64">
        <v>0.66666666666666663</v>
      </c>
      <c r="L556" s="64">
        <v>0.54166666666666663</v>
      </c>
      <c r="M556" s="64">
        <v>0.95833333333333337</v>
      </c>
      <c r="N556" s="64">
        <v>0.91666666666666663</v>
      </c>
      <c r="O556" s="64">
        <v>0.45833333333333331</v>
      </c>
      <c r="P556" s="64">
        <v>0.20833333333333334</v>
      </c>
      <c r="Q556" s="73" t="s">
        <v>445</v>
      </c>
      <c r="R556" s="73" t="s">
        <v>483</v>
      </c>
      <c r="S556" s="73"/>
      <c r="T556" s="59">
        <f>VLOOKUP(Table2[[#This Row],[Course Title]],'TSD-Data'!$A$1:$E$83,4,FALSE)</f>
        <v>1000</v>
      </c>
      <c r="U556" s="59">
        <f>VLOOKUP(Table2[[#This Row],[Course Title]],'TSD-Data'!$A$1:$F$83,6,FALSE)</f>
        <v>2</v>
      </c>
      <c r="V556" s="63">
        <f>VLOOKUP(Table2[[#This Row],[Course Title]],'TSD-Data'!$A$1:$F$83,5,FALSE)</f>
        <v>0.25</v>
      </c>
      <c r="W556" s="63"/>
      <c r="X556" s="59">
        <f>Table2[[#This Row],[Quotas]]-Table2[[#This Row],[Open Quotas]]</f>
        <v>46</v>
      </c>
      <c r="Y556" s="59"/>
      <c r="Z556" s="63"/>
      <c r="AA556" s="63"/>
      <c r="AB556" s="59"/>
      <c r="AC556" s="59"/>
      <c r="AD556" s="59"/>
      <c r="AE556" s="59"/>
      <c r="AF556" s="63">
        <f ca="1">Table2[[#This Row],[End Date]]+2-TODAY()</f>
        <v>4</v>
      </c>
      <c r="AG556" s="59">
        <f>IF(ISBLANK(Table2[[#This Row],[Roster Received by]]),1,0)</f>
        <v>1</v>
      </c>
      <c r="AH556" s="59">
        <f ca="1">IF(Table2[[#This Row],[Start Date]]&gt;TODAY(),1,)</f>
        <v>1</v>
      </c>
      <c r="AI556" s="59">
        <f>IF(ISBLANK(Table2[[#This Row],[Primary Instructor]]),0,1)</f>
        <v>1</v>
      </c>
      <c r="AJ556" s="59">
        <f>IF(ISBLANK(Table2[[#This Row],[Instructor 2]]),0,1)</f>
        <v>1</v>
      </c>
      <c r="AK556" s="59">
        <f t="shared" si="3"/>
        <v>0</v>
      </c>
      <c r="AL556" s="113">
        <v>954</v>
      </c>
      <c r="AM556" s="59"/>
      <c r="AN556" s="59" t="str">
        <f>VLOOKUP(Table2[[#This Row],[Course Title]],'TSD-Data'!$A$1:$G$83,7,FALSE)</f>
        <v>N8-RMI</v>
      </c>
      <c r="AO556" s="508">
        <f>Table2[[#This Row],[Quotas]]-Table2[[#This Row],[Graduates]]-Table2[[#This Row],[Fail]]</f>
        <v>1000</v>
      </c>
    </row>
    <row r="557" spans="2:41" s="202" customFormat="1" x14ac:dyDescent="0.25">
      <c r="B557" s="83"/>
      <c r="C557" s="83" t="s">
        <v>410</v>
      </c>
      <c r="D557" s="59" t="str">
        <f>VLOOKUP(Table2[[#This Row],[Course Title]],'TSD-Data'!$A$1:$E$83,2,FALSE)</f>
        <v>A-493-3006</v>
      </c>
      <c r="E557" s="59" t="str">
        <f>VLOOKUP(Table2[[#This Row],[Course Title]],'TSD-Data'!$A$1:$E$83,3,FALSE)</f>
        <v>31V8</v>
      </c>
      <c r="F557" s="442" t="s">
        <v>54</v>
      </c>
      <c r="G557" s="61">
        <v>46246</v>
      </c>
      <c r="H557" s="61">
        <v>46246</v>
      </c>
      <c r="I557" s="61" t="s">
        <v>42</v>
      </c>
      <c r="J557" s="64"/>
      <c r="K557" s="64">
        <v>0.45833333333333331</v>
      </c>
      <c r="L557" s="64">
        <v>0.33333333333333331</v>
      </c>
      <c r="M557" s="64">
        <v>0.75</v>
      </c>
      <c r="N557" s="64">
        <v>0.70833333333333337</v>
      </c>
      <c r="O557" s="64">
        <v>0.25</v>
      </c>
      <c r="P557" s="64">
        <v>6.9444444444444447E-4</v>
      </c>
      <c r="Q557" s="73" t="s">
        <v>445</v>
      </c>
      <c r="R557" s="73" t="s">
        <v>483</v>
      </c>
      <c r="S557" s="73"/>
      <c r="T557" s="59">
        <f>VLOOKUP(Table2[[#This Row],[Course Title]],'TSD-Data'!$A$1:$E$83,4,FALSE)</f>
        <v>1000</v>
      </c>
      <c r="U557" s="59">
        <f>VLOOKUP(Table2[[#This Row],[Course Title]],'TSD-Data'!$A$1:$F$83,6,FALSE)</f>
        <v>2</v>
      </c>
      <c r="V557" s="63">
        <f>VLOOKUP(Table2[[#This Row],[Course Title]],'TSD-Data'!$A$1:$F$83,5,FALSE)</f>
        <v>0.1</v>
      </c>
      <c r="W557" s="63"/>
      <c r="X557" s="59">
        <f>Table2[[#This Row],[Quotas]]-Table2[[#This Row],[Open Quotas]]</f>
        <v>46</v>
      </c>
      <c r="Y557" s="59"/>
      <c r="Z557" s="63"/>
      <c r="AA557" s="63"/>
      <c r="AB557" s="59"/>
      <c r="AC557" s="59"/>
      <c r="AD557" s="59"/>
      <c r="AE557" s="59"/>
      <c r="AF557" s="63">
        <f ca="1">Table2[[#This Row],[End Date]]+2-TODAY()</f>
        <v>4</v>
      </c>
      <c r="AG557" s="59">
        <f>IF(ISBLANK(Table2[[#This Row],[Roster Received by]]),1,0)</f>
        <v>1</v>
      </c>
      <c r="AH557" s="59">
        <f ca="1">IF(Table2[[#This Row],[Start Date]]&gt;TODAY(),1,)</f>
        <v>1</v>
      </c>
      <c r="AI557" s="59">
        <f>IF(ISBLANK(Table2[[#This Row],[Primary Instructor]]),0,1)</f>
        <v>1</v>
      </c>
      <c r="AJ557" s="59">
        <f>IF(ISBLANK(Table2[[#This Row],[Instructor 2]]),0,1)</f>
        <v>1</v>
      </c>
      <c r="AK557" s="59">
        <f t="shared" si="3"/>
        <v>0</v>
      </c>
      <c r="AL557" s="113">
        <v>954</v>
      </c>
      <c r="AM557" s="59"/>
      <c r="AN557" s="59" t="str">
        <f>VLOOKUP(Table2[[#This Row],[Course Title]],'TSD-Data'!$A$1:$G$83,7,FALSE)</f>
        <v>N8-RMI</v>
      </c>
      <c r="AO557" s="508">
        <f>Table2[[#This Row],[Quotas]]-Table2[[#This Row],[Graduates]]-Table2[[#This Row],[Fail]]</f>
        <v>1000</v>
      </c>
    </row>
    <row r="558" spans="2:41" x14ac:dyDescent="0.25">
      <c r="B558" s="83"/>
      <c r="C558" s="83" t="s">
        <v>411</v>
      </c>
      <c r="D558" s="59" t="str">
        <f>VLOOKUP(Table2[[#This Row],[Course Title]],'TSD-Data'!$A$1:$E$83,2,FALSE)</f>
        <v>A-493-3012</v>
      </c>
      <c r="E558" s="59" t="str">
        <f>VLOOKUP(Table2[[#This Row],[Course Title]],'TSD-Data'!$A$1:$E$83,3,FALSE)</f>
        <v>31YF</v>
      </c>
      <c r="F558" s="442" t="s">
        <v>54</v>
      </c>
      <c r="G558" s="61">
        <v>46246</v>
      </c>
      <c r="H558" s="61">
        <v>46246</v>
      </c>
      <c r="I558" s="61" t="s">
        <v>42</v>
      </c>
      <c r="J558" s="64"/>
      <c r="K558" s="64">
        <v>0.70833333333333337</v>
      </c>
      <c r="L558" s="64">
        <v>0.58333333333333337</v>
      </c>
      <c r="M558" s="64">
        <v>6.9444444444444447E-4</v>
      </c>
      <c r="N558" s="64">
        <v>0.95833333333333337</v>
      </c>
      <c r="O558" s="64">
        <v>0.5</v>
      </c>
      <c r="P558" s="64">
        <v>0.25</v>
      </c>
      <c r="Q558" s="73" t="s">
        <v>445</v>
      </c>
      <c r="R558" s="73" t="s">
        <v>483</v>
      </c>
      <c r="S558" s="73"/>
      <c r="T558" s="59">
        <f>VLOOKUP(Table2[[#This Row],[Course Title]],'TSD-Data'!$A$1:$E$83,4,FALSE)</f>
        <v>1000</v>
      </c>
      <c r="U558" s="59">
        <f>VLOOKUP(Table2[[#This Row],[Course Title]],'TSD-Data'!$A$1:$F$83,6,FALSE)</f>
        <v>1</v>
      </c>
      <c r="V558" s="63">
        <f>VLOOKUP(Table2[[#This Row],[Course Title]],'TSD-Data'!$A$1:$F$83,5,FALSE)</f>
        <v>0.1</v>
      </c>
      <c r="W558" s="63"/>
      <c r="X558" s="59">
        <f>Table2[[#This Row],[Quotas]]-Table2[[#This Row],[Open Quotas]]</f>
        <v>46</v>
      </c>
      <c r="Y558" s="59"/>
      <c r="Z558" s="63"/>
      <c r="AA558" s="63"/>
      <c r="AB558" s="59"/>
      <c r="AC558" s="59"/>
      <c r="AD558" s="59"/>
      <c r="AE558" s="59"/>
      <c r="AF558" s="63">
        <f ca="1">Table2[[#This Row],[End Date]]+2-TODAY()</f>
        <v>4</v>
      </c>
      <c r="AG558" s="59">
        <f>IF(ISBLANK(Table2[[#This Row],[Roster Received by]]),1,0)</f>
        <v>1</v>
      </c>
      <c r="AH558" s="59">
        <f ca="1">IF(Table2[[#This Row],[Start Date]]&gt;TODAY(),1,)</f>
        <v>1</v>
      </c>
      <c r="AI558" s="59">
        <f>IF(ISBLANK(Table2[[#This Row],[Primary Instructor]]),0,1)</f>
        <v>1</v>
      </c>
      <c r="AJ558" s="59">
        <f>IF(ISBLANK(Table2[[#This Row],[Instructor 2]]),0,1)</f>
        <v>1</v>
      </c>
      <c r="AK558" s="59">
        <f t="shared" si="3"/>
        <v>0</v>
      </c>
      <c r="AL558" s="113">
        <v>954</v>
      </c>
      <c r="AM558" s="59"/>
      <c r="AN558" s="59" t="str">
        <f>VLOOKUP(Table2[[#This Row],[Course Title]],'TSD-Data'!$A$1:$G$83,7,FALSE)</f>
        <v>N8-RMI</v>
      </c>
      <c r="AO558" s="508">
        <f>Table2[[#This Row],[Quotas]]-Table2[[#This Row],[Graduates]]-Table2[[#This Row],[Fail]]</f>
        <v>1000</v>
      </c>
    </row>
    <row r="559" spans="2:41" s="202" customFormat="1" x14ac:dyDescent="0.25">
      <c r="B559" s="83"/>
      <c r="C559" s="83" t="s">
        <v>399</v>
      </c>
      <c r="D559" s="59" t="str">
        <f>VLOOKUP(Table2[[#This Row],[Course Title]],'TSD-Data'!$A$1:$E$83,2,FALSE)</f>
        <v>A-493-3011</v>
      </c>
      <c r="E559" s="59" t="str">
        <f>VLOOKUP(Table2[[#This Row],[Course Title]],'TSD-Data'!$A$1:$E$83,3,FALSE)</f>
        <v>31VD</v>
      </c>
      <c r="F559" s="442" t="s">
        <v>54</v>
      </c>
      <c r="G559" s="61">
        <v>46247</v>
      </c>
      <c r="H559" s="61">
        <v>46247</v>
      </c>
      <c r="I559" s="61" t="s">
        <v>42</v>
      </c>
      <c r="J559" s="64"/>
      <c r="K559" s="64">
        <v>0.66666666666666663</v>
      </c>
      <c r="L559" s="64">
        <v>0.54166666666666663</v>
      </c>
      <c r="M559" s="64">
        <v>0.95833333333333337</v>
      </c>
      <c r="N559" s="64">
        <v>0.91666666666666663</v>
      </c>
      <c r="O559" s="64">
        <v>0.45833333333333331</v>
      </c>
      <c r="P559" s="64">
        <v>0.20833333333333334</v>
      </c>
      <c r="Q559" s="73" t="s">
        <v>445</v>
      </c>
      <c r="R559" s="73" t="s">
        <v>483</v>
      </c>
      <c r="S559" s="73"/>
      <c r="T559" s="59">
        <f>VLOOKUP(Table2[[#This Row],[Course Title]],'TSD-Data'!$A$1:$E$83,4,FALSE)</f>
        <v>1000</v>
      </c>
      <c r="U559" s="59">
        <f>VLOOKUP(Table2[[#This Row],[Course Title]],'TSD-Data'!$A$1:$F$83,6,FALSE)</f>
        <v>2.5</v>
      </c>
      <c r="V559" s="63">
        <f>VLOOKUP(Table2[[#This Row],[Course Title]],'TSD-Data'!$A$1:$F$83,5,FALSE)</f>
        <v>0.3</v>
      </c>
      <c r="W559" s="63"/>
      <c r="X559" s="59">
        <f>Table2[[#This Row],[Quotas]]-Table2[[#This Row],[Open Quotas]]</f>
        <v>46</v>
      </c>
      <c r="Y559" s="59"/>
      <c r="Z559" s="63"/>
      <c r="AA559" s="63"/>
      <c r="AB559" s="59"/>
      <c r="AC559" s="59"/>
      <c r="AD559" s="59"/>
      <c r="AE559" s="59"/>
      <c r="AF559" s="63">
        <f ca="1">Table2[[#This Row],[End Date]]+2-TODAY()</f>
        <v>5</v>
      </c>
      <c r="AG559" s="59">
        <f>IF(ISBLANK(Table2[[#This Row],[Roster Received by]]),1,0)</f>
        <v>1</v>
      </c>
      <c r="AH559" s="59">
        <f ca="1">IF(Table2[[#This Row],[Start Date]]&gt;TODAY(),1,)</f>
        <v>1</v>
      </c>
      <c r="AI559" s="59">
        <f>IF(ISBLANK(Table2[[#This Row],[Primary Instructor]]),0,1)</f>
        <v>1</v>
      </c>
      <c r="AJ559" s="59">
        <f>IF(ISBLANK(Table2[[#This Row],[Instructor 2]]),0,1)</f>
        <v>1</v>
      </c>
      <c r="AK559" s="59">
        <f t="shared" si="3"/>
        <v>0</v>
      </c>
      <c r="AL559" s="113">
        <v>954</v>
      </c>
      <c r="AM559" s="59"/>
      <c r="AN559" s="59" t="str">
        <f>VLOOKUP(Table2[[#This Row],[Course Title]],'TSD-Data'!$A$1:$G$83,7,FALSE)</f>
        <v>N8-RMI</v>
      </c>
      <c r="AO559" s="508">
        <f>Table2[[#This Row],[Quotas]]-Table2[[#This Row],[Graduates]]-Table2[[#This Row],[Fail]]</f>
        <v>1000</v>
      </c>
    </row>
    <row r="560" spans="2:41" x14ac:dyDescent="0.25">
      <c r="B560" s="83"/>
      <c r="C560" s="83" t="s">
        <v>400</v>
      </c>
      <c r="D560" s="59" t="str">
        <f>VLOOKUP(Table2[[#This Row],[Course Title]],'TSD-Data'!$A$1:$E$83,2,FALSE)</f>
        <v>A-493-3010</v>
      </c>
      <c r="E560" s="59" t="str">
        <f>VLOOKUP(Table2[[#This Row],[Course Title]],'TSD-Data'!$A$1:$E$83,3,FALSE)</f>
        <v>31VC</v>
      </c>
      <c r="F560" s="442" t="s">
        <v>54</v>
      </c>
      <c r="G560" s="61">
        <v>46247</v>
      </c>
      <c r="H560" s="61">
        <v>46247</v>
      </c>
      <c r="I560" s="61" t="s">
        <v>42</v>
      </c>
      <c r="J560" s="64"/>
      <c r="K560" s="64">
        <v>0.45833333333333331</v>
      </c>
      <c r="L560" s="64">
        <v>0.33333333333333331</v>
      </c>
      <c r="M560" s="64">
        <v>0.75</v>
      </c>
      <c r="N560" s="64">
        <v>0.70833333333333337</v>
      </c>
      <c r="O560" s="64">
        <v>0.25</v>
      </c>
      <c r="P560" s="64">
        <v>6.9444444444444447E-4</v>
      </c>
      <c r="Q560" s="73" t="s">
        <v>445</v>
      </c>
      <c r="R560" s="73" t="s">
        <v>483</v>
      </c>
      <c r="S560" s="73"/>
      <c r="T560" s="59">
        <f>VLOOKUP(Table2[[#This Row],[Course Title]],'TSD-Data'!$A$1:$E$83,4,FALSE)</f>
        <v>1000</v>
      </c>
      <c r="U560" s="59">
        <f>VLOOKUP(Table2[[#This Row],[Course Title]],'TSD-Data'!$A$1:$F$83,6,FALSE)</f>
        <v>4</v>
      </c>
      <c r="V560" s="63">
        <f>VLOOKUP(Table2[[#This Row],[Course Title]],'TSD-Data'!$A$1:$F$83,5,FALSE)</f>
        <v>0.5</v>
      </c>
      <c r="W560" s="63"/>
      <c r="X560" s="59">
        <f>Table2[[#This Row],[Quotas]]-Table2[[#This Row],[Open Quotas]]</f>
        <v>46</v>
      </c>
      <c r="Y560" s="59"/>
      <c r="Z560" s="63"/>
      <c r="AA560" s="63"/>
      <c r="AB560" s="59"/>
      <c r="AC560" s="59"/>
      <c r="AD560" s="59"/>
      <c r="AE560" s="59"/>
      <c r="AF560" s="63">
        <f ca="1">Table2[[#This Row],[End Date]]+2-TODAY()</f>
        <v>5</v>
      </c>
      <c r="AG560" s="59">
        <f>IF(ISBLANK(Table2[[#This Row],[Roster Received by]]),1,0)</f>
        <v>1</v>
      </c>
      <c r="AH560" s="59">
        <f ca="1">IF(Table2[[#This Row],[Start Date]]&gt;TODAY(),1,)</f>
        <v>1</v>
      </c>
      <c r="AI560" s="59">
        <f>IF(ISBLANK(Table2[[#This Row],[Primary Instructor]]),0,1)</f>
        <v>1</v>
      </c>
      <c r="AJ560" s="59">
        <f>IF(ISBLANK(Table2[[#This Row],[Instructor 2]]),0,1)</f>
        <v>1</v>
      </c>
      <c r="AK560" s="59">
        <f t="shared" si="3"/>
        <v>0</v>
      </c>
      <c r="AL560" s="113">
        <v>954</v>
      </c>
      <c r="AM560" s="59"/>
      <c r="AN560" s="59" t="str">
        <f>VLOOKUP(Table2[[#This Row],[Course Title]],'TSD-Data'!$A$1:$G$83,7,FALSE)</f>
        <v>N8-RMI</v>
      </c>
      <c r="AO560" s="508">
        <f>Table2[[#This Row],[Quotas]]-Table2[[#This Row],[Graduates]]-Table2[[#This Row],[Fail]]</f>
        <v>1000</v>
      </c>
    </row>
    <row r="561" spans="2:41" s="202" customFormat="1" x14ac:dyDescent="0.25">
      <c r="B561" s="83"/>
      <c r="C561" s="83" t="s">
        <v>276</v>
      </c>
      <c r="D561" s="59" t="str">
        <f>VLOOKUP(Table2[[#This Row],[Course Title]],'TSD-Data'!$A$1:$E$83,2,FALSE)</f>
        <v>A-493-0103</v>
      </c>
      <c r="E561" s="59" t="str">
        <f>VLOOKUP(Table2[[#This Row],[Course Title]],'TSD-Data'!$A$1:$E$83,3,FALSE)</f>
        <v>12JY</v>
      </c>
      <c r="F561" s="442" t="s">
        <v>75</v>
      </c>
      <c r="G561" s="61">
        <v>46251</v>
      </c>
      <c r="H561" s="61">
        <v>46255</v>
      </c>
      <c r="I561" s="61" t="s">
        <v>42</v>
      </c>
      <c r="J561" s="64">
        <v>0.33333333333333331</v>
      </c>
      <c r="K561" s="64"/>
      <c r="L561" s="61"/>
      <c r="M561" s="61"/>
      <c r="N561" s="61"/>
      <c r="O561" s="61"/>
      <c r="P561" s="61"/>
      <c r="Q561" s="73" t="s">
        <v>280</v>
      </c>
      <c r="R561" s="73"/>
      <c r="S561" s="73"/>
      <c r="T561" s="59">
        <f>VLOOKUP(Table2[[#This Row],[Course Title]],'TSD-Data'!$A$1:$E$83,4,FALSE)</f>
        <v>25</v>
      </c>
      <c r="U561" s="59">
        <f>VLOOKUP(Table2[[#This Row],[Course Title]],'TSD-Data'!$A$1:$F$83,6,FALSE)</f>
        <v>40</v>
      </c>
      <c r="V561" s="63">
        <f>VLOOKUP(Table2[[#This Row],[Course Title]],'TSD-Data'!$A$1:$F$83,5,FALSE)</f>
        <v>5</v>
      </c>
      <c r="W561" s="63">
        <v>28</v>
      </c>
      <c r="X561" s="59">
        <f>Table2[[#This Row],[Quotas]]-Table2[[#This Row],[Open Quotas]]</f>
        <v>9</v>
      </c>
      <c r="Y561" s="59">
        <v>0</v>
      </c>
      <c r="Z561" s="63"/>
      <c r="AA561" s="63"/>
      <c r="AB561" s="59"/>
      <c r="AC561" s="59"/>
      <c r="AD561" s="59"/>
      <c r="AE561" s="59"/>
      <c r="AF561" s="149">
        <f ca="1">Table2[[#This Row],[End Date]]+2-TODAY()</f>
        <v>13</v>
      </c>
      <c r="AG561" s="151">
        <f>IF(ISBLANK(Table2[[#This Row],[Roster Received by]]),1,0)</f>
        <v>1</v>
      </c>
      <c r="AH561" s="151">
        <f ca="1">IF(Table2[[#This Row],[Start Date]]&gt;TODAY(),1,)</f>
        <v>1</v>
      </c>
      <c r="AI561" s="151">
        <f>IF(ISBLANK(Table2[[#This Row],[Primary Instructor]]),0,1)</f>
        <v>1</v>
      </c>
      <c r="AJ561" s="151">
        <f>IF(ISBLANK(Table2[[#This Row],[Instructor 2]]),0,1)</f>
        <v>0</v>
      </c>
      <c r="AK561" s="496">
        <f>Table2[[#This Row],[Course Length (Hours)]]/(Table2[[#This Row],[1 Instructor]]+Table2[[#This Row],[2 Instructors]])</f>
        <v>40</v>
      </c>
      <c r="AL561" s="113">
        <v>16</v>
      </c>
      <c r="AM561" s="498">
        <v>4</v>
      </c>
      <c r="AN561" s="151" t="str">
        <f>VLOOKUP(Table2[[#This Row],[Course Title]],'TSD-Data'!$A$1:$G$83,7,FALSE)</f>
        <v>N5</v>
      </c>
      <c r="AO561" s="502">
        <f>Table2[[#This Row],[Quotas]]-Table2[[#This Row],[Graduates]]-Table2[[#This Row],[Fail]]</f>
        <v>25</v>
      </c>
    </row>
    <row r="562" spans="2:41" x14ac:dyDescent="0.25">
      <c r="B562" s="83"/>
      <c r="C562" s="83" t="s">
        <v>276</v>
      </c>
      <c r="D562" s="59" t="str">
        <f>VLOOKUP(Table2[[#This Row],[Course Title]],'TSD-Data'!$A$1:$E$83,2,FALSE)</f>
        <v>A-493-0103</v>
      </c>
      <c r="E562" s="59" t="str">
        <f>VLOOKUP(Table2[[#This Row],[Course Title]],'TSD-Data'!$A$1:$E$83,3,FALSE)</f>
        <v>12JY</v>
      </c>
      <c r="F562" s="442" t="s">
        <v>81</v>
      </c>
      <c r="G562" s="61">
        <v>46251</v>
      </c>
      <c r="H562" s="61">
        <v>46255</v>
      </c>
      <c r="I562" s="61" t="s">
        <v>42</v>
      </c>
      <c r="J562" s="64">
        <v>0.33333333333333331</v>
      </c>
      <c r="K562" s="64"/>
      <c r="L562" s="61"/>
      <c r="M562" s="61"/>
      <c r="N562" s="61"/>
      <c r="O562" s="61"/>
      <c r="P562" s="61"/>
      <c r="Q562" s="73" t="s">
        <v>280</v>
      </c>
      <c r="R562" s="73"/>
      <c r="S562" s="73"/>
      <c r="T562" s="59">
        <f>VLOOKUP(Table2[[#This Row],[Course Title]],'TSD-Data'!$A$1:$E$83,4,FALSE)</f>
        <v>25</v>
      </c>
      <c r="U562" s="59">
        <f>VLOOKUP(Table2[[#This Row],[Course Title]],'TSD-Data'!$A$1:$F$83,6,FALSE)</f>
        <v>40</v>
      </c>
      <c r="V562" s="63">
        <f>VLOOKUP(Table2[[#This Row],[Course Title]],'TSD-Data'!$A$1:$F$83,5,FALSE)</f>
        <v>5</v>
      </c>
      <c r="W562" s="63">
        <v>84</v>
      </c>
      <c r="X562" s="59">
        <f>Table2[[#This Row],[Quotas]]-Table2[[#This Row],[Open Quotas]]</f>
        <v>15</v>
      </c>
      <c r="Y562" s="59">
        <v>0</v>
      </c>
      <c r="Z562" s="63"/>
      <c r="AA562" s="63"/>
      <c r="AB562" s="59"/>
      <c r="AC562" s="59"/>
      <c r="AD562" s="59"/>
      <c r="AE562" s="59"/>
      <c r="AF562" s="149">
        <f ca="1">Table2[[#This Row],[End Date]]+2-TODAY()</f>
        <v>13</v>
      </c>
      <c r="AG562" s="151">
        <f>IF(ISBLANK(Table2[[#This Row],[Roster Received by]]),1,0)</f>
        <v>1</v>
      </c>
      <c r="AH562" s="151">
        <f ca="1">IF(Table2[[#This Row],[Start Date]]&gt;TODAY(),1,)</f>
        <v>1</v>
      </c>
      <c r="AI562" s="151">
        <f>IF(ISBLANK(Table2[[#This Row],[Primary Instructor]]),0,1)</f>
        <v>1</v>
      </c>
      <c r="AJ562" s="151">
        <f>IF(ISBLANK(Table2[[#This Row],[Instructor 2]]),0,1)</f>
        <v>0</v>
      </c>
      <c r="AK562" s="496">
        <f>Table2[[#This Row],[Course Length (Hours)]]/(Table2[[#This Row],[1 Instructor]]+Table2[[#This Row],[2 Instructors]])</f>
        <v>40</v>
      </c>
      <c r="AL562" s="113">
        <v>10</v>
      </c>
      <c r="AM562" s="498">
        <v>4</v>
      </c>
      <c r="AN562" s="151" t="str">
        <f>VLOOKUP(Table2[[#This Row],[Course Title]],'TSD-Data'!$A$1:$G$83,7,FALSE)</f>
        <v>N5</v>
      </c>
      <c r="AO562" s="502">
        <f>Table2[[#This Row],[Quotas]]-Table2[[#This Row],[Graduates]]-Table2[[#This Row],[Fail]]</f>
        <v>25</v>
      </c>
    </row>
    <row r="563" spans="2:41" x14ac:dyDescent="0.25">
      <c r="B563" s="83"/>
      <c r="C563" s="83" t="s">
        <v>196</v>
      </c>
      <c r="D563" s="59" t="str">
        <f>VLOOKUP(Table2[[#This Row],[Course Title]],'TSD-Data'!$A$1:$E$83,2,FALSE)</f>
        <v>A-4J-0022</v>
      </c>
      <c r="E563" s="59" t="str">
        <f>VLOOKUP(Table2[[#This Row],[Course Title]],'TSD-Data'!$A$1:$E$83,3,FALSE)</f>
        <v>09ER</v>
      </c>
      <c r="F563" s="442" t="s">
        <v>54</v>
      </c>
      <c r="G563" s="61">
        <v>46251</v>
      </c>
      <c r="H563" s="61">
        <v>46255</v>
      </c>
      <c r="I563" s="61" t="s">
        <v>42</v>
      </c>
      <c r="J563" s="64"/>
      <c r="K563" s="570">
        <v>0.5</v>
      </c>
      <c r="L563" s="570">
        <v>0.375</v>
      </c>
      <c r="M563" s="570">
        <v>0.79166666666666663</v>
      </c>
      <c r="N563" s="570">
        <v>0.75</v>
      </c>
      <c r="O563" s="570">
        <v>0.25</v>
      </c>
      <c r="P563" s="570">
        <v>4.1666666666666664E-2</v>
      </c>
      <c r="Q563" s="73" t="s">
        <v>295</v>
      </c>
      <c r="R563" s="73"/>
      <c r="S563" s="73"/>
      <c r="T563" s="59">
        <f>VLOOKUP(Table2[[#This Row],[Course Title]],'TSD-Data'!$A$1:$E$83,4,FALSE)</f>
        <v>45</v>
      </c>
      <c r="U563" s="59">
        <f>VLOOKUP(Table2[[#This Row],[Course Title]],'TSD-Data'!$A$1:$F$83,6,FALSE)</f>
        <v>40</v>
      </c>
      <c r="V563" s="63">
        <f>VLOOKUP(Table2[[#This Row],[Course Title]],'TSD-Data'!$A$1:$F$83,5,FALSE)</f>
        <v>2</v>
      </c>
      <c r="W563" s="63">
        <v>130</v>
      </c>
      <c r="X563" s="59">
        <f>Table2[[#This Row],[Quotas]]-Table2[[#This Row],[Open Quotas]]</f>
        <v>29</v>
      </c>
      <c r="Y563" s="59"/>
      <c r="Z563" s="63"/>
      <c r="AA563" s="63"/>
      <c r="AB563" s="59"/>
      <c r="AC563" s="59"/>
      <c r="AD563" s="59"/>
      <c r="AE563" s="59"/>
      <c r="AF563" s="149">
        <f ca="1">Table2[[#This Row],[End Date]]+2-TODAY()</f>
        <v>13</v>
      </c>
      <c r="AG563" s="151">
        <f>IF(ISBLANK(Table2[[#This Row],[Roster Received by]]),1,0)</f>
        <v>1</v>
      </c>
      <c r="AH563" s="151">
        <f ca="1">IF(Table2[[#This Row],[Start Date]]&gt;TODAY(),1,)</f>
        <v>1</v>
      </c>
      <c r="AI563" s="151">
        <f>IF(ISBLANK(Table2[[#This Row],[Primary Instructor]]),0,1)</f>
        <v>1</v>
      </c>
      <c r="AJ563" s="151">
        <f>IF(ISBLANK(Table2[[#This Row],[Instructor 2]]),0,1)</f>
        <v>0</v>
      </c>
      <c r="AK563" s="496">
        <f>Table2[[#This Row],[Course Length (Hours)]]/(Table2[[#This Row],[1 Instructor]]+Table2[[#This Row],[2 Instructors]])</f>
        <v>40</v>
      </c>
      <c r="AL563" s="113">
        <v>16</v>
      </c>
      <c r="AM563" s="498">
        <v>4</v>
      </c>
      <c r="AN563" s="151" t="str">
        <f>VLOOKUP(Table2[[#This Row],[Course Title]],'TSD-Data'!$A$1:$G$83,7,FALSE)</f>
        <v>N4</v>
      </c>
      <c r="AO563" s="502">
        <f>Table2[[#This Row],[Quotas]]-Table2[[#This Row],[Graduates]]-Table2[[#This Row],[Fail]]</f>
        <v>45</v>
      </c>
    </row>
    <row r="564" spans="2:41" x14ac:dyDescent="0.25">
      <c r="B564" s="83"/>
      <c r="C564" s="83" t="s">
        <v>252</v>
      </c>
      <c r="D564" s="59" t="str">
        <f>VLOOKUP(Table2[[#This Row],[Course Title]],'TSD-Data'!$A$1:$E$83,2,FALSE)</f>
        <v>A-493-0335</v>
      </c>
      <c r="E564" s="59" t="str">
        <f>VLOOKUP(Table2[[#This Row],[Course Title]],'TSD-Data'!$A$1:$E$83,3,FALSE)</f>
        <v>09ND</v>
      </c>
      <c r="F564" s="442" t="s">
        <v>54</v>
      </c>
      <c r="G564" s="61">
        <v>46251</v>
      </c>
      <c r="H564" s="61">
        <v>46254</v>
      </c>
      <c r="I564" s="61" t="s">
        <v>42</v>
      </c>
      <c r="J564" s="64"/>
      <c r="K564" s="64">
        <v>0.5</v>
      </c>
      <c r="L564" s="570">
        <v>0.375</v>
      </c>
      <c r="M564" s="570">
        <v>0.79166666666666663</v>
      </c>
      <c r="N564" s="570">
        <v>0.75</v>
      </c>
      <c r="O564" s="570">
        <v>0.25</v>
      </c>
      <c r="P564" s="570">
        <v>4.1666666666666664E-2</v>
      </c>
      <c r="Q564" s="73" t="s">
        <v>82</v>
      </c>
      <c r="R564" s="73"/>
      <c r="S564" s="73"/>
      <c r="T564" s="59">
        <f>VLOOKUP(Table2[[#This Row],[Course Title]],'TSD-Data'!$A$1:$E$83,4,FALSE)</f>
        <v>45</v>
      </c>
      <c r="U564" s="59">
        <f>VLOOKUP(Table2[[#This Row],[Course Title]],'TSD-Data'!$A$1:$F$83,6,FALSE)</f>
        <v>32</v>
      </c>
      <c r="V564" s="63">
        <f>VLOOKUP(Table2[[#This Row],[Course Title]],'TSD-Data'!$A$1:$F$83,5,FALSE)</f>
        <v>4</v>
      </c>
      <c r="W564" s="63">
        <v>537</v>
      </c>
      <c r="X564" s="59">
        <f>Table2[[#This Row],[Quotas]]-Table2[[#This Row],[Open Quotas]]</f>
        <v>19</v>
      </c>
      <c r="Y564" s="59">
        <v>0</v>
      </c>
      <c r="Z564" s="63"/>
      <c r="AA564" s="63"/>
      <c r="AB564" s="59"/>
      <c r="AC564" s="59"/>
      <c r="AD564" s="59"/>
      <c r="AE564" s="59"/>
      <c r="AF564" s="149">
        <f ca="1">Table2[[#This Row],[End Date]]+2-TODAY()</f>
        <v>12</v>
      </c>
      <c r="AG564" s="151">
        <f>IF(ISBLANK(Table2[[#This Row],[Roster Received by]]),1,0)</f>
        <v>1</v>
      </c>
      <c r="AH564" s="151">
        <f ca="1">IF(Table2[[#This Row],[Start Date]]&gt;TODAY(),1,)</f>
        <v>1</v>
      </c>
      <c r="AI564" s="151">
        <f>IF(ISBLANK(Table2[[#This Row],[Primary Instructor]]),0,1)</f>
        <v>1</v>
      </c>
      <c r="AJ564" s="151">
        <f>IF(ISBLANK(Table2[[#This Row],[Instructor 2]]),0,1)</f>
        <v>0</v>
      </c>
      <c r="AK564" s="496">
        <f>Table2[[#This Row],[Course Length (Hours)]]/(Table2[[#This Row],[1 Instructor]]+Table2[[#This Row],[2 Instructors]])</f>
        <v>32</v>
      </c>
      <c r="AL564" s="113">
        <v>26</v>
      </c>
      <c r="AM564" s="498">
        <v>4</v>
      </c>
      <c r="AN564" s="151" t="str">
        <f>VLOOKUP(Table2[[#This Row],[Course Title]],'TSD-Data'!$A$1:$G$83,7,FALSE)</f>
        <v>N3</v>
      </c>
      <c r="AO564" s="502">
        <f>Table2[[#This Row],[Quotas]]-Table2[[#This Row],[Graduates]]-Table2[[#This Row],[Fail]]</f>
        <v>45</v>
      </c>
    </row>
    <row r="565" spans="2:41" x14ac:dyDescent="0.25">
      <c r="B565" s="83"/>
      <c r="C565" s="83" t="s">
        <v>414</v>
      </c>
      <c r="D565" s="59" t="str">
        <f>VLOOKUP(Table2[[#This Row],[Course Title]],'TSD-Data'!$A$1:$E$83,2,FALSE)</f>
        <v>A-4J-0019</v>
      </c>
      <c r="E565" s="59" t="str">
        <f>VLOOKUP(Table2[[#This Row],[Course Title]],'TSD-Data'!$A$1:$E$83,3,FALSE)</f>
        <v>28SL/285M</v>
      </c>
      <c r="F565" s="442" t="s">
        <v>443</v>
      </c>
      <c r="G565" s="127">
        <v>46251</v>
      </c>
      <c r="H565" s="127">
        <v>46255</v>
      </c>
      <c r="I565" s="61" t="s">
        <v>42</v>
      </c>
      <c r="J565" s="64">
        <v>0.3125</v>
      </c>
      <c r="K565" s="64"/>
      <c r="L565" s="61"/>
      <c r="M565" s="61"/>
      <c r="N565" s="61"/>
      <c r="O565" s="61"/>
      <c r="P565" s="61"/>
      <c r="Q565" s="73" t="s">
        <v>444</v>
      </c>
      <c r="R565" s="73" t="s">
        <v>445</v>
      </c>
      <c r="S565" s="73"/>
      <c r="T565" s="59">
        <f>VLOOKUP(Table2[[#This Row],[Course Title]],'TSD-Data'!$A$1:$E$83,4,FALSE)</f>
        <v>20</v>
      </c>
      <c r="U565" s="59">
        <f>VLOOKUP(Table2[[#This Row],[Course Title]],'TSD-Data'!$A$1:$F$83,6,FALSE)</f>
        <v>40</v>
      </c>
      <c r="V565" s="63">
        <f>VLOOKUP(Table2[[#This Row],[Course Title]],'TSD-Data'!$A$1:$F$83,5,FALSE)</f>
        <v>5</v>
      </c>
      <c r="W565" s="63">
        <v>148</v>
      </c>
      <c r="X565" s="59">
        <f>Table2[[#This Row],[Quotas]]-Table2[[#This Row],[Open Quotas]]</f>
        <v>20</v>
      </c>
      <c r="Y565" s="59">
        <v>4</v>
      </c>
      <c r="Z565" s="63"/>
      <c r="AA565" s="63"/>
      <c r="AB565" s="59"/>
      <c r="AC565" s="59"/>
      <c r="AD565" s="59"/>
      <c r="AE565" s="59"/>
      <c r="AF565" s="149">
        <f ca="1">Table2[[#This Row],[End Date]]+2-TODAY()</f>
        <v>13</v>
      </c>
      <c r="AG565" s="151">
        <f>IF(ISBLANK(Table2[[#This Row],[Roster Received by]]),1,0)</f>
        <v>1</v>
      </c>
      <c r="AH565" s="151">
        <f ca="1">IF(Table2[[#This Row],[Start Date]]&gt;TODAY(),1,)</f>
        <v>1</v>
      </c>
      <c r="AI565" s="151">
        <f>IF(ISBLANK(Table2[[#This Row],[Primary Instructor]]),0,1)</f>
        <v>1</v>
      </c>
      <c r="AJ565" s="151">
        <f>IF(ISBLANK(Table2[[#This Row],[Instructor 2]]),0,1)</f>
        <v>1</v>
      </c>
      <c r="AK565" s="496">
        <f>Table2[[#This Row],[Course Length (Hours)]]/(Table2[[#This Row],[1 Instructor]]+Table2[[#This Row],[2 Instructors]])</f>
        <v>20</v>
      </c>
      <c r="AL565" s="113">
        <v>0</v>
      </c>
      <c r="AM565" s="498">
        <v>4</v>
      </c>
      <c r="AN565" s="151" t="str">
        <f>VLOOKUP(Table2[[#This Row],[Course Title]],'TSD-Data'!$A$1:$G$83,7,FALSE)</f>
        <v>N8</v>
      </c>
      <c r="AO565" s="502">
        <f>Table2[[#This Row],[Quotas]]-Table2[[#This Row],[Graduates]]-Table2[[#This Row],[Fail]]</f>
        <v>20</v>
      </c>
    </row>
    <row r="566" spans="2:41" ht="15" customHeight="1" x14ac:dyDescent="0.25">
      <c r="B566" s="83"/>
      <c r="C566" s="83" t="s">
        <v>236</v>
      </c>
      <c r="D566" s="59" t="str">
        <f>VLOOKUP(Table2[[#This Row],[Course Title]],'TSD-Data'!$A$1:$E$83,2,FALSE)</f>
        <v>A-493-2098</v>
      </c>
      <c r="E566" s="59" t="str">
        <f>VLOOKUP(Table2[[#This Row],[Course Title]],'TSD-Data'!$A$1:$E$83,3,FALSE)</f>
        <v>09WW</v>
      </c>
      <c r="F566" s="442" t="s">
        <v>54</v>
      </c>
      <c r="G566" s="61">
        <v>46251</v>
      </c>
      <c r="H566" s="61">
        <v>46253</v>
      </c>
      <c r="I566" s="61"/>
      <c r="J566" s="64"/>
      <c r="K566" s="64"/>
      <c r="L566" s="61"/>
      <c r="M566" s="61"/>
      <c r="N566" s="61"/>
      <c r="O566" s="61"/>
      <c r="P566" s="61"/>
      <c r="Q566" s="73"/>
      <c r="R566" s="73"/>
      <c r="S566" s="73"/>
      <c r="T566" s="59">
        <f>VLOOKUP(Table2[[#This Row],[Course Title]],'TSD-Data'!$A$1:$E$83,4,FALSE)</f>
        <v>100</v>
      </c>
      <c r="U566" s="59">
        <f>VLOOKUP(Table2[[#This Row],[Course Title]],'TSD-Data'!$A$1:$F$83,6,FALSE)</f>
        <v>16</v>
      </c>
      <c r="V566" s="63">
        <f>VLOOKUP(Table2[[#This Row],[Course Title]],'TSD-Data'!$A$1:$F$83,5,FALSE)</f>
        <v>3</v>
      </c>
      <c r="W566" s="63"/>
      <c r="X566" s="59">
        <f>Table2[[#This Row],[Quotas]]-Table2[[#This Row],[Open Quotas]]</f>
        <v>40</v>
      </c>
      <c r="Y566" s="59"/>
      <c r="Z566" s="63"/>
      <c r="AA566" s="63"/>
      <c r="AB566" s="59"/>
      <c r="AC566" s="59"/>
      <c r="AD566" s="59"/>
      <c r="AE566" s="59"/>
      <c r="AF566" s="63">
        <f ca="1">Table2[[#This Row],[End Date]]+2-TODAY()</f>
        <v>11</v>
      </c>
      <c r="AG566" s="59">
        <f>IF(ISBLANK(Table2[[#This Row],[Roster Received by]]),1,0)</f>
        <v>1</v>
      </c>
      <c r="AH566" s="59">
        <f ca="1">IF(Table2[[#This Row],[Start Date]]&gt;TODAY(),1,)</f>
        <v>1</v>
      </c>
      <c r="AI566" s="59">
        <f>IF(ISBLANK(Table2[[#This Row],[Primary Instructor]]),0,1)</f>
        <v>0</v>
      </c>
      <c r="AJ566" s="59">
        <f>IF(ISBLANK(Table2[[#This Row],[Instructor 2]]),0,1)</f>
        <v>0</v>
      </c>
      <c r="AK566" s="59">
        <f>AJ837</f>
        <v>0</v>
      </c>
      <c r="AL566" s="113">
        <v>60</v>
      </c>
      <c r="AM566" s="197"/>
      <c r="AN566" s="59" t="str">
        <f>VLOOKUP(Table2[[#This Row],[Course Title]],'TSD-Data'!$A$1:$G$83,7,FALSE)</f>
        <v>N8</v>
      </c>
      <c r="AO566" s="508">
        <f>Table2[[#This Row],[Quotas]]-Table2[[#This Row],[Graduates]]-Table2[[#This Row],[Fail]]</f>
        <v>100</v>
      </c>
    </row>
    <row r="567" spans="2:41" ht="15" customHeight="1" x14ac:dyDescent="0.25">
      <c r="B567" s="83"/>
      <c r="C567" s="83" t="s">
        <v>275</v>
      </c>
      <c r="D567" s="59" t="str">
        <f>VLOOKUP(Table2[[#This Row],[Course Title]],'TSD-Data'!$A$1:$E$83,2,FALSE)</f>
        <v>A-493-0099</v>
      </c>
      <c r="E567" s="59" t="str">
        <f>VLOOKUP(Table2[[#This Row],[Course Title]],'TSD-Data'!$A$1:$E$83,3,FALSE)</f>
        <v>12JW</v>
      </c>
      <c r="F567" s="442" t="s">
        <v>54</v>
      </c>
      <c r="G567" s="61">
        <v>46252</v>
      </c>
      <c r="H567" s="61">
        <v>46254</v>
      </c>
      <c r="I567" s="61" t="s">
        <v>42</v>
      </c>
      <c r="J567" s="64"/>
      <c r="K567" s="64">
        <v>0.5</v>
      </c>
      <c r="L567" s="570">
        <v>0.375</v>
      </c>
      <c r="M567" s="570">
        <v>0.79166666666666663</v>
      </c>
      <c r="N567" s="570">
        <v>0.75</v>
      </c>
      <c r="O567" s="570">
        <v>0.25</v>
      </c>
      <c r="P567" s="570">
        <v>4.1666666666666664E-2</v>
      </c>
      <c r="Q567" s="73" t="s">
        <v>274</v>
      </c>
      <c r="R567" s="73"/>
      <c r="S567" s="73"/>
      <c r="T567" s="59">
        <f>VLOOKUP(Table2[[#This Row],[Course Title]],'TSD-Data'!$A$1:$E$83,4,FALSE)</f>
        <v>45</v>
      </c>
      <c r="U567" s="59">
        <f>VLOOKUP(Table2[[#This Row],[Course Title]],'TSD-Data'!$A$1:$F$83,6,FALSE)</f>
        <v>24</v>
      </c>
      <c r="V567" s="63">
        <f>VLOOKUP(Table2[[#This Row],[Course Title]],'TSD-Data'!$A$1:$F$83,5,FALSE)</f>
        <v>3</v>
      </c>
      <c r="W567" s="63">
        <v>934</v>
      </c>
      <c r="X567" s="59">
        <f>Table2[[#This Row],[Quotas]]-Table2[[#This Row],[Open Quotas]]</f>
        <v>24</v>
      </c>
      <c r="Y567" s="59">
        <v>0</v>
      </c>
      <c r="Z567" s="63"/>
      <c r="AA567" s="63"/>
      <c r="AB567" s="59"/>
      <c r="AC567" s="59"/>
      <c r="AD567" s="59"/>
      <c r="AE567" s="59"/>
      <c r="AF567" s="149">
        <f ca="1">Table2[[#This Row],[End Date]]+2-TODAY()</f>
        <v>12</v>
      </c>
      <c r="AG567" s="151">
        <f>IF(ISBLANK(Table2[[#This Row],[Roster Received by]]),1,0)</f>
        <v>1</v>
      </c>
      <c r="AH567" s="151">
        <f ca="1">IF(Table2[[#This Row],[Start Date]]&gt;TODAY(),1,)</f>
        <v>1</v>
      </c>
      <c r="AI567" s="151">
        <f>IF(ISBLANK(Table2[[#This Row],[Primary Instructor]]),0,1)</f>
        <v>1</v>
      </c>
      <c r="AJ567" s="151">
        <f>IF(ISBLANK(Table2[[#This Row],[Instructor 2]]),0,1)</f>
        <v>0</v>
      </c>
      <c r="AK567" s="496">
        <f>Table2[[#This Row],[Course Length (Hours)]]/(Table2[[#This Row],[1 Instructor]]+Table2[[#This Row],[2 Instructors]])</f>
        <v>24</v>
      </c>
      <c r="AL567" s="113">
        <v>21</v>
      </c>
      <c r="AM567" s="498">
        <v>4</v>
      </c>
      <c r="AN567" s="151" t="str">
        <f>VLOOKUP(Table2[[#This Row],[Course Title]],'TSD-Data'!$A$1:$G$83,7,FALSE)</f>
        <v>N5</v>
      </c>
      <c r="AO567" s="502">
        <f>Table2[[#This Row],[Quotas]]-Table2[[#This Row],[Graduates]]-Table2[[#This Row],[Fail]]</f>
        <v>45</v>
      </c>
    </row>
    <row r="568" spans="2:41" ht="15" customHeight="1" x14ac:dyDescent="0.25">
      <c r="B568" s="83"/>
      <c r="C568" s="83" t="s">
        <v>396</v>
      </c>
      <c r="D568" s="59" t="str">
        <f>VLOOKUP(Table2[[#This Row],[Course Title]],'TSD-Data'!$A$1:$E$83,2,FALSE)</f>
        <v>A-493-3018</v>
      </c>
      <c r="E568" s="59" t="str">
        <f>VLOOKUP(Table2[[#This Row],[Course Title]],'TSD-Data'!$A$1:$E$83,3,FALSE)</f>
        <v>31YM</v>
      </c>
      <c r="F568" s="442" t="s">
        <v>54</v>
      </c>
      <c r="G568" s="61">
        <v>46252</v>
      </c>
      <c r="H568" s="61">
        <v>46252</v>
      </c>
      <c r="I568" s="61" t="s">
        <v>42</v>
      </c>
      <c r="J568" s="64"/>
      <c r="K568" s="64">
        <v>0.6875</v>
      </c>
      <c r="L568" s="64">
        <v>0.5625</v>
      </c>
      <c r="M568" s="64">
        <v>0.97916666666666663</v>
      </c>
      <c r="N568" s="64">
        <v>0.9375</v>
      </c>
      <c r="O568" s="64">
        <v>0.47916666666666669</v>
      </c>
      <c r="P568" s="64">
        <v>0.22916666666666666</v>
      </c>
      <c r="Q568" s="73" t="s">
        <v>445</v>
      </c>
      <c r="R568" s="73" t="s">
        <v>483</v>
      </c>
      <c r="S568" s="73"/>
      <c r="T568" s="59">
        <f>VLOOKUP(Table2[[#This Row],[Course Title]],'TSD-Data'!$A$1:$E$83,4,FALSE)</f>
        <v>1000</v>
      </c>
      <c r="U568" s="59">
        <f>VLOOKUP(Table2[[#This Row],[Course Title]],'TSD-Data'!$A$1:$F$83,6,FALSE)</f>
        <v>2</v>
      </c>
      <c r="V568" s="63">
        <f>VLOOKUP(Table2[[#This Row],[Course Title]],'TSD-Data'!$A$1:$F$83,5,FALSE)</f>
        <v>0.25</v>
      </c>
      <c r="W568" s="63"/>
      <c r="X568" s="59">
        <f>Table2[[#This Row],[Quotas]]-Table2[[#This Row],[Open Quotas]]</f>
        <v>46</v>
      </c>
      <c r="Y568" s="59"/>
      <c r="Z568" s="63"/>
      <c r="AA568" s="63"/>
      <c r="AB568" s="59"/>
      <c r="AC568" s="59"/>
      <c r="AD568" s="59"/>
      <c r="AE568" s="59"/>
      <c r="AF568" s="63">
        <f ca="1">Table2[[#This Row],[End Date]]+2-TODAY()</f>
        <v>10</v>
      </c>
      <c r="AG568" s="59">
        <f>IF(ISBLANK(Table2[[#This Row],[Roster Received by]]),1,0)</f>
        <v>1</v>
      </c>
      <c r="AH568" s="59">
        <f ca="1">IF(Table2[[#This Row],[Start Date]]&gt;TODAY(),1,)</f>
        <v>1</v>
      </c>
      <c r="AI568" s="59">
        <f>IF(ISBLANK(Table2[[#This Row],[Primary Instructor]]),0,1)</f>
        <v>1</v>
      </c>
      <c r="AJ568" s="59">
        <f>IF(ISBLANK(Table2[[#This Row],[Instructor 2]]),0,1)</f>
        <v>1</v>
      </c>
      <c r="AK568" s="59">
        <f>AJ866</f>
        <v>0</v>
      </c>
      <c r="AL568" s="113">
        <v>954</v>
      </c>
      <c r="AM568" s="59"/>
      <c r="AN568" s="59" t="str">
        <f>VLOOKUP(Table2[[#This Row],[Course Title]],'TSD-Data'!$A$1:$G$83,7,FALSE)</f>
        <v>N8-RMI</v>
      </c>
      <c r="AO568" s="508">
        <f>Table2[[#This Row],[Quotas]]-Table2[[#This Row],[Graduates]]-Table2[[#This Row],[Fail]]</f>
        <v>1000</v>
      </c>
    </row>
    <row r="569" spans="2:41" ht="15" customHeight="1" x14ac:dyDescent="0.25">
      <c r="B569" s="83"/>
      <c r="C569" s="83" t="s">
        <v>397</v>
      </c>
      <c r="D569" s="59" t="str">
        <f>VLOOKUP(Table2[[#This Row],[Course Title]],'TSD-Data'!$A$1:$E$83,2,FALSE)</f>
        <v>A-493-3005</v>
      </c>
      <c r="E569" s="59" t="str">
        <f>VLOOKUP(Table2[[#This Row],[Course Title]],'TSD-Data'!$A$1:$E$83,3,FALSE)</f>
        <v>31V7</v>
      </c>
      <c r="F569" s="442" t="s">
        <v>54</v>
      </c>
      <c r="G569" s="61">
        <v>46252</v>
      </c>
      <c r="H569" s="61">
        <v>46252</v>
      </c>
      <c r="I569" s="61" t="s">
        <v>42</v>
      </c>
      <c r="J569" s="64"/>
      <c r="K569" s="64">
        <v>0.5625</v>
      </c>
      <c r="L569" s="64">
        <v>0.4375</v>
      </c>
      <c r="M569" s="64">
        <v>0.85416666666666663</v>
      </c>
      <c r="N569" s="64">
        <v>0.8125</v>
      </c>
      <c r="O569" s="64">
        <v>0.35416666666666669</v>
      </c>
      <c r="P569" s="64">
        <v>0.10416666666666667</v>
      </c>
      <c r="Q569" s="73" t="s">
        <v>445</v>
      </c>
      <c r="R569" s="73" t="s">
        <v>483</v>
      </c>
      <c r="S569" s="73"/>
      <c r="T569" s="59">
        <f>VLOOKUP(Table2[[#This Row],[Course Title]],'TSD-Data'!$A$1:$E$83,4,FALSE)</f>
        <v>1000</v>
      </c>
      <c r="U569" s="59">
        <f>VLOOKUP(Table2[[#This Row],[Course Title]],'TSD-Data'!$A$1:$F$83,6,FALSE)</f>
        <v>2</v>
      </c>
      <c r="V569" s="63">
        <f>VLOOKUP(Table2[[#This Row],[Course Title]],'TSD-Data'!$A$1:$F$83,5,FALSE)</f>
        <v>0.25</v>
      </c>
      <c r="W569" s="63"/>
      <c r="X569" s="59">
        <f>Table2[[#This Row],[Quotas]]-Table2[[#This Row],[Open Quotas]]</f>
        <v>46</v>
      </c>
      <c r="Y569" s="59"/>
      <c r="Z569" s="63"/>
      <c r="AA569" s="63"/>
      <c r="AB569" s="59"/>
      <c r="AC569" s="59"/>
      <c r="AD569" s="59"/>
      <c r="AE569" s="59"/>
      <c r="AF569" s="63">
        <f ca="1">Table2[[#This Row],[End Date]]+2-TODAY()</f>
        <v>10</v>
      </c>
      <c r="AG569" s="59">
        <f>IF(ISBLANK(Table2[[#This Row],[Roster Received by]]),1,0)</f>
        <v>1</v>
      </c>
      <c r="AH569" s="59">
        <f ca="1">IF(Table2[[#This Row],[Start Date]]&gt;TODAY(),1,)</f>
        <v>1</v>
      </c>
      <c r="AI569" s="59">
        <f>IF(ISBLANK(Table2[[#This Row],[Primary Instructor]]),0,1)</f>
        <v>1</v>
      </c>
      <c r="AJ569" s="59">
        <f>IF(ISBLANK(Table2[[#This Row],[Instructor 2]]),0,1)</f>
        <v>1</v>
      </c>
      <c r="AK569" s="59">
        <f>AJ867</f>
        <v>0</v>
      </c>
      <c r="AL569" s="113">
        <v>954</v>
      </c>
      <c r="AM569" s="59"/>
      <c r="AN569" s="59" t="str">
        <f>VLOOKUP(Table2[[#This Row],[Course Title]],'TSD-Data'!$A$1:$G$83,7,FALSE)</f>
        <v>N8-RMI</v>
      </c>
      <c r="AO569" s="508">
        <f>Table2[[#This Row],[Quotas]]-Table2[[#This Row],[Graduates]]-Table2[[#This Row],[Fail]]</f>
        <v>1000</v>
      </c>
    </row>
    <row r="570" spans="2:41" ht="15" customHeight="1" x14ac:dyDescent="0.25">
      <c r="B570" s="83"/>
      <c r="C570" s="83" t="s">
        <v>398</v>
      </c>
      <c r="D570" s="59" t="str">
        <f>VLOOKUP(Table2[[#This Row],[Course Title]],'TSD-Data'!$A$1:$E$83,2,FALSE)</f>
        <v>A-493-3004</v>
      </c>
      <c r="E570" s="59" t="str">
        <f>VLOOKUP(Table2[[#This Row],[Course Title]],'TSD-Data'!$A$1:$E$83,3,FALSE)</f>
        <v>31V6</v>
      </c>
      <c r="F570" s="442" t="s">
        <v>54</v>
      </c>
      <c r="G570" s="61">
        <v>46252</v>
      </c>
      <c r="H570" s="61">
        <v>46252</v>
      </c>
      <c r="I570" s="61" t="s">
        <v>42</v>
      </c>
      <c r="J570" s="64"/>
      <c r="K570" s="64">
        <v>0.45833333333333331</v>
      </c>
      <c r="L570" s="64">
        <v>0.33333333333333331</v>
      </c>
      <c r="M570" s="64">
        <v>0.75</v>
      </c>
      <c r="N570" s="64">
        <v>0.70833333333333337</v>
      </c>
      <c r="O570" s="64">
        <v>0.25</v>
      </c>
      <c r="P570" s="64">
        <v>6.9444444444444447E-4</v>
      </c>
      <c r="Q570" s="73" t="s">
        <v>445</v>
      </c>
      <c r="R570" s="73" t="s">
        <v>483</v>
      </c>
      <c r="S570" s="73"/>
      <c r="T570" s="59">
        <f>VLOOKUP(Table2[[#This Row],[Course Title]],'TSD-Data'!$A$1:$E$83,4,FALSE)</f>
        <v>1000</v>
      </c>
      <c r="U570" s="59">
        <f>VLOOKUP(Table2[[#This Row],[Course Title]],'TSD-Data'!$A$1:$F$83,6,FALSE)</f>
        <v>2</v>
      </c>
      <c r="V570" s="63">
        <f>VLOOKUP(Table2[[#This Row],[Course Title]],'TSD-Data'!$A$1:$F$83,5,FALSE)</f>
        <v>0.25</v>
      </c>
      <c r="W570" s="63"/>
      <c r="X570" s="59">
        <f>Table2[[#This Row],[Quotas]]-Table2[[#This Row],[Open Quotas]]</f>
        <v>46</v>
      </c>
      <c r="Y570" s="59"/>
      <c r="Z570" s="63"/>
      <c r="AA570" s="63"/>
      <c r="AB570" s="59"/>
      <c r="AC570" s="59"/>
      <c r="AD570" s="59"/>
      <c r="AE570" s="59"/>
      <c r="AF570" s="63">
        <f ca="1">Table2[[#This Row],[End Date]]+2-TODAY()</f>
        <v>10</v>
      </c>
      <c r="AG570" s="59">
        <f>IF(ISBLANK(Table2[[#This Row],[Roster Received by]]),1,0)</f>
        <v>1</v>
      </c>
      <c r="AH570" s="59">
        <f ca="1">IF(Table2[[#This Row],[Start Date]]&gt;TODAY(),1,)</f>
        <v>1</v>
      </c>
      <c r="AI570" s="59">
        <f>IF(ISBLANK(Table2[[#This Row],[Primary Instructor]]),0,1)</f>
        <v>1</v>
      </c>
      <c r="AJ570" s="59">
        <f>IF(ISBLANK(Table2[[#This Row],[Instructor 2]]),0,1)</f>
        <v>1</v>
      </c>
      <c r="AK570" s="59">
        <f>AJ868</f>
        <v>0</v>
      </c>
      <c r="AL570" s="113">
        <v>954</v>
      </c>
      <c r="AM570" s="59"/>
      <c r="AN570" s="59" t="str">
        <f>VLOOKUP(Table2[[#This Row],[Course Title]],'TSD-Data'!$A$1:$G$83,7,FALSE)</f>
        <v>N8-RMI</v>
      </c>
      <c r="AO570" s="508">
        <f>Table2[[#This Row],[Quotas]]-Table2[[#This Row],[Graduates]]-Table2[[#This Row],[Fail]]</f>
        <v>1000</v>
      </c>
    </row>
    <row r="571" spans="2:41" ht="15" customHeight="1" x14ac:dyDescent="0.25">
      <c r="B571" s="83"/>
      <c r="C571" s="83" t="s">
        <v>99</v>
      </c>
      <c r="D571" s="59" t="str">
        <f>VLOOKUP(Table2[[#This Row],[Course Title]],'TSD-Data'!$A$1:$E$83,2,FALSE)</f>
        <v>A-493-2501</v>
      </c>
      <c r="E571" s="59" t="str">
        <f>VLOOKUP(Table2[[#This Row],[Course Title]],'TSD-Data'!$A$1:$E$83,3,FALSE)</f>
        <v>05ZE</v>
      </c>
      <c r="F571" s="442" t="s">
        <v>129</v>
      </c>
      <c r="G571" s="61">
        <v>46252</v>
      </c>
      <c r="H571" s="61">
        <v>46252</v>
      </c>
      <c r="I571" s="10" t="s">
        <v>42</v>
      </c>
      <c r="J571" s="64">
        <v>0.33333333333333331</v>
      </c>
      <c r="K571" s="64"/>
      <c r="L571" s="61"/>
      <c r="M571" s="61"/>
      <c r="N571" s="61"/>
      <c r="O571" s="61"/>
      <c r="P571" s="61"/>
      <c r="Q571" s="73" t="s">
        <v>48</v>
      </c>
      <c r="R571" s="73"/>
      <c r="S571" s="73"/>
      <c r="T571" s="59">
        <f>VLOOKUP(Table2[[#This Row],[Course Title]],'TSD-Data'!$A$1:$E$83,4,FALSE)</f>
        <v>30</v>
      </c>
      <c r="U571" s="59">
        <f>VLOOKUP(Table2[[#This Row],[Course Title]],'TSD-Data'!$A$1:$F$83,6,FALSE)</f>
        <v>8</v>
      </c>
      <c r="V571" s="63">
        <f>VLOOKUP(Table2[[#This Row],[Course Title]],'TSD-Data'!$A$1:$F$83,5,FALSE)</f>
        <v>1</v>
      </c>
      <c r="W571" s="63"/>
      <c r="X571" s="59">
        <f>Table2[[#This Row],[Quotas]]-Table2[[#This Row],[Open Quotas]]</f>
        <v>22</v>
      </c>
      <c r="Y571" s="59"/>
      <c r="Z571" s="63"/>
      <c r="AA571" s="63"/>
      <c r="AB571" s="59"/>
      <c r="AC571" s="59"/>
      <c r="AD571" s="59"/>
      <c r="AE571" s="59"/>
      <c r="AF571" s="63">
        <f ca="1">Table2[[#This Row],[End Date]]+2-TODAY()</f>
        <v>10</v>
      </c>
      <c r="AG571" s="59">
        <f>IF(ISBLANK(Table2[[#This Row],[Roster Received by]]),1,0)</f>
        <v>1</v>
      </c>
      <c r="AH571" s="59">
        <f ca="1">IF(Table2[[#This Row],[Start Date]]&gt;TODAY(),1,)</f>
        <v>1</v>
      </c>
      <c r="AI571" s="59">
        <f>IF(ISBLANK(Table2[[#This Row],[Primary Instructor]]),0,1)</f>
        <v>1</v>
      </c>
      <c r="AJ571" s="59">
        <f>IF(ISBLANK(Table2[[#This Row],[Instructor 2]]),0,1)</f>
        <v>0</v>
      </c>
      <c r="AK571" s="59">
        <f>AJ931</f>
        <v>0</v>
      </c>
      <c r="AL571" s="113">
        <v>8</v>
      </c>
      <c r="AM571" s="59"/>
      <c r="AN571" s="59" t="str">
        <f>VLOOKUP(Table2[[#This Row],[Course Title]],'TSD-Data'!$A$1:$G$83,7,FALSE)</f>
        <v>N4</v>
      </c>
      <c r="AO571" s="508">
        <f>Table2[[#This Row],[Quotas]]-Table2[[#This Row],[Graduates]]-Table2[[#This Row],[Fail]]</f>
        <v>30</v>
      </c>
    </row>
    <row r="572" spans="2:41" ht="15" customHeight="1" x14ac:dyDescent="0.25">
      <c r="B572" s="83"/>
      <c r="C572" s="83" t="s">
        <v>402</v>
      </c>
      <c r="D572" s="59" t="str">
        <f>VLOOKUP(Table2[[#This Row],[Course Title]],'TSD-Data'!$A$1:$E$83,2,FALSE)</f>
        <v>A-493-3017</v>
      </c>
      <c r="E572" s="59" t="str">
        <f>VLOOKUP(Table2[[#This Row],[Course Title]],'TSD-Data'!$A$1:$E$83,3,FALSE)</f>
        <v>31YL</v>
      </c>
      <c r="F572" s="442" t="s">
        <v>54</v>
      </c>
      <c r="G572" s="61">
        <v>46253</v>
      </c>
      <c r="H572" s="61">
        <v>46253</v>
      </c>
      <c r="I572" s="61" t="s">
        <v>42</v>
      </c>
      <c r="J572" s="64"/>
      <c r="K572" s="64">
        <v>0.64583333333333337</v>
      </c>
      <c r="L572" s="64">
        <v>0.52083333333333337</v>
      </c>
      <c r="M572" s="64">
        <v>0.9375</v>
      </c>
      <c r="N572" s="64">
        <v>0.89583333333333337</v>
      </c>
      <c r="O572" s="64">
        <v>0.4375</v>
      </c>
      <c r="P572" s="64">
        <v>0.1875</v>
      </c>
      <c r="Q572" s="73" t="s">
        <v>445</v>
      </c>
      <c r="R572" s="73" t="s">
        <v>483</v>
      </c>
      <c r="S572" s="73"/>
      <c r="T572" s="59">
        <f>VLOOKUP(Table2[[#This Row],[Course Title]],'TSD-Data'!$A$1:$E$83,4,FALSE)</f>
        <v>1000</v>
      </c>
      <c r="U572" s="59">
        <f>VLOOKUP(Table2[[#This Row],[Course Title]],'TSD-Data'!$A$1:$F$83,6,FALSE)</f>
        <v>1.5</v>
      </c>
      <c r="V572" s="63">
        <f>VLOOKUP(Table2[[#This Row],[Course Title]],'TSD-Data'!$A$1:$F$83,5,FALSE)</f>
        <v>0.1</v>
      </c>
      <c r="W572" s="63"/>
      <c r="X572" s="59">
        <f>Table2[[#This Row],[Quotas]]-Table2[[#This Row],[Open Quotas]]</f>
        <v>46</v>
      </c>
      <c r="Y572" s="59"/>
      <c r="Z572" s="63"/>
      <c r="AA572" s="63"/>
      <c r="AB572" s="59"/>
      <c r="AC572" s="59"/>
      <c r="AD572" s="59"/>
      <c r="AE572" s="59"/>
      <c r="AF572" s="63">
        <f ca="1">Table2[[#This Row],[End Date]]+2-TODAY()</f>
        <v>11</v>
      </c>
      <c r="AG572" s="59">
        <f>IF(ISBLANK(Table2[[#This Row],[Roster Received by]]),1,0)</f>
        <v>1</v>
      </c>
      <c r="AH572" s="59">
        <f ca="1">IF(Table2[[#This Row],[Start Date]]&gt;TODAY(),1,)</f>
        <v>1</v>
      </c>
      <c r="AI572" s="59">
        <f>IF(ISBLANK(Table2[[#This Row],[Primary Instructor]]),0,1)</f>
        <v>1</v>
      </c>
      <c r="AJ572" s="59">
        <f>IF(ISBLANK(Table2[[#This Row],[Instructor 2]]),0,1)</f>
        <v>1</v>
      </c>
      <c r="AK572" s="59">
        <f t="shared" ref="AK572:AK581" si="4">AJ870</f>
        <v>0</v>
      </c>
      <c r="AL572" s="113">
        <v>954</v>
      </c>
      <c r="AM572" s="59"/>
      <c r="AN572" s="59" t="str">
        <f>VLOOKUP(Table2[[#This Row],[Course Title]],'TSD-Data'!$A$1:$G$83,7,FALSE)</f>
        <v>N8-RMI</v>
      </c>
      <c r="AO572" s="508">
        <f>Table2[[#This Row],[Quotas]]-Table2[[#This Row],[Graduates]]-Table2[[#This Row],[Fail]]</f>
        <v>1000</v>
      </c>
    </row>
    <row r="573" spans="2:41" ht="15" customHeight="1" x14ac:dyDescent="0.25">
      <c r="B573" s="83"/>
      <c r="C573" s="83" t="s">
        <v>408</v>
      </c>
      <c r="D573" s="59" t="str">
        <f>VLOOKUP(Table2[[#This Row],[Course Title]],'TSD-Data'!$A$1:$E$83,2,FALSE)</f>
        <v>A-493-3008</v>
      </c>
      <c r="E573" s="59" t="str">
        <f>VLOOKUP(Table2[[#This Row],[Course Title]],'TSD-Data'!$A$1:$E$83,3,FALSE)</f>
        <v>31VA</v>
      </c>
      <c r="F573" s="442" t="s">
        <v>54</v>
      </c>
      <c r="G573" s="61">
        <v>46253</v>
      </c>
      <c r="H573" s="61">
        <v>46253</v>
      </c>
      <c r="I573" s="61" t="s">
        <v>42</v>
      </c>
      <c r="J573" s="64"/>
      <c r="K573" s="64">
        <v>0.54166666666666663</v>
      </c>
      <c r="L573" s="64">
        <v>0.41666666666666669</v>
      </c>
      <c r="M573" s="64">
        <v>0.83333333333333337</v>
      </c>
      <c r="N573" s="64">
        <v>0.79166666666666663</v>
      </c>
      <c r="O573" s="64">
        <v>0.33333333333333331</v>
      </c>
      <c r="P573" s="64">
        <v>8.3333333333333329E-2</v>
      </c>
      <c r="Q573" s="73" t="s">
        <v>445</v>
      </c>
      <c r="R573" s="73" t="s">
        <v>483</v>
      </c>
      <c r="S573" s="73"/>
      <c r="T573" s="59">
        <f>VLOOKUP(Table2[[#This Row],[Course Title]],'TSD-Data'!$A$1:$E$83,4,FALSE)</f>
        <v>1000</v>
      </c>
      <c r="U573" s="59">
        <f>VLOOKUP(Table2[[#This Row],[Course Title]],'TSD-Data'!$A$1:$F$83,6,FALSE)</f>
        <v>1.5</v>
      </c>
      <c r="V573" s="63">
        <f>VLOOKUP(Table2[[#This Row],[Course Title]],'TSD-Data'!$A$1:$F$83,5,FALSE)</f>
        <v>0.1</v>
      </c>
      <c r="W573" s="63"/>
      <c r="X573" s="59">
        <f>Table2[[#This Row],[Quotas]]-Table2[[#This Row],[Open Quotas]]</f>
        <v>46</v>
      </c>
      <c r="Y573" s="59"/>
      <c r="Z573" s="63"/>
      <c r="AA573" s="63"/>
      <c r="AB573" s="59"/>
      <c r="AC573" s="59"/>
      <c r="AD573" s="59"/>
      <c r="AE573" s="59"/>
      <c r="AF573" s="63">
        <f ca="1">Table2[[#This Row],[End Date]]+2-TODAY()</f>
        <v>11</v>
      </c>
      <c r="AG573" s="59">
        <f>IF(ISBLANK(Table2[[#This Row],[Roster Received by]]),1,0)</f>
        <v>1</v>
      </c>
      <c r="AH573" s="59">
        <f ca="1">IF(Table2[[#This Row],[Start Date]]&gt;TODAY(),1,)</f>
        <v>1</v>
      </c>
      <c r="AI573" s="59">
        <f>IF(ISBLANK(Table2[[#This Row],[Primary Instructor]]),0,1)</f>
        <v>1</v>
      </c>
      <c r="AJ573" s="59">
        <f>IF(ISBLANK(Table2[[#This Row],[Instructor 2]]),0,1)</f>
        <v>1</v>
      </c>
      <c r="AK573" s="59">
        <f t="shared" si="4"/>
        <v>0</v>
      </c>
      <c r="AL573" s="113">
        <v>954</v>
      </c>
      <c r="AM573" s="59"/>
      <c r="AN573" s="59" t="str">
        <f>VLOOKUP(Table2[[#This Row],[Course Title]],'TSD-Data'!$A$1:$G$83,7,FALSE)</f>
        <v>N8-RMI</v>
      </c>
      <c r="AO573" s="508">
        <f>Table2[[#This Row],[Quotas]]-Table2[[#This Row],[Graduates]]-Table2[[#This Row],[Fail]]</f>
        <v>1000</v>
      </c>
    </row>
    <row r="574" spans="2:41" ht="15" customHeight="1" x14ac:dyDescent="0.25">
      <c r="B574" s="83"/>
      <c r="C574" s="83" t="s">
        <v>491</v>
      </c>
      <c r="D574" s="59" t="str">
        <f>VLOOKUP(Table2[[#This Row],[Course Title]],'TSD-Data'!$A$1:$E$83,2,FALSE)</f>
        <v xml:space="preserve">A-493-2021 </v>
      </c>
      <c r="E574" s="59" t="str">
        <f>VLOOKUP(Table2[[#This Row],[Course Title]],'TSD-Data'!$A$1:$E$83,3,FALSE)</f>
        <v>33DB</v>
      </c>
      <c r="F574" s="442" t="s">
        <v>54</v>
      </c>
      <c r="G574" s="61">
        <v>46253</v>
      </c>
      <c r="H574" s="61">
        <v>46253</v>
      </c>
      <c r="I574" s="61" t="s">
        <v>42</v>
      </c>
      <c r="J574" s="64"/>
      <c r="K574" s="64">
        <v>0.75</v>
      </c>
      <c r="L574" s="64">
        <v>0.625</v>
      </c>
      <c r="M574" s="64">
        <v>4.1666666666666664E-2</v>
      </c>
      <c r="N574" s="64">
        <v>6.9444444444444447E-4</v>
      </c>
      <c r="O574" s="64">
        <v>0.54166666666666663</v>
      </c>
      <c r="P574" s="64">
        <v>0.29166666666666669</v>
      </c>
      <c r="Q574" s="73" t="s">
        <v>445</v>
      </c>
      <c r="R574" s="73" t="s">
        <v>483</v>
      </c>
      <c r="S574" s="73"/>
      <c r="T574" s="59">
        <f>VLOOKUP(Table2[[#This Row],[Course Title]],'TSD-Data'!$A$1:$E$83,4,FALSE)</f>
        <v>1000</v>
      </c>
      <c r="U574" s="59">
        <f>VLOOKUP(Table2[[#This Row],[Course Title]],'TSD-Data'!$A$1:$F$83,6,FALSE)</f>
        <v>2</v>
      </c>
      <c r="V574" s="63">
        <f>VLOOKUP(Table2[[#This Row],[Course Title]],'TSD-Data'!$A$1:$F$83,5,FALSE)</f>
        <v>0.25</v>
      </c>
      <c r="W574" s="63"/>
      <c r="X574" s="59">
        <f>Table2[[#This Row],[Quotas]]-Table2[[#This Row],[Open Quotas]]</f>
        <v>46</v>
      </c>
      <c r="Y574" s="59"/>
      <c r="Z574" s="63"/>
      <c r="AA574" s="63"/>
      <c r="AB574" s="59"/>
      <c r="AC574" s="59"/>
      <c r="AD574" s="59"/>
      <c r="AE574" s="59"/>
      <c r="AF574" s="63">
        <f ca="1">Table2[[#This Row],[End Date]]+2-TODAY()</f>
        <v>11</v>
      </c>
      <c r="AG574" s="59">
        <f>IF(ISBLANK(Table2[[#This Row],[Roster Received by]]),1,0)</f>
        <v>1</v>
      </c>
      <c r="AH574" s="59">
        <f ca="1">IF(Table2[[#This Row],[Start Date]]&gt;TODAY(),1,)</f>
        <v>1</v>
      </c>
      <c r="AI574" s="59">
        <f>IF(ISBLANK(Table2[[#This Row],[Primary Instructor]]),0,1)</f>
        <v>1</v>
      </c>
      <c r="AJ574" s="59">
        <f>IF(ISBLANK(Table2[[#This Row],[Instructor 2]]),0,1)</f>
        <v>1</v>
      </c>
      <c r="AK574" s="59">
        <f t="shared" si="4"/>
        <v>0</v>
      </c>
      <c r="AL574" s="113">
        <v>954</v>
      </c>
      <c r="AM574" s="59"/>
      <c r="AN574" s="59" t="str">
        <f>VLOOKUP(Table2[[#This Row],[Course Title]],'TSD-Data'!$A$1:$G$83,7,FALSE)</f>
        <v>N8-RMI</v>
      </c>
      <c r="AO574" s="508">
        <f>Table2[[#This Row],[Quotas]]-Table2[[#This Row],[Graduates]]-Table2[[#This Row],[Fail]]</f>
        <v>1000</v>
      </c>
    </row>
    <row r="575" spans="2:41" ht="15" customHeight="1" x14ac:dyDescent="0.25">
      <c r="B575" s="83"/>
      <c r="C575" s="83" t="s">
        <v>412</v>
      </c>
      <c r="D575" s="59" t="str">
        <f>VLOOKUP(Table2[[#This Row],[Course Title]],'TSD-Data'!$A$1:$E$83,2,FALSE)</f>
        <v>A-493-3009</v>
      </c>
      <c r="E575" s="59" t="str">
        <f>VLOOKUP(Table2[[#This Row],[Course Title]],'TSD-Data'!$A$1:$E$83,3,FALSE)</f>
        <v>31VB</v>
      </c>
      <c r="F575" s="442" t="s">
        <v>54</v>
      </c>
      <c r="G575" s="61">
        <v>46253</v>
      </c>
      <c r="H575" s="61">
        <v>46253</v>
      </c>
      <c r="I575" s="61" t="s">
        <v>42</v>
      </c>
      <c r="J575" s="64"/>
      <c r="K575" s="64">
        <v>0.45833333333333331</v>
      </c>
      <c r="L575" s="64">
        <v>0.33333333333333331</v>
      </c>
      <c r="M575" s="64">
        <v>0.75</v>
      </c>
      <c r="N575" s="64">
        <v>0.70833333333333337</v>
      </c>
      <c r="O575" s="64">
        <v>0.25</v>
      </c>
      <c r="P575" s="64">
        <v>6.9444444444444447E-4</v>
      </c>
      <c r="Q575" s="73" t="s">
        <v>445</v>
      </c>
      <c r="R575" s="73" t="s">
        <v>483</v>
      </c>
      <c r="S575" s="73"/>
      <c r="T575" s="59">
        <f>VLOOKUP(Table2[[#This Row],[Course Title]],'TSD-Data'!$A$1:$E$83,4,FALSE)</f>
        <v>1000</v>
      </c>
      <c r="U575" s="59">
        <f>VLOOKUP(Table2[[#This Row],[Course Title]],'TSD-Data'!$A$1:$F$83,6,FALSE)</f>
        <v>1.5</v>
      </c>
      <c r="V575" s="63">
        <f>VLOOKUP(Table2[[#This Row],[Course Title]],'TSD-Data'!$A$1:$F$83,5,FALSE)</f>
        <v>0.1</v>
      </c>
      <c r="W575" s="63"/>
      <c r="X575" s="59">
        <f>Table2[[#This Row],[Quotas]]-Table2[[#This Row],[Open Quotas]]</f>
        <v>46</v>
      </c>
      <c r="Y575" s="59"/>
      <c r="Z575" s="63"/>
      <c r="AA575" s="63"/>
      <c r="AB575" s="59"/>
      <c r="AC575" s="59"/>
      <c r="AD575" s="59"/>
      <c r="AE575" s="59"/>
      <c r="AF575" s="63">
        <f ca="1">Table2[[#This Row],[End Date]]+2-TODAY()</f>
        <v>11</v>
      </c>
      <c r="AG575" s="59">
        <f>IF(ISBLANK(Table2[[#This Row],[Roster Received by]]),1,0)</f>
        <v>1</v>
      </c>
      <c r="AH575" s="59">
        <f ca="1">IF(Table2[[#This Row],[Start Date]]&gt;TODAY(),1,)</f>
        <v>1</v>
      </c>
      <c r="AI575" s="59">
        <f>IF(ISBLANK(Table2[[#This Row],[Primary Instructor]]),0,1)</f>
        <v>1</v>
      </c>
      <c r="AJ575" s="59">
        <f>IF(ISBLANK(Table2[[#This Row],[Instructor 2]]),0,1)</f>
        <v>1</v>
      </c>
      <c r="AK575" s="59">
        <f t="shared" si="4"/>
        <v>0</v>
      </c>
      <c r="AL575" s="113">
        <v>954</v>
      </c>
      <c r="AM575" s="59"/>
      <c r="AN575" s="59" t="str">
        <f>VLOOKUP(Table2[[#This Row],[Course Title]],'TSD-Data'!$A$1:$G$83,7,FALSE)</f>
        <v>N8-RMI</v>
      </c>
      <c r="AO575" s="508">
        <f>Table2[[#This Row],[Quotas]]-Table2[[#This Row],[Graduates]]-Table2[[#This Row],[Fail]]</f>
        <v>1000</v>
      </c>
    </row>
    <row r="576" spans="2:41" ht="15" customHeight="1" x14ac:dyDescent="0.25">
      <c r="B576" s="83"/>
      <c r="C576" s="83" t="s">
        <v>403</v>
      </c>
      <c r="D576" s="59" t="str">
        <f>VLOOKUP(Table2[[#This Row],[Course Title]],'TSD-Data'!$A$1:$E$83,2,FALSE)</f>
        <v>A-493-3013</v>
      </c>
      <c r="E576" s="59" t="str">
        <f>VLOOKUP(Table2[[#This Row],[Course Title]],'TSD-Data'!$A$1:$E$83,3,FALSE)</f>
        <v>31YG</v>
      </c>
      <c r="F576" s="442" t="s">
        <v>54</v>
      </c>
      <c r="G576" s="61">
        <v>46254</v>
      </c>
      <c r="H576" s="61">
        <v>46254</v>
      </c>
      <c r="I576" s="61" t="s">
        <v>42</v>
      </c>
      <c r="J576" s="64"/>
      <c r="K576" s="64">
        <v>0.45833333333333331</v>
      </c>
      <c r="L576" s="64">
        <v>0.33333333333333331</v>
      </c>
      <c r="M576" s="64">
        <v>0.75</v>
      </c>
      <c r="N576" s="64">
        <v>0.70833333333333337</v>
      </c>
      <c r="O576" s="64">
        <v>0.25</v>
      </c>
      <c r="P576" s="64">
        <v>6.9444444444444447E-4</v>
      </c>
      <c r="Q576" s="73" t="s">
        <v>445</v>
      </c>
      <c r="R576" s="73" t="s">
        <v>483</v>
      </c>
      <c r="S576" s="73"/>
      <c r="T576" s="59">
        <f>VLOOKUP(Table2[[#This Row],[Course Title]],'TSD-Data'!$A$1:$E$83,4,FALSE)</f>
        <v>1000</v>
      </c>
      <c r="U576" s="59">
        <f>VLOOKUP(Table2[[#This Row],[Course Title]],'TSD-Data'!$A$1:$F$83,6,FALSE)</f>
        <v>2</v>
      </c>
      <c r="V576" s="63">
        <f>VLOOKUP(Table2[[#This Row],[Course Title]],'TSD-Data'!$A$1:$F$83,5,FALSE)</f>
        <v>0.25</v>
      </c>
      <c r="W576" s="63"/>
      <c r="X576" s="59">
        <f>Table2[[#This Row],[Quotas]]-Table2[[#This Row],[Open Quotas]]</f>
        <v>46</v>
      </c>
      <c r="Y576" s="59"/>
      <c r="Z576" s="63"/>
      <c r="AA576" s="63"/>
      <c r="AB576" s="59"/>
      <c r="AC576" s="59"/>
      <c r="AD576" s="59"/>
      <c r="AE576" s="59"/>
      <c r="AF576" s="63">
        <f ca="1">Table2[[#This Row],[End Date]]+2-TODAY()</f>
        <v>12</v>
      </c>
      <c r="AG576" s="59">
        <f>IF(ISBLANK(Table2[[#This Row],[Roster Received by]]),1,0)</f>
        <v>1</v>
      </c>
      <c r="AH576" s="59">
        <f ca="1">IF(Table2[[#This Row],[Start Date]]&gt;TODAY(),1,)</f>
        <v>1</v>
      </c>
      <c r="AI576" s="59">
        <f>IF(ISBLANK(Table2[[#This Row],[Primary Instructor]]),0,1)</f>
        <v>1</v>
      </c>
      <c r="AJ576" s="59">
        <f>IF(ISBLANK(Table2[[#This Row],[Instructor 2]]),0,1)</f>
        <v>1</v>
      </c>
      <c r="AK576" s="59">
        <f t="shared" si="4"/>
        <v>0</v>
      </c>
      <c r="AL576" s="113">
        <v>954</v>
      </c>
      <c r="AM576" s="59"/>
      <c r="AN576" s="59" t="str">
        <f>VLOOKUP(Table2[[#This Row],[Course Title]],'TSD-Data'!$A$1:$G$83,7,FALSE)</f>
        <v>N8-RMI</v>
      </c>
      <c r="AO576" s="508">
        <f>Table2[[#This Row],[Quotas]]-Table2[[#This Row],[Graduates]]-Table2[[#This Row],[Fail]]</f>
        <v>1000</v>
      </c>
    </row>
    <row r="577" spans="2:41" ht="15" customHeight="1" x14ac:dyDescent="0.25">
      <c r="B577" s="83"/>
      <c r="C577" s="83" t="s">
        <v>404</v>
      </c>
      <c r="D577" s="59" t="str">
        <f>VLOOKUP(Table2[[#This Row],[Course Title]],'TSD-Data'!$A$1:$E$83,2,FALSE)</f>
        <v>A-493-3014</v>
      </c>
      <c r="E577" s="59" t="str">
        <f>VLOOKUP(Table2[[#This Row],[Course Title]],'TSD-Data'!$A$1:$E$83,3,FALSE)</f>
        <v>31Yh</v>
      </c>
      <c r="F577" s="442" t="s">
        <v>54</v>
      </c>
      <c r="G577" s="61">
        <v>46254</v>
      </c>
      <c r="H577" s="61">
        <v>46254</v>
      </c>
      <c r="I577" s="61" t="s">
        <v>42</v>
      </c>
      <c r="J577" s="64"/>
      <c r="K577" s="64">
        <v>0.64583333333333337</v>
      </c>
      <c r="L577" s="64">
        <v>0.52083333333333337</v>
      </c>
      <c r="M577" s="64">
        <v>0.9375</v>
      </c>
      <c r="N577" s="64">
        <v>0.89583333333333337</v>
      </c>
      <c r="O577" s="64">
        <v>0.4375</v>
      </c>
      <c r="P577" s="64">
        <v>0.1875</v>
      </c>
      <c r="Q577" s="73" t="s">
        <v>445</v>
      </c>
      <c r="R577" s="73" t="s">
        <v>483</v>
      </c>
      <c r="S577" s="73"/>
      <c r="T577" s="59">
        <f>VLOOKUP(Table2[[#This Row],[Course Title]],'TSD-Data'!$A$1:$E$83,4,FALSE)</f>
        <v>1000</v>
      </c>
      <c r="U577" s="59">
        <f>VLOOKUP(Table2[[#This Row],[Course Title]],'TSD-Data'!$A$1:$F$83,6,FALSE)</f>
        <v>1.5</v>
      </c>
      <c r="V577" s="63">
        <f>VLOOKUP(Table2[[#This Row],[Course Title]],'TSD-Data'!$A$1:$F$83,5,FALSE)</f>
        <v>0.1</v>
      </c>
      <c r="W577" s="63"/>
      <c r="X577" s="59">
        <f>Table2[[#This Row],[Quotas]]-Table2[[#This Row],[Open Quotas]]</f>
        <v>46</v>
      </c>
      <c r="Y577" s="59"/>
      <c r="Z577" s="63"/>
      <c r="AA577" s="63"/>
      <c r="AB577" s="59"/>
      <c r="AC577" s="59"/>
      <c r="AD577" s="59"/>
      <c r="AE577" s="59"/>
      <c r="AF577" s="63">
        <f ca="1">Table2[[#This Row],[End Date]]+2-TODAY()</f>
        <v>12</v>
      </c>
      <c r="AG577" s="59">
        <f>IF(ISBLANK(Table2[[#This Row],[Roster Received by]]),1,0)</f>
        <v>1</v>
      </c>
      <c r="AH577" s="59">
        <f ca="1">IF(Table2[[#This Row],[Start Date]]&gt;TODAY(),1,)</f>
        <v>1</v>
      </c>
      <c r="AI577" s="59">
        <f>IF(ISBLANK(Table2[[#This Row],[Primary Instructor]]),0,1)</f>
        <v>1</v>
      </c>
      <c r="AJ577" s="59">
        <f>IF(ISBLANK(Table2[[#This Row],[Instructor 2]]),0,1)</f>
        <v>1</v>
      </c>
      <c r="AK577" s="59">
        <f t="shared" si="4"/>
        <v>0</v>
      </c>
      <c r="AL577" s="113">
        <v>954</v>
      </c>
      <c r="AM577" s="59"/>
      <c r="AN577" s="59" t="str">
        <f>VLOOKUP(Table2[[#This Row],[Course Title]],'TSD-Data'!$A$1:$G$83,7,FALSE)</f>
        <v>N8-RMI</v>
      </c>
      <c r="AO577" s="508">
        <f>Table2[[#This Row],[Quotas]]-Table2[[#This Row],[Graduates]]-Table2[[#This Row],[Fail]]</f>
        <v>1000</v>
      </c>
    </row>
    <row r="578" spans="2:41" ht="15" customHeight="1" x14ac:dyDescent="0.25">
      <c r="B578" s="83"/>
      <c r="C578" s="83" t="s">
        <v>405</v>
      </c>
      <c r="D578" s="59" t="str">
        <f>VLOOKUP(Table2[[#This Row],[Course Title]],'TSD-Data'!$A$1:$E$83,2,FALSE)</f>
        <v>A-493-3015</v>
      </c>
      <c r="E578" s="59" t="str">
        <f>VLOOKUP(Table2[[#This Row],[Course Title]],'TSD-Data'!$A$1:$E$83,3,FALSE)</f>
        <v>31YJ</v>
      </c>
      <c r="F578" s="442" t="s">
        <v>54</v>
      </c>
      <c r="G578" s="61">
        <v>46254</v>
      </c>
      <c r="H578" s="61">
        <v>46254</v>
      </c>
      <c r="I578" s="61" t="s">
        <v>42</v>
      </c>
      <c r="J578" s="64"/>
      <c r="K578" s="64">
        <v>0.5625</v>
      </c>
      <c r="L578" s="64">
        <v>0.4375</v>
      </c>
      <c r="M578" s="64">
        <v>0.85416666666666663</v>
      </c>
      <c r="N578" s="64">
        <v>0.8125</v>
      </c>
      <c r="O578" s="64">
        <v>0.35416666666666669</v>
      </c>
      <c r="P578" s="64">
        <v>0.10416666666666667</v>
      </c>
      <c r="Q578" s="73" t="s">
        <v>445</v>
      </c>
      <c r="R578" s="73" t="s">
        <v>483</v>
      </c>
      <c r="S578" s="73"/>
      <c r="T578" s="59">
        <f>VLOOKUP(Table2[[#This Row],[Course Title]],'TSD-Data'!$A$1:$E$83,4,FALSE)</f>
        <v>1000</v>
      </c>
      <c r="U578" s="59">
        <f>VLOOKUP(Table2[[#This Row],[Course Title]],'TSD-Data'!$A$1:$F$83,6,FALSE)</f>
        <v>1.5</v>
      </c>
      <c r="V578" s="63">
        <f>VLOOKUP(Table2[[#This Row],[Course Title]],'TSD-Data'!$A$1:$F$83,5,FALSE)</f>
        <v>0.1</v>
      </c>
      <c r="W578" s="63"/>
      <c r="X578" s="59">
        <f>Table2[[#This Row],[Quotas]]-Table2[[#This Row],[Open Quotas]]</f>
        <v>46</v>
      </c>
      <c r="Y578" s="59"/>
      <c r="Z578" s="63"/>
      <c r="AA578" s="63"/>
      <c r="AB578" s="59"/>
      <c r="AC578" s="59"/>
      <c r="AD578" s="59"/>
      <c r="AE578" s="59"/>
      <c r="AF578" s="63">
        <f ca="1">Table2[[#This Row],[End Date]]+2-TODAY()</f>
        <v>12</v>
      </c>
      <c r="AG578" s="59">
        <f>IF(ISBLANK(Table2[[#This Row],[Roster Received by]]),1,0)</f>
        <v>1</v>
      </c>
      <c r="AH578" s="59">
        <f ca="1">IF(Table2[[#This Row],[Start Date]]&gt;TODAY(),1,)</f>
        <v>1</v>
      </c>
      <c r="AI578" s="59">
        <f>IF(ISBLANK(Table2[[#This Row],[Primary Instructor]]),0,1)</f>
        <v>1</v>
      </c>
      <c r="AJ578" s="59">
        <f>IF(ISBLANK(Table2[[#This Row],[Instructor 2]]),0,1)</f>
        <v>1</v>
      </c>
      <c r="AK578" s="59">
        <f t="shared" si="4"/>
        <v>0</v>
      </c>
      <c r="AL578" s="113">
        <v>954</v>
      </c>
      <c r="AM578" s="59"/>
      <c r="AN578" s="59" t="str">
        <f>VLOOKUP(Table2[[#This Row],[Course Title]],'TSD-Data'!$A$1:$G$83,7,FALSE)</f>
        <v>N8-RMI</v>
      </c>
      <c r="AO578" s="508">
        <f>Table2[[#This Row],[Quotas]]-Table2[[#This Row],[Graduates]]-Table2[[#This Row],[Fail]]</f>
        <v>1000</v>
      </c>
    </row>
    <row r="579" spans="2:41" ht="15" customHeight="1" x14ac:dyDescent="0.25">
      <c r="B579" s="83"/>
      <c r="C579" s="83" t="s">
        <v>406</v>
      </c>
      <c r="D579" s="59" t="str">
        <f>VLOOKUP(Table2[[#This Row],[Course Title]],'TSD-Data'!$A$1:$E$83,2,FALSE)</f>
        <v>A-493-3016</v>
      </c>
      <c r="E579" s="59" t="str">
        <f>VLOOKUP(Table2[[#This Row],[Course Title]],'TSD-Data'!$A$1:$E$83,3,FALSE)</f>
        <v>31Yk</v>
      </c>
      <c r="F579" s="442" t="s">
        <v>54</v>
      </c>
      <c r="G579" s="61">
        <v>46254</v>
      </c>
      <c r="H579" s="61">
        <v>46254</v>
      </c>
      <c r="I579" s="61" t="s">
        <v>42</v>
      </c>
      <c r="J579" s="64"/>
      <c r="K579" s="64">
        <v>0.72916666666666663</v>
      </c>
      <c r="L579" s="64">
        <v>0.60416666666666663</v>
      </c>
      <c r="M579" s="64">
        <v>2.0833333333333332E-2</v>
      </c>
      <c r="N579" s="64">
        <v>0.97916666666666663</v>
      </c>
      <c r="O579" s="64">
        <v>0.52083333333333337</v>
      </c>
      <c r="P579" s="64">
        <v>0.27083333333333331</v>
      </c>
      <c r="Q579" s="73" t="s">
        <v>445</v>
      </c>
      <c r="R579" s="73" t="s">
        <v>483</v>
      </c>
      <c r="S579" s="73"/>
      <c r="T579" s="59">
        <f>VLOOKUP(Table2[[#This Row],[Course Title]],'TSD-Data'!$A$1:$E$83,4,FALSE)</f>
        <v>1000</v>
      </c>
      <c r="U579" s="59">
        <f>VLOOKUP(Table2[[#This Row],[Course Title]],'TSD-Data'!$A$1:$F$83,6,FALSE)</f>
        <v>1.5</v>
      </c>
      <c r="V579" s="63">
        <f>VLOOKUP(Table2[[#This Row],[Course Title]],'TSD-Data'!$A$1:$F$83,5,FALSE)</f>
        <v>0.1</v>
      </c>
      <c r="W579" s="63"/>
      <c r="X579" s="59">
        <f>Table2[[#This Row],[Quotas]]-Table2[[#This Row],[Open Quotas]]</f>
        <v>46</v>
      </c>
      <c r="Y579" s="59"/>
      <c r="Z579" s="63"/>
      <c r="AA579" s="63"/>
      <c r="AB579" s="59"/>
      <c r="AC579" s="59"/>
      <c r="AD579" s="59"/>
      <c r="AE579" s="59"/>
      <c r="AF579" s="63">
        <f ca="1">Table2[[#This Row],[End Date]]+2-TODAY()</f>
        <v>12</v>
      </c>
      <c r="AG579" s="59">
        <f>IF(ISBLANK(Table2[[#This Row],[Roster Received by]]),1,0)</f>
        <v>1</v>
      </c>
      <c r="AH579" s="59">
        <f ca="1">IF(Table2[[#This Row],[Start Date]]&gt;TODAY(),1,)</f>
        <v>1</v>
      </c>
      <c r="AI579" s="59">
        <f>IF(ISBLANK(Table2[[#This Row],[Primary Instructor]]),0,1)</f>
        <v>1</v>
      </c>
      <c r="AJ579" s="59">
        <f>IF(ISBLANK(Table2[[#This Row],[Instructor 2]]),0,1)</f>
        <v>1</v>
      </c>
      <c r="AK579" s="59">
        <f t="shared" si="4"/>
        <v>0</v>
      </c>
      <c r="AL579" s="113">
        <v>954</v>
      </c>
      <c r="AM579" s="59"/>
      <c r="AN579" s="59" t="str">
        <f>VLOOKUP(Table2[[#This Row],[Course Title]],'TSD-Data'!$A$1:$G$83,7,FALSE)</f>
        <v>N8-RMI</v>
      </c>
      <c r="AO579" s="508">
        <f>Table2[[#This Row],[Quotas]]-Table2[[#This Row],[Graduates]]-Table2[[#This Row],[Fail]]</f>
        <v>1000</v>
      </c>
    </row>
    <row r="580" spans="2:41" ht="15" customHeight="1" x14ac:dyDescent="0.25">
      <c r="B580" s="83"/>
      <c r="C580" s="83" t="s">
        <v>488</v>
      </c>
      <c r="D580" s="59" t="str">
        <f>VLOOKUP(Table2[[#This Row],[Course Title]],'TSD-Data'!$A$1:$E$83,2,FALSE)</f>
        <v xml:space="preserve">A-493-3019 </v>
      </c>
      <c r="E580" s="59" t="str">
        <f>VLOOKUP(Table2[[#This Row],[Course Title]],'TSD-Data'!$A$1:$E$83,3,FALSE)</f>
        <v>33D9</v>
      </c>
      <c r="F580" s="442" t="s">
        <v>54</v>
      </c>
      <c r="G580" s="61">
        <v>46255</v>
      </c>
      <c r="H580" s="61">
        <v>46255</v>
      </c>
      <c r="I580" s="61" t="s">
        <v>42</v>
      </c>
      <c r="J580" s="64"/>
      <c r="K580" s="64">
        <v>0.58333333333333337</v>
      </c>
      <c r="L580" s="64">
        <v>0.45833333333333331</v>
      </c>
      <c r="M580" s="64">
        <v>0.875</v>
      </c>
      <c r="N580" s="64">
        <v>0.83333333333333337</v>
      </c>
      <c r="O580" s="64">
        <v>0.375</v>
      </c>
      <c r="P580" s="64">
        <v>0.125</v>
      </c>
      <c r="Q580" s="73" t="s">
        <v>445</v>
      </c>
      <c r="R580" s="73" t="s">
        <v>483</v>
      </c>
      <c r="S580" s="73"/>
      <c r="T580" s="59">
        <f>VLOOKUP(Table2[[#This Row],[Course Title]],'TSD-Data'!$A$1:$E$83,4,FALSE)</f>
        <v>1000</v>
      </c>
      <c r="U580" s="59">
        <f>VLOOKUP(Table2[[#This Row],[Course Title]],'TSD-Data'!$A$1:$F$83,6,FALSE)</f>
        <v>2</v>
      </c>
      <c r="V580" s="63">
        <f>VLOOKUP(Table2[[#This Row],[Course Title]],'TSD-Data'!$A$1:$F$83,5,FALSE)</f>
        <v>0.25</v>
      </c>
      <c r="W580" s="63"/>
      <c r="X580" s="59">
        <f>Table2[[#This Row],[Quotas]]-Table2[[#This Row],[Open Quotas]]</f>
        <v>46</v>
      </c>
      <c r="Y580" s="59"/>
      <c r="Z580" s="63"/>
      <c r="AA580" s="63"/>
      <c r="AB580" s="59"/>
      <c r="AC580" s="59"/>
      <c r="AD580" s="59"/>
      <c r="AE580" s="59"/>
      <c r="AF580" s="63">
        <f ca="1">Table2[[#This Row],[End Date]]+2-TODAY()</f>
        <v>13</v>
      </c>
      <c r="AG580" s="59">
        <f>IF(ISBLANK(Table2[[#This Row],[Roster Received by]]),1,0)</f>
        <v>1</v>
      </c>
      <c r="AH580" s="59">
        <f ca="1">IF(Table2[[#This Row],[Start Date]]&gt;TODAY(),1,)</f>
        <v>1</v>
      </c>
      <c r="AI580" s="59">
        <f>IF(ISBLANK(Table2[[#This Row],[Primary Instructor]]),0,1)</f>
        <v>1</v>
      </c>
      <c r="AJ580" s="59">
        <f>IF(ISBLANK(Table2[[#This Row],[Instructor 2]]),0,1)</f>
        <v>1</v>
      </c>
      <c r="AK580" s="59">
        <f t="shared" si="4"/>
        <v>0</v>
      </c>
      <c r="AL580" s="113">
        <v>954</v>
      </c>
      <c r="AM580" s="59"/>
      <c r="AN580" s="59" t="str">
        <f>VLOOKUP(Table2[[#This Row],[Course Title]],'TSD-Data'!$A$1:$G$83,7,FALSE)</f>
        <v>N8-RMI</v>
      </c>
      <c r="AO580" s="508">
        <f>Table2[[#This Row],[Quotas]]-Table2[[#This Row],[Graduates]]-Table2[[#This Row],[Fail]]</f>
        <v>1000</v>
      </c>
    </row>
    <row r="581" spans="2:41" ht="15" customHeight="1" x14ac:dyDescent="0.25">
      <c r="B581" s="83"/>
      <c r="C581" s="83" t="s">
        <v>489</v>
      </c>
      <c r="D581" s="59" t="str">
        <f>VLOOKUP(Table2[[#This Row],[Course Title]],'TSD-Data'!$A$1:$E$83,2,FALSE)</f>
        <v xml:space="preserve">A-493-3020 </v>
      </c>
      <c r="E581" s="59" t="str">
        <f>VLOOKUP(Table2[[#This Row],[Course Title]],'TSD-Data'!$A$1:$E$83,3,FALSE)</f>
        <v>33DA</v>
      </c>
      <c r="F581" s="442" t="s">
        <v>54</v>
      </c>
      <c r="G581" s="61">
        <v>46255</v>
      </c>
      <c r="H581" s="61">
        <v>46255</v>
      </c>
      <c r="I581" s="61" t="s">
        <v>42</v>
      </c>
      <c r="J581" s="64"/>
      <c r="K581" s="64">
        <v>0.75</v>
      </c>
      <c r="L581" s="64">
        <v>0.625</v>
      </c>
      <c r="M581" s="64">
        <v>4.1666666666666664E-2</v>
      </c>
      <c r="N581" s="64">
        <v>6.9444444444444447E-4</v>
      </c>
      <c r="O581" s="64">
        <v>0.54166666666666663</v>
      </c>
      <c r="P581" s="64">
        <v>0.29166666666666669</v>
      </c>
      <c r="Q581" s="73" t="s">
        <v>445</v>
      </c>
      <c r="R581" s="73" t="s">
        <v>483</v>
      </c>
      <c r="S581" s="73"/>
      <c r="T581" s="59">
        <f>VLOOKUP(Table2[[#This Row],[Course Title]],'TSD-Data'!$A$1:$E$83,4,FALSE)</f>
        <v>1000</v>
      </c>
      <c r="U581" s="59">
        <f>VLOOKUP(Table2[[#This Row],[Course Title]],'TSD-Data'!$A$1:$F$83,6,FALSE)</f>
        <v>2</v>
      </c>
      <c r="V581" s="63">
        <f>VLOOKUP(Table2[[#This Row],[Course Title]],'TSD-Data'!$A$1:$F$83,5,FALSE)</f>
        <v>0.25</v>
      </c>
      <c r="W581" s="63"/>
      <c r="X581" s="59">
        <f>Table2[[#This Row],[Quotas]]-Table2[[#This Row],[Open Quotas]]</f>
        <v>46</v>
      </c>
      <c r="Y581" s="59"/>
      <c r="Z581" s="63"/>
      <c r="AA581" s="63"/>
      <c r="AB581" s="59"/>
      <c r="AC581" s="59"/>
      <c r="AD581" s="59"/>
      <c r="AE581" s="59"/>
      <c r="AF581" s="63">
        <f ca="1">Table2[[#This Row],[End Date]]+2-TODAY()</f>
        <v>13</v>
      </c>
      <c r="AG581" s="59">
        <f>IF(ISBLANK(Table2[[#This Row],[Roster Received by]]),1,0)</f>
        <v>1</v>
      </c>
      <c r="AH581" s="59">
        <f ca="1">IF(Table2[[#This Row],[Start Date]]&gt;TODAY(),1,)</f>
        <v>1</v>
      </c>
      <c r="AI581" s="59">
        <f>IF(ISBLANK(Table2[[#This Row],[Primary Instructor]]),0,1)</f>
        <v>1</v>
      </c>
      <c r="AJ581" s="59">
        <f>IF(ISBLANK(Table2[[#This Row],[Instructor 2]]),0,1)</f>
        <v>1</v>
      </c>
      <c r="AK581" s="59">
        <f t="shared" si="4"/>
        <v>0</v>
      </c>
      <c r="AL581" s="113">
        <v>954</v>
      </c>
      <c r="AM581" s="59"/>
      <c r="AN581" s="59" t="str">
        <f>VLOOKUP(Table2[[#This Row],[Course Title]],'TSD-Data'!$A$1:$G$83,7,FALSE)</f>
        <v>N8-RMI</v>
      </c>
      <c r="AO581" s="508">
        <f>Table2[[#This Row],[Quotas]]-Table2[[#This Row],[Graduates]]-Table2[[#This Row],[Fail]]</f>
        <v>1000</v>
      </c>
    </row>
    <row r="582" spans="2:41" ht="15" customHeight="1" x14ac:dyDescent="0.25">
      <c r="B582" s="83"/>
      <c r="C582" s="574" t="s">
        <v>59</v>
      </c>
      <c r="D582" s="59" t="str">
        <f>VLOOKUP(Table2[[#This Row],[Course Title]],'TSD-Data'!$A$1:$E$83,2,FALSE)</f>
        <v>A-493-0070</v>
      </c>
      <c r="E582" s="59" t="str">
        <f>VLOOKUP(Table2[[#This Row],[Course Title]],'TSD-Data'!$A$1:$E$83,3,FALSE)</f>
        <v>450V</v>
      </c>
      <c r="F582" s="442" t="s">
        <v>54</v>
      </c>
      <c r="G582" s="575">
        <v>46258</v>
      </c>
      <c r="H582" s="575">
        <v>46259</v>
      </c>
      <c r="I582" s="61" t="s">
        <v>42</v>
      </c>
      <c r="J582" s="568"/>
      <c r="K582" s="64">
        <v>0.33333333333333331</v>
      </c>
      <c r="L582" s="64">
        <v>0.20833333333333334</v>
      </c>
      <c r="M582" s="64">
        <v>0.625</v>
      </c>
      <c r="N582" s="64">
        <v>0.54166666666666663</v>
      </c>
      <c r="O582" s="64">
        <v>8.3333333333333329E-2</v>
      </c>
      <c r="P582" s="64">
        <v>0.875</v>
      </c>
      <c r="Q582" s="73" t="s">
        <v>62</v>
      </c>
      <c r="R582" s="73"/>
      <c r="S582" s="73"/>
      <c r="T582" s="59">
        <f>VLOOKUP(Table2[[#This Row],[Course Title]],'TSD-Data'!$A$1:$E$83,4,FALSE)</f>
        <v>30</v>
      </c>
      <c r="U582" s="59">
        <f>VLOOKUP(Table2[[#This Row],[Course Title]],'TSD-Data'!$A$1:$F$83,6,FALSE)</f>
        <v>8</v>
      </c>
      <c r="V582" s="63">
        <f>VLOOKUP(Table2[[#This Row],[Course Title]],'TSD-Data'!$A$1:$F$83,5,FALSE)</f>
        <v>1</v>
      </c>
      <c r="W582" s="63">
        <v>0</v>
      </c>
      <c r="X582" s="59">
        <f>Table2[[#This Row],[Quotas]]-Table2[[#This Row],[Open Quotas]]</f>
        <v>5</v>
      </c>
      <c r="Y582" s="59">
        <v>0</v>
      </c>
      <c r="Z582" s="63"/>
      <c r="AA582" s="63"/>
      <c r="AB582" s="59"/>
      <c r="AC582" s="59"/>
      <c r="AD582" s="59"/>
      <c r="AE582" s="59"/>
      <c r="AF582" s="149">
        <f ca="1">Table2[[#This Row],[End Date]]+2-TODAY()</f>
        <v>17</v>
      </c>
      <c r="AG582" s="151">
        <f>IF(ISBLANK(Table2[[#This Row],[Roster Received by]]),1,0)</f>
        <v>1</v>
      </c>
      <c r="AH582" s="151">
        <f ca="1">IF(Table2[[#This Row],[Start Date]]&gt;TODAY(),1,)</f>
        <v>1</v>
      </c>
      <c r="AI582" s="151">
        <f>IF(ISBLANK(Table2[[#This Row],[Primary Instructor]]),0,1)</f>
        <v>1</v>
      </c>
      <c r="AJ582" s="151">
        <f>IF(ISBLANK(Table2[[#This Row],[Instructor 2]]),0,1)</f>
        <v>0</v>
      </c>
      <c r="AK582" s="496">
        <f>Table2[[#This Row],[Course Length (Hours)]]/(Table2[[#This Row],[1 Instructor]]+Table2[[#This Row],[2 Instructors]])</f>
        <v>8</v>
      </c>
      <c r="AL582" s="113">
        <v>25</v>
      </c>
      <c r="AM582" s="498">
        <v>4</v>
      </c>
      <c r="AN582" s="151" t="str">
        <f>VLOOKUP(Table2[[#This Row],[Course Title]],'TSD-Data'!$A$1:$G$83,7,FALSE)</f>
        <v>N3</v>
      </c>
      <c r="AO582" s="502">
        <f>Table2[[#This Row],[Quotas]]-Table2[[#This Row],[Graduates]]-Table2[[#This Row],[Fail]]</f>
        <v>30</v>
      </c>
    </row>
    <row r="583" spans="2:41" ht="15" customHeight="1" x14ac:dyDescent="0.25">
      <c r="B583" s="83" t="s">
        <v>493</v>
      </c>
      <c r="C583" s="83" t="s">
        <v>200</v>
      </c>
      <c r="D583" s="59" t="str">
        <f>VLOOKUP(Table2[[#This Row],[Course Title]],'TSD-Data'!$A$1:$E$83,2,FALSE)</f>
        <v>A-493-0665</v>
      </c>
      <c r="E583" s="59" t="str">
        <f>VLOOKUP(Table2[[#This Row],[Course Title]],'TSD-Data'!$A$1:$E$83,3,FALSE)</f>
        <v>10KW</v>
      </c>
      <c r="F583" s="442" t="s">
        <v>54</v>
      </c>
      <c r="G583" s="61">
        <v>46258</v>
      </c>
      <c r="H583" s="61">
        <v>46260</v>
      </c>
      <c r="I583" s="61" t="s">
        <v>42</v>
      </c>
      <c r="J583" s="64"/>
      <c r="K583" s="64">
        <v>0.5</v>
      </c>
      <c r="L583" s="570">
        <v>0.375</v>
      </c>
      <c r="M583" s="570">
        <v>0.79166666666666663</v>
      </c>
      <c r="N583" s="570">
        <v>0.75</v>
      </c>
      <c r="O583" s="570">
        <v>0.25</v>
      </c>
      <c r="P583" s="570">
        <v>4.1666666666666664E-2</v>
      </c>
      <c r="Q583" s="73" t="s">
        <v>79</v>
      </c>
      <c r="R583" s="73"/>
      <c r="S583" s="73"/>
      <c r="T583" s="59">
        <f>VLOOKUP(Table2[[#This Row],[Course Title]],'TSD-Data'!$A$1:$E$83,4,FALSE)</f>
        <v>45</v>
      </c>
      <c r="U583" s="59">
        <f>VLOOKUP(Table2[[#This Row],[Course Title]],'TSD-Data'!$A$1:$F$83,6,FALSE)</f>
        <v>24</v>
      </c>
      <c r="V583" s="63">
        <f>VLOOKUP(Table2[[#This Row],[Course Title]],'TSD-Data'!$A$1:$F$83,5,FALSE)</f>
        <v>3</v>
      </c>
      <c r="W583" s="63">
        <v>337</v>
      </c>
      <c r="X583" s="59">
        <f>Table2[[#This Row],[Quotas]]-Table2[[#This Row],[Open Quotas]]</f>
        <v>25</v>
      </c>
      <c r="Y583" s="59"/>
      <c r="Z583" s="63"/>
      <c r="AA583" s="63"/>
      <c r="AB583" s="59"/>
      <c r="AC583" s="59"/>
      <c r="AD583" s="59"/>
      <c r="AE583" s="59"/>
      <c r="AF583" s="149">
        <f ca="1">Table2[[#This Row],[End Date]]+2-TODAY()</f>
        <v>18</v>
      </c>
      <c r="AG583" s="151">
        <f>IF(ISBLANK(Table2[[#This Row],[Roster Received by]]),1,0)</f>
        <v>1</v>
      </c>
      <c r="AH583" s="151">
        <f ca="1">IF(Table2[[#This Row],[Start Date]]&gt;TODAY(),1,)</f>
        <v>1</v>
      </c>
      <c r="AI583" s="151">
        <f>IF(ISBLANK(Table2[[#This Row],[Primary Instructor]]),0,1)</f>
        <v>1</v>
      </c>
      <c r="AJ583" s="151">
        <f>IF(ISBLANK(Table2[[#This Row],[Instructor 2]]),0,1)</f>
        <v>0</v>
      </c>
      <c r="AK583" s="496">
        <f>Table2[[#This Row],[Course Length (Hours)]]/(Table2[[#This Row],[1 Instructor]]+Table2[[#This Row],[2 Instructors]])</f>
        <v>24</v>
      </c>
      <c r="AL583" s="113">
        <v>20</v>
      </c>
      <c r="AM583" s="498">
        <v>4</v>
      </c>
      <c r="AN583" s="151" t="str">
        <f>VLOOKUP(Table2[[#This Row],[Course Title]],'TSD-Data'!$A$1:$G$83,7,FALSE)</f>
        <v>N8</v>
      </c>
      <c r="AO583" s="502">
        <f>Table2[[#This Row],[Quotas]]-Table2[[#This Row],[Graduates]]-Table2[[#This Row],[Fail]]</f>
        <v>45</v>
      </c>
    </row>
    <row r="584" spans="2:41" ht="15" customHeight="1" x14ac:dyDescent="0.25">
      <c r="B584" s="83"/>
      <c r="C584" s="83" t="s">
        <v>276</v>
      </c>
      <c r="D584" s="59" t="str">
        <f>VLOOKUP(Table2[[#This Row],[Course Title]],'TSD-Data'!$A$1:$E$83,2,FALSE)</f>
        <v>A-493-0103</v>
      </c>
      <c r="E584" s="59" t="str">
        <f>VLOOKUP(Table2[[#This Row],[Course Title]],'TSD-Data'!$A$1:$E$83,3,FALSE)</f>
        <v>12JY</v>
      </c>
      <c r="F584" s="442" t="s">
        <v>51</v>
      </c>
      <c r="G584" s="61">
        <v>46258</v>
      </c>
      <c r="H584" s="61">
        <v>46262</v>
      </c>
      <c r="I584" s="61" t="s">
        <v>42</v>
      </c>
      <c r="J584" s="64">
        <v>0.33333333333333331</v>
      </c>
      <c r="K584" s="64"/>
      <c r="L584" s="61"/>
      <c r="M584" s="61"/>
      <c r="N584" s="61"/>
      <c r="O584" s="61"/>
      <c r="P584" s="61"/>
      <c r="Q584" s="73" t="s">
        <v>280</v>
      </c>
      <c r="R584" s="73"/>
      <c r="S584" s="73"/>
      <c r="T584" s="59">
        <f>VLOOKUP(Table2[[#This Row],[Course Title]],'TSD-Data'!$A$1:$E$83,4,FALSE)</f>
        <v>25</v>
      </c>
      <c r="U584" s="59">
        <f>VLOOKUP(Table2[[#This Row],[Course Title]],'TSD-Data'!$A$1:$F$83,6,FALSE)</f>
        <v>40</v>
      </c>
      <c r="V584" s="63">
        <f>VLOOKUP(Table2[[#This Row],[Course Title]],'TSD-Data'!$A$1:$F$83,5,FALSE)</f>
        <v>5</v>
      </c>
      <c r="W584" s="63">
        <v>107</v>
      </c>
      <c r="X584" s="59">
        <f>Table2[[#This Row],[Quotas]]-Table2[[#This Row],[Open Quotas]]</f>
        <v>25</v>
      </c>
      <c r="Y584" s="59">
        <v>1</v>
      </c>
      <c r="Z584" s="63"/>
      <c r="AA584" s="63"/>
      <c r="AB584" s="59"/>
      <c r="AC584" s="59"/>
      <c r="AD584" s="59"/>
      <c r="AE584" s="59"/>
      <c r="AF584" s="149">
        <f ca="1">Table2[[#This Row],[End Date]]+2-TODAY()</f>
        <v>20</v>
      </c>
      <c r="AG584" s="151">
        <f>IF(ISBLANK(Table2[[#This Row],[Roster Received by]]),1,0)</f>
        <v>1</v>
      </c>
      <c r="AH584" s="151">
        <f ca="1">IF(Table2[[#This Row],[Start Date]]&gt;TODAY(),1,)</f>
        <v>1</v>
      </c>
      <c r="AI584" s="151">
        <f>IF(ISBLANK(Table2[[#This Row],[Primary Instructor]]),0,1)</f>
        <v>1</v>
      </c>
      <c r="AJ584" s="151">
        <f>IF(ISBLANK(Table2[[#This Row],[Instructor 2]]),0,1)</f>
        <v>0</v>
      </c>
      <c r="AK584" s="496">
        <f>Table2[[#This Row],[Course Length (Hours)]]/(Table2[[#This Row],[1 Instructor]]+Table2[[#This Row],[2 Instructors]])</f>
        <v>40</v>
      </c>
      <c r="AL584" s="113">
        <v>0</v>
      </c>
      <c r="AM584" s="151">
        <v>3</v>
      </c>
      <c r="AN584" s="151" t="str">
        <f>VLOOKUP(Table2[[#This Row],[Course Title]],'TSD-Data'!$A$1:$G$83,7,FALSE)</f>
        <v>N5</v>
      </c>
      <c r="AO584" s="502">
        <f>Table2[[#This Row],[Quotas]]-Table2[[#This Row],[Graduates]]-Table2[[#This Row],[Fail]]</f>
        <v>25</v>
      </c>
    </row>
    <row r="585" spans="2:41" ht="15" customHeight="1" x14ac:dyDescent="0.25">
      <c r="B585" s="83"/>
      <c r="C585" s="83" t="s">
        <v>271</v>
      </c>
      <c r="D585" s="59" t="str">
        <f>VLOOKUP(Table2[[#This Row],[Course Title]],'TSD-Data'!$A$1:$E$83,2,FALSE)</f>
        <v>A-493-0061</v>
      </c>
      <c r="E585" s="59" t="str">
        <f>VLOOKUP(Table2[[#This Row],[Course Title]],'TSD-Data'!$A$1:$E$83,3,FALSE)</f>
        <v>288E</v>
      </c>
      <c r="F585" s="442" t="s">
        <v>54</v>
      </c>
      <c r="G585" s="61">
        <v>46258</v>
      </c>
      <c r="H585" s="61">
        <v>46261</v>
      </c>
      <c r="I585" s="61" t="s">
        <v>42</v>
      </c>
      <c r="J585" s="64"/>
      <c r="K585" s="64">
        <v>0.5</v>
      </c>
      <c r="L585" s="570">
        <v>0.375</v>
      </c>
      <c r="M585" s="570">
        <v>0.79166666666666663</v>
      </c>
      <c r="N585" s="570">
        <v>0.75</v>
      </c>
      <c r="O585" s="570">
        <v>0.25</v>
      </c>
      <c r="P585" s="570">
        <v>4.1666666666666664E-2</v>
      </c>
      <c r="Q585" s="73" t="s">
        <v>148</v>
      </c>
      <c r="R585" s="73"/>
      <c r="S585" s="73"/>
      <c r="T585" s="59">
        <f>VLOOKUP(Table2[[#This Row],[Course Title]],'TSD-Data'!$A$1:$E$83,4,FALSE)</f>
        <v>45</v>
      </c>
      <c r="U585" s="59">
        <f>VLOOKUP(Table2[[#This Row],[Course Title]],'TSD-Data'!$A$1:$F$83,6,FALSE)</f>
        <v>30</v>
      </c>
      <c r="V585" s="63">
        <f>VLOOKUP(Table2[[#This Row],[Course Title]],'TSD-Data'!$A$1:$F$83,5,FALSE)</f>
        <v>4</v>
      </c>
      <c r="W585" s="63">
        <v>620</v>
      </c>
      <c r="X585" s="59">
        <f>Table2[[#This Row],[Quotas]]-Table2[[#This Row],[Open Quotas]]</f>
        <v>17</v>
      </c>
      <c r="Y585" s="59">
        <v>0</v>
      </c>
      <c r="Z585" s="63"/>
      <c r="AA585" s="63"/>
      <c r="AB585" s="59"/>
      <c r="AC585" s="59"/>
      <c r="AD585" s="59"/>
      <c r="AE585" s="59"/>
      <c r="AF585" s="149">
        <f ca="1">Table2[[#This Row],[End Date]]+2-TODAY()</f>
        <v>19</v>
      </c>
      <c r="AG585" s="151">
        <f>IF(ISBLANK(Table2[[#This Row],[Roster Received by]]),1,0)</f>
        <v>1</v>
      </c>
      <c r="AH585" s="151">
        <f ca="1">IF(Table2[[#This Row],[Start Date]]&gt;TODAY(),1,)</f>
        <v>1</v>
      </c>
      <c r="AI585" s="151">
        <f>IF(ISBLANK(Table2[[#This Row],[Primary Instructor]]),0,1)</f>
        <v>1</v>
      </c>
      <c r="AJ585" s="151">
        <f>IF(ISBLANK(Table2[[#This Row],[Instructor 2]]),0,1)</f>
        <v>0</v>
      </c>
      <c r="AK585" s="496">
        <f>Table2[[#This Row],[Course Length (Hours)]]/(Table2[[#This Row],[1 Instructor]]+Table2[[#This Row],[2 Instructors]])</f>
        <v>30</v>
      </c>
      <c r="AL585" s="113">
        <v>28</v>
      </c>
      <c r="AM585" s="498">
        <v>4</v>
      </c>
      <c r="AN585" s="151" t="str">
        <f>VLOOKUP(Table2[[#This Row],[Course Title]],'TSD-Data'!$A$1:$G$83,7,FALSE)</f>
        <v>N5</v>
      </c>
      <c r="AO585" s="502">
        <f>Table2[[#This Row],[Quotas]]-Table2[[#This Row],[Graduates]]-Table2[[#This Row],[Fail]]</f>
        <v>45</v>
      </c>
    </row>
    <row r="586" spans="2:41" ht="15" customHeight="1" x14ac:dyDescent="0.25">
      <c r="B586" s="83"/>
      <c r="C586" s="3" t="s">
        <v>49</v>
      </c>
      <c r="D586" s="59" t="str">
        <f>VLOOKUP(Table2[[#This Row],[Course Title]],'TSD-Data'!$A$1:$E$83,2,FALSE)</f>
        <v>A-493-0012</v>
      </c>
      <c r="E586" s="59">
        <f>VLOOKUP(Table2[[#This Row],[Course Title]],'TSD-Data'!$A$1:$E$83,3,FALSE)</f>
        <v>3682</v>
      </c>
      <c r="F586" s="442" t="s">
        <v>120</v>
      </c>
      <c r="G586" s="61">
        <v>46258</v>
      </c>
      <c r="H586" s="61">
        <v>46262</v>
      </c>
      <c r="I586" s="10" t="s">
        <v>42</v>
      </c>
      <c r="J586" s="64">
        <v>0.33333333333333331</v>
      </c>
      <c r="K586" s="64"/>
      <c r="L586" s="61"/>
      <c r="M586" s="61"/>
      <c r="N586" s="61"/>
      <c r="O586" s="61"/>
      <c r="P586" s="61"/>
      <c r="Q586" s="73" t="s">
        <v>439</v>
      </c>
      <c r="R586" s="73"/>
      <c r="S586" s="73"/>
      <c r="T586" s="59">
        <f>VLOOKUP(Table2[[#This Row],[Course Title]],'TSD-Data'!$A$1:$E$83,4,FALSE)</f>
        <v>40</v>
      </c>
      <c r="U586" s="59">
        <f>VLOOKUP(Table2[[#This Row],[Course Title]],'TSD-Data'!$A$1:$F$83,6,FALSE)</f>
        <v>40</v>
      </c>
      <c r="V586" s="63">
        <f>VLOOKUP(Table2[[#This Row],[Course Title]],'TSD-Data'!$A$1:$F$83,5,FALSE)</f>
        <v>5</v>
      </c>
      <c r="W586" s="63"/>
      <c r="X586" s="59">
        <f>Table2[[#This Row],[Quotas]]-Table2[[#This Row],[Open Quotas]]</f>
        <v>29</v>
      </c>
      <c r="Y586" s="59"/>
      <c r="Z586" s="63"/>
      <c r="AA586" s="63"/>
      <c r="AB586" s="59"/>
      <c r="AC586" s="59"/>
      <c r="AD586" s="59"/>
      <c r="AE586" s="59"/>
      <c r="AF586" s="63">
        <f ca="1">Table2[[#This Row],[End Date]]+2-TODAY()</f>
        <v>20</v>
      </c>
      <c r="AG586" s="59">
        <f>IF(ISBLANK(Table2[[#This Row],[Roster Received by]]),1,0)</f>
        <v>1</v>
      </c>
      <c r="AH586" s="59">
        <f ca="1">IF(Table2[[#This Row],[Start Date]]&gt;TODAY(),1,)</f>
        <v>1</v>
      </c>
      <c r="AI586" s="59">
        <f>IF(ISBLANK(Table2[[#This Row],[Primary Instructor]]),0,1)</f>
        <v>1</v>
      </c>
      <c r="AJ586" s="59">
        <f>IF(ISBLANK(Table2[[#This Row],[Instructor 2]]),0,1)</f>
        <v>0</v>
      </c>
      <c r="AK586" s="59">
        <f>AJ942</f>
        <v>0</v>
      </c>
      <c r="AL586" s="113">
        <v>11</v>
      </c>
      <c r="AM586" s="59"/>
      <c r="AN586" s="59" t="str">
        <f>VLOOKUP(Table2[[#This Row],[Course Title]],'TSD-Data'!$A$1:$G$83,7,FALSE)</f>
        <v>N4</v>
      </c>
      <c r="AO586" s="508">
        <f>Table2[[#This Row],[Quotas]]-Table2[[#This Row],[Graduates]]-Table2[[#This Row],[Fail]]</f>
        <v>40</v>
      </c>
    </row>
    <row r="587" spans="2:41" ht="15" customHeight="1" x14ac:dyDescent="0.25">
      <c r="B587" s="83"/>
      <c r="C587" s="83" t="s">
        <v>56</v>
      </c>
      <c r="D587" s="59" t="str">
        <f>VLOOKUP(Table2[[#This Row],[Course Title]],'TSD-Data'!$A$1:$E$83,2,FALSE)</f>
        <v>A-493-0550</v>
      </c>
      <c r="E587" s="59" t="str">
        <f>VLOOKUP(Table2[[#This Row],[Course Title]],'TSD-Data'!$A$1:$E$83,3,FALSE)</f>
        <v>09K5</v>
      </c>
      <c r="F587" s="442" t="s">
        <v>54</v>
      </c>
      <c r="G587" s="61">
        <v>46258</v>
      </c>
      <c r="H587" s="61">
        <v>46261</v>
      </c>
      <c r="I587" s="61" t="s">
        <v>42</v>
      </c>
      <c r="J587" s="64"/>
      <c r="K587" s="64">
        <v>0.79166666666666663</v>
      </c>
      <c r="L587" s="570">
        <v>0.66666666666666663</v>
      </c>
      <c r="M587" s="570">
        <v>8.3333333333333329E-2</v>
      </c>
      <c r="N587" s="570">
        <v>0</v>
      </c>
      <c r="O587" s="570">
        <v>0.54166666666666663</v>
      </c>
      <c r="P587" s="570">
        <v>0.33333333333333331</v>
      </c>
      <c r="Q587" s="73" t="s">
        <v>274</v>
      </c>
      <c r="R587" s="73"/>
      <c r="S587" s="73"/>
      <c r="T587" s="59">
        <f>VLOOKUP(Table2[[#This Row],[Course Title]],'TSD-Data'!$A$1:$E$83,4,FALSE)</f>
        <v>45</v>
      </c>
      <c r="U587" s="59">
        <f>VLOOKUP(Table2[[#This Row],[Course Title]],'TSD-Data'!$A$1:$F$83,6,FALSE)</f>
        <v>32</v>
      </c>
      <c r="V587" s="63">
        <f>VLOOKUP(Table2[[#This Row],[Course Title]],'TSD-Data'!$A$1:$F$83,5,FALSE)</f>
        <v>4</v>
      </c>
      <c r="W587" s="63">
        <v>455</v>
      </c>
      <c r="X587" s="59">
        <f>Table2[[#This Row],[Quotas]]-Table2[[#This Row],[Open Quotas]]</f>
        <v>24</v>
      </c>
      <c r="Y587" s="59">
        <v>0</v>
      </c>
      <c r="Z587" s="63"/>
      <c r="AA587" s="63"/>
      <c r="AB587" s="59"/>
      <c r="AC587" s="59"/>
      <c r="AD587" s="59"/>
      <c r="AE587" s="59"/>
      <c r="AF587" s="149">
        <f ca="1">Table2[[#This Row],[End Date]]+2-TODAY()</f>
        <v>19</v>
      </c>
      <c r="AG587" s="151">
        <f>IF(ISBLANK(Table2[[#This Row],[Roster Received by]]),1,0)</f>
        <v>1</v>
      </c>
      <c r="AH587" s="151">
        <f ca="1">IF(Table2[[#This Row],[Start Date]]&gt;TODAY(),1,)</f>
        <v>1</v>
      </c>
      <c r="AI587" s="151">
        <f>IF(ISBLANK(Table2[[#This Row],[Primary Instructor]]),0,1)</f>
        <v>1</v>
      </c>
      <c r="AJ587" s="151">
        <f>IF(ISBLANK(Table2[[#This Row],[Instructor 2]]),0,1)</f>
        <v>0</v>
      </c>
      <c r="AK587" s="496">
        <f>Table2[[#This Row],[Course Length (Hours)]]/(Table2[[#This Row],[1 Instructor]]+Table2[[#This Row],[2 Instructors]])</f>
        <v>32</v>
      </c>
      <c r="AL587" s="113">
        <v>21</v>
      </c>
      <c r="AM587" s="498">
        <v>4</v>
      </c>
      <c r="AN587" s="151" t="str">
        <f>VLOOKUP(Table2[[#This Row],[Course Title]],'TSD-Data'!$A$1:$G$83,7,FALSE)</f>
        <v>N5</v>
      </c>
      <c r="AO587" s="502">
        <f>Table2[[#This Row],[Quotas]]-Table2[[#This Row],[Graduates]]-Table2[[#This Row],[Fail]]</f>
        <v>45</v>
      </c>
    </row>
    <row r="588" spans="2:41" s="202" customFormat="1" ht="15" customHeight="1" x14ac:dyDescent="0.25">
      <c r="B588" s="83"/>
      <c r="C588" s="83" t="s">
        <v>53</v>
      </c>
      <c r="D588" s="59" t="str">
        <f>VLOOKUP(Table2[[#This Row],[Course Title]],'TSD-Data'!$A$1:$E$83,2,FALSE)</f>
        <v>A-493-0078</v>
      </c>
      <c r="E588" s="59">
        <f>VLOOKUP(Table2[[#This Row],[Course Title]],'TSD-Data'!$A$1:$E$83,3,FALSE)</f>
        <v>1228</v>
      </c>
      <c r="F588" s="442" t="s">
        <v>54</v>
      </c>
      <c r="G588" s="61">
        <v>46258</v>
      </c>
      <c r="H588" s="61">
        <v>46261</v>
      </c>
      <c r="I588" s="61" t="s">
        <v>42</v>
      </c>
      <c r="J588" s="64"/>
      <c r="K588" s="64">
        <v>0.79166666666666663</v>
      </c>
      <c r="L588" s="570">
        <v>0.66666666666666663</v>
      </c>
      <c r="M588" s="570">
        <v>8.3333333333333329E-2</v>
      </c>
      <c r="N588" s="570">
        <v>0</v>
      </c>
      <c r="O588" s="570">
        <v>0.54166666666666663</v>
      </c>
      <c r="P588" s="570">
        <v>0.33333333333333331</v>
      </c>
      <c r="Q588" s="73" t="s">
        <v>55</v>
      </c>
      <c r="R588" s="73"/>
      <c r="S588" s="73"/>
      <c r="T588" s="59">
        <f>VLOOKUP(Table2[[#This Row],[Course Title]],'TSD-Data'!$A$1:$E$83,4,FALSE)</f>
        <v>45</v>
      </c>
      <c r="U588" s="59">
        <f>VLOOKUP(Table2[[#This Row],[Course Title]],'TSD-Data'!$A$1:$F$83,6,FALSE)</f>
        <v>32</v>
      </c>
      <c r="V588" s="63">
        <f>VLOOKUP(Table2[[#This Row],[Course Title]],'TSD-Data'!$A$1:$F$83,5,FALSE)</f>
        <v>4</v>
      </c>
      <c r="W588" s="63">
        <v>181</v>
      </c>
      <c r="X588" s="59">
        <f>Table2[[#This Row],[Quotas]]-Table2[[#This Row],[Open Quotas]]</f>
        <v>23</v>
      </c>
      <c r="Y588" s="59">
        <v>0</v>
      </c>
      <c r="Z588" s="63"/>
      <c r="AA588" s="63"/>
      <c r="AB588" s="59"/>
      <c r="AC588" s="59"/>
      <c r="AD588" s="59"/>
      <c r="AE588" s="59"/>
      <c r="AF588" s="149">
        <f ca="1">Table2[[#This Row],[End Date]]+2-TODAY()</f>
        <v>19</v>
      </c>
      <c r="AG588" s="151">
        <f>IF(ISBLANK(Table2[[#This Row],[Roster Received by]]),1,0)</f>
        <v>1</v>
      </c>
      <c r="AH588" s="151">
        <f ca="1">IF(Table2[[#This Row],[Start Date]]&gt;TODAY(),1,)</f>
        <v>1</v>
      </c>
      <c r="AI588" s="151">
        <f>IF(ISBLANK(Table2[[#This Row],[Primary Instructor]]),0,1)</f>
        <v>1</v>
      </c>
      <c r="AJ588" s="151">
        <f>IF(ISBLANK(Table2[[#This Row],[Instructor 2]]),0,1)</f>
        <v>0</v>
      </c>
      <c r="AK588" s="496">
        <f>Table2[[#This Row],[Course Length (Hours)]]/(Table2[[#This Row],[1 Instructor]]+Table2[[#This Row],[2 Instructors]])</f>
        <v>32</v>
      </c>
      <c r="AL588" s="113">
        <v>22</v>
      </c>
      <c r="AM588" s="498">
        <v>4</v>
      </c>
      <c r="AN588" s="151" t="str">
        <f>VLOOKUP(Table2[[#This Row],[Course Title]],'TSD-Data'!$A$1:$G$83,7,FALSE)</f>
        <v>N5</v>
      </c>
      <c r="AO588" s="502">
        <f>Table2[[#This Row],[Quotas]]-Table2[[#This Row],[Graduates]]-Table2[[#This Row],[Fail]]</f>
        <v>45</v>
      </c>
    </row>
    <row r="589" spans="2:41" ht="15" customHeight="1" x14ac:dyDescent="0.25">
      <c r="B589" s="83"/>
      <c r="C589" s="83" t="s">
        <v>255</v>
      </c>
      <c r="D589" s="59" t="str">
        <f>VLOOKUP(Table2[[#This Row],[Course Title]],'TSD-Data'!$A$1:$E$83,2,FALSE)</f>
        <v>A-493-0085</v>
      </c>
      <c r="E589" s="59">
        <f>VLOOKUP(Table2[[#This Row],[Course Title]],'TSD-Data'!$A$1:$E$83,3,FALSE)</f>
        <v>3555</v>
      </c>
      <c r="F589" s="442" t="s">
        <v>54</v>
      </c>
      <c r="G589" s="61">
        <v>46258</v>
      </c>
      <c r="H589" s="61">
        <v>46261</v>
      </c>
      <c r="I589" s="61" t="s">
        <v>42</v>
      </c>
      <c r="J589" s="64"/>
      <c r="K589" s="64">
        <v>0.5</v>
      </c>
      <c r="L589" s="570">
        <v>0.375</v>
      </c>
      <c r="M589" s="570">
        <v>0.79166666666666663</v>
      </c>
      <c r="N589" s="570">
        <v>0.75</v>
      </c>
      <c r="O589" s="570">
        <v>0.25</v>
      </c>
      <c r="P589" s="570">
        <v>4.1666666666666664E-2</v>
      </c>
      <c r="Q589" s="73" t="s">
        <v>82</v>
      </c>
      <c r="R589" s="73"/>
      <c r="S589" s="73"/>
      <c r="T589" s="59">
        <f>VLOOKUP(Table2[[#This Row],[Course Title]],'TSD-Data'!$A$1:$E$83,4,FALSE)</f>
        <v>45</v>
      </c>
      <c r="U589" s="59">
        <f>VLOOKUP(Table2[[#This Row],[Course Title]],'TSD-Data'!$A$1:$F$83,6,FALSE)</f>
        <v>32</v>
      </c>
      <c r="V589" s="63">
        <f>VLOOKUP(Table2[[#This Row],[Course Title]],'TSD-Data'!$A$1:$F$83,5,FALSE)</f>
        <v>4</v>
      </c>
      <c r="W589" s="63">
        <v>688</v>
      </c>
      <c r="X589" s="59">
        <f>Table2[[#This Row],[Quotas]]-Table2[[#This Row],[Open Quotas]]</f>
        <v>19</v>
      </c>
      <c r="Y589" s="59">
        <v>0</v>
      </c>
      <c r="Z589" s="63"/>
      <c r="AA589" s="63"/>
      <c r="AB589" s="59"/>
      <c r="AC589" s="59"/>
      <c r="AD589" s="59"/>
      <c r="AE589" s="59"/>
      <c r="AF589" s="149">
        <f ca="1">Table2[[#This Row],[End Date]]+2-TODAY()</f>
        <v>19</v>
      </c>
      <c r="AG589" s="151">
        <f>IF(ISBLANK(Table2[[#This Row],[Roster Received by]]),1,0)</f>
        <v>1</v>
      </c>
      <c r="AH589" s="151">
        <f ca="1">IF(Table2[[#This Row],[Start Date]]&gt;TODAY(),1,)</f>
        <v>1</v>
      </c>
      <c r="AI589" s="151">
        <f>IF(ISBLANK(Table2[[#This Row],[Primary Instructor]]),0,1)</f>
        <v>1</v>
      </c>
      <c r="AJ589" s="151">
        <f>IF(ISBLANK(Table2[[#This Row],[Instructor 2]]),0,1)</f>
        <v>0</v>
      </c>
      <c r="AK589" s="496">
        <f>Table2[[#This Row],[Course Length (Hours)]]/(Table2[[#This Row],[1 Instructor]]+Table2[[#This Row],[2 Instructors]])</f>
        <v>32</v>
      </c>
      <c r="AL589" s="113">
        <v>26</v>
      </c>
      <c r="AM589" s="498">
        <v>4</v>
      </c>
      <c r="AN589" s="151" t="str">
        <f>VLOOKUP(Table2[[#This Row],[Course Title]],'TSD-Data'!$A$1:$G$83,7,FALSE)</f>
        <v>N3</v>
      </c>
      <c r="AO589" s="502">
        <f>Table2[[#This Row],[Quotas]]-Table2[[#This Row],[Graduates]]-Table2[[#This Row],[Fail]]</f>
        <v>45</v>
      </c>
    </row>
    <row r="590" spans="2:41" ht="15" customHeight="1" x14ac:dyDescent="0.25">
      <c r="B590" s="83"/>
      <c r="C590" s="83" t="s">
        <v>229</v>
      </c>
      <c r="D590" s="59" t="str">
        <f>VLOOKUP(Table2[[#This Row],[Course Title]],'TSD-Data'!$A$1:$E$83,2,FALSE)</f>
        <v>A-570-0100</v>
      </c>
      <c r="E590" s="59" t="str">
        <f>VLOOKUP(Table2[[#This Row],[Course Title]],'TSD-Data'!$A$1:$E$83,3,FALSE)</f>
        <v>18B7</v>
      </c>
      <c r="F590" s="442" t="s">
        <v>54</v>
      </c>
      <c r="G590" s="61">
        <v>46258</v>
      </c>
      <c r="H590" s="61">
        <v>46259</v>
      </c>
      <c r="I590" s="61" t="s">
        <v>42</v>
      </c>
      <c r="J590" s="64"/>
      <c r="K590" s="64">
        <v>0.5</v>
      </c>
      <c r="L590" s="570">
        <v>0.375</v>
      </c>
      <c r="M590" s="570">
        <v>0.79166666666666663</v>
      </c>
      <c r="N590" s="570">
        <v>0.75</v>
      </c>
      <c r="O590" s="570">
        <v>0.25</v>
      </c>
      <c r="P590" s="570">
        <v>4.1666666666666664E-2</v>
      </c>
      <c r="Q590" s="73" t="s">
        <v>432</v>
      </c>
      <c r="R590" s="73"/>
      <c r="S590" s="73"/>
      <c r="T590" s="59">
        <f>VLOOKUP(Table2[[#This Row],[Course Title]],'TSD-Data'!$A$1:$E$83,4,FALSE)</f>
        <v>45</v>
      </c>
      <c r="U590" s="59">
        <f>VLOOKUP(Table2[[#This Row],[Course Title]],'TSD-Data'!$A$1:$F$83,6,FALSE)</f>
        <v>16</v>
      </c>
      <c r="V590" s="63">
        <f>VLOOKUP(Table2[[#This Row],[Course Title]],'TSD-Data'!$A$1:$F$83,5,FALSE)</f>
        <v>2</v>
      </c>
      <c r="W590" s="63">
        <v>663</v>
      </c>
      <c r="X590" s="59">
        <f>Table2[[#This Row],[Quotas]]-Table2[[#This Row],[Open Quotas]]</f>
        <v>27</v>
      </c>
      <c r="Y590" s="59">
        <v>0</v>
      </c>
      <c r="Z590" s="63"/>
      <c r="AA590" s="63"/>
      <c r="AB590" s="59"/>
      <c r="AC590" s="59"/>
      <c r="AD590" s="59"/>
      <c r="AE590" s="59"/>
      <c r="AF590" s="149">
        <f ca="1">Table2[[#This Row],[End Date]]+2-TODAY()</f>
        <v>17</v>
      </c>
      <c r="AG590" s="151">
        <f>IF(ISBLANK(Table2[[#This Row],[Roster Received by]]),1,0)</f>
        <v>1</v>
      </c>
      <c r="AH590" s="151">
        <f ca="1">IF(Table2[[#This Row],[Start Date]]&gt;TODAY(),1,)</f>
        <v>1</v>
      </c>
      <c r="AI590" s="151">
        <f>IF(ISBLANK(Table2[[#This Row],[Primary Instructor]]),0,1)</f>
        <v>1</v>
      </c>
      <c r="AJ590" s="151">
        <f>IF(ISBLANK(Table2[[#This Row],[Instructor 2]]),0,1)</f>
        <v>0</v>
      </c>
      <c r="AK590" s="496">
        <f>Table2[[#This Row],[Course Length (Hours)]]/(Table2[[#This Row],[1 Instructor]]+Table2[[#This Row],[2 Instructors]])</f>
        <v>16</v>
      </c>
      <c r="AL590" s="113">
        <v>18</v>
      </c>
      <c r="AM590" s="498">
        <v>4</v>
      </c>
      <c r="AN590" s="151" t="str">
        <f>VLOOKUP(Table2[[#This Row],[Course Title]],'TSD-Data'!$A$1:$G$83,7,FALSE)</f>
        <v>N8</v>
      </c>
      <c r="AO590" s="502">
        <f>Table2[[#This Row],[Quotas]]-Table2[[#This Row],[Graduates]]-Table2[[#This Row],[Fail]]</f>
        <v>45</v>
      </c>
    </row>
    <row r="591" spans="2:41" ht="15" customHeight="1" x14ac:dyDescent="0.25">
      <c r="B591" s="83"/>
      <c r="C591" s="83" t="s">
        <v>77</v>
      </c>
      <c r="D591" s="59" t="str">
        <f>VLOOKUP(Table2[[#This Row],[Course Title]],'TSD-Data'!$A$1:$E$83,2,FALSE)</f>
        <v>A-493-0072</v>
      </c>
      <c r="E591" s="59" t="str">
        <f>VLOOKUP(Table2[[#This Row],[Course Title]],'TSD-Data'!$A$1:$E$83,3,FALSE)</f>
        <v>713U</v>
      </c>
      <c r="F591" s="442" t="s">
        <v>118</v>
      </c>
      <c r="G591" s="127">
        <v>46258</v>
      </c>
      <c r="H591" s="127">
        <v>46262</v>
      </c>
      <c r="I591" s="61" t="s">
        <v>42</v>
      </c>
      <c r="J591" s="64">
        <v>0.33333333333333331</v>
      </c>
      <c r="K591" s="64"/>
      <c r="L591" s="61"/>
      <c r="M591" s="61"/>
      <c r="N591" s="61"/>
      <c r="O591" s="61"/>
      <c r="P591" s="61"/>
      <c r="Q591" s="73" t="s">
        <v>67</v>
      </c>
      <c r="R591" s="73"/>
      <c r="S591" s="73" t="s">
        <v>432</v>
      </c>
      <c r="T591" s="59">
        <f>VLOOKUP(Table2[[#This Row],[Course Title]],'TSD-Data'!$A$1:$E$83,4,FALSE)</f>
        <v>30</v>
      </c>
      <c r="U591" s="59">
        <f>VLOOKUP(Table2[[#This Row],[Course Title]],'TSD-Data'!$A$1:$F$83,6,FALSE)</f>
        <v>40</v>
      </c>
      <c r="V591" s="63">
        <f>VLOOKUP(Table2[[#This Row],[Course Title]],'TSD-Data'!$A$1:$F$83,5,FALSE)</f>
        <v>5</v>
      </c>
      <c r="W591" s="63">
        <v>66</v>
      </c>
      <c r="X591" s="59">
        <f>Table2[[#This Row],[Quotas]]-Table2[[#This Row],[Open Quotas]]</f>
        <v>12</v>
      </c>
      <c r="Y591" s="59">
        <v>0</v>
      </c>
      <c r="Z591" s="63"/>
      <c r="AA591" s="63"/>
      <c r="AB591" s="59"/>
      <c r="AC591" s="59"/>
      <c r="AD591" s="59"/>
      <c r="AE591" s="59"/>
      <c r="AF591" s="149">
        <f ca="1">Table2[[#This Row],[End Date]]+2-TODAY()</f>
        <v>20</v>
      </c>
      <c r="AG591" s="151">
        <f>IF(ISBLANK(Table2[[#This Row],[Roster Received by]]),1,0)</f>
        <v>1</v>
      </c>
      <c r="AH591" s="151">
        <f ca="1">IF(Table2[[#This Row],[Start Date]]&gt;TODAY(),1,)</f>
        <v>1</v>
      </c>
      <c r="AI591" s="151">
        <f>IF(ISBLANK(Table2[[#This Row],[Primary Instructor]]),0,1)</f>
        <v>1</v>
      </c>
      <c r="AJ591" s="151">
        <f>IF(ISBLANK(Table2[[#This Row],[Instructor 2]]),0,1)</f>
        <v>0</v>
      </c>
      <c r="AK591" s="496">
        <f>Table2[[#This Row],[Course Length (Hours)]]/(Table2[[#This Row],[1 Instructor]]+Table2[[#This Row],[2 Instructors]])</f>
        <v>40</v>
      </c>
      <c r="AL591" s="113">
        <v>18</v>
      </c>
      <c r="AM591" s="498">
        <v>4</v>
      </c>
      <c r="AN591" s="151" t="str">
        <f>VLOOKUP(Table2[[#This Row],[Course Title]],'TSD-Data'!$A$1:$G$83,7,FALSE)</f>
        <v>N3</v>
      </c>
      <c r="AO591" s="502">
        <f>Table2[[#This Row],[Quotas]]-Table2[[#This Row],[Graduates]]-Table2[[#This Row],[Fail]]</f>
        <v>30</v>
      </c>
    </row>
    <row r="592" spans="2:41" ht="15" customHeight="1" x14ac:dyDescent="0.25">
      <c r="B592" s="83"/>
      <c r="C592" s="83" t="s">
        <v>488</v>
      </c>
      <c r="D592" s="59" t="str">
        <f>VLOOKUP(Table2[[#This Row],[Course Title]],'TSD-Data'!$A$1:$E$83,2,FALSE)</f>
        <v xml:space="preserve">A-493-3019 </v>
      </c>
      <c r="E592" s="59" t="str">
        <f>VLOOKUP(Table2[[#This Row],[Course Title]],'TSD-Data'!$A$1:$E$83,3,FALSE)</f>
        <v>33D9</v>
      </c>
      <c r="F592" s="442" t="s">
        <v>54</v>
      </c>
      <c r="G592" s="61">
        <v>46258</v>
      </c>
      <c r="H592" s="61">
        <v>46258</v>
      </c>
      <c r="I592" s="61" t="s">
        <v>42</v>
      </c>
      <c r="J592" s="64"/>
      <c r="K592" s="64">
        <v>0.79166666666666663</v>
      </c>
      <c r="L592" s="64">
        <v>0.66666666666666663</v>
      </c>
      <c r="M592" s="64">
        <v>8.3333333333333329E-2</v>
      </c>
      <c r="N592" s="64">
        <v>4.1666666666666664E-2</v>
      </c>
      <c r="O592" s="64">
        <v>0.58333333333333337</v>
      </c>
      <c r="P592" s="64">
        <v>0.33333333333333331</v>
      </c>
      <c r="Q592" s="73" t="s">
        <v>445</v>
      </c>
      <c r="R592" s="73" t="s">
        <v>483</v>
      </c>
      <c r="S592" s="73"/>
      <c r="T592" s="59">
        <f>VLOOKUP(Table2[[#This Row],[Course Title]],'TSD-Data'!$A$1:$E$83,4,FALSE)</f>
        <v>1000</v>
      </c>
      <c r="U592" s="59">
        <f>VLOOKUP(Table2[[#This Row],[Course Title]],'TSD-Data'!$A$1:$F$83,6,FALSE)</f>
        <v>2</v>
      </c>
      <c r="V592" s="63">
        <f>VLOOKUP(Table2[[#This Row],[Course Title]],'TSD-Data'!$A$1:$F$83,5,FALSE)</f>
        <v>0.25</v>
      </c>
      <c r="W592" s="63"/>
      <c r="X592" s="59">
        <f>Table2[[#This Row],[Quotas]]-Table2[[#This Row],[Open Quotas]]</f>
        <v>46</v>
      </c>
      <c r="Y592" s="59"/>
      <c r="Z592" s="63"/>
      <c r="AA592" s="63"/>
      <c r="AB592" s="59"/>
      <c r="AC592" s="59"/>
      <c r="AD592" s="59"/>
      <c r="AE592" s="59"/>
      <c r="AF592" s="63">
        <f ca="1">Table2[[#This Row],[End Date]]+2-TODAY()</f>
        <v>16</v>
      </c>
      <c r="AG592" s="59">
        <f>IF(ISBLANK(Table2[[#This Row],[Roster Received by]]),1,0)</f>
        <v>1</v>
      </c>
      <c r="AH592" s="59">
        <f ca="1">IF(Table2[[#This Row],[Start Date]]&gt;TODAY(),1,)</f>
        <v>1</v>
      </c>
      <c r="AI592" s="59">
        <f>IF(ISBLANK(Table2[[#This Row],[Primary Instructor]]),0,1)</f>
        <v>1</v>
      </c>
      <c r="AJ592" s="59">
        <f>IF(ISBLANK(Table2[[#This Row],[Instructor 2]]),0,1)</f>
        <v>1</v>
      </c>
      <c r="AK592" s="59">
        <f>AJ890</f>
        <v>0</v>
      </c>
      <c r="AL592" s="113">
        <v>954</v>
      </c>
      <c r="AM592" s="59"/>
      <c r="AN592" s="59" t="str">
        <f>VLOOKUP(Table2[[#This Row],[Course Title]],'TSD-Data'!$A$1:$G$83,7,FALSE)</f>
        <v>N8-RMI</v>
      </c>
      <c r="AO592" s="508">
        <f>Table2[[#This Row],[Quotas]]-Table2[[#This Row],[Graduates]]-Table2[[#This Row],[Fail]]</f>
        <v>1000</v>
      </c>
    </row>
    <row r="593" spans="2:41" ht="15" customHeight="1" x14ac:dyDescent="0.25">
      <c r="B593" s="83"/>
      <c r="C593" s="83" t="s">
        <v>489</v>
      </c>
      <c r="D593" s="59" t="str">
        <f>VLOOKUP(Table2[[#This Row],[Course Title]],'TSD-Data'!$A$1:$E$83,2,FALSE)</f>
        <v xml:space="preserve">A-493-3020 </v>
      </c>
      <c r="E593" s="59" t="str">
        <f>VLOOKUP(Table2[[#This Row],[Course Title]],'TSD-Data'!$A$1:$E$83,3,FALSE)</f>
        <v>33DA</v>
      </c>
      <c r="F593" s="442" t="s">
        <v>54</v>
      </c>
      <c r="G593" s="61">
        <v>46258</v>
      </c>
      <c r="H593" s="61">
        <v>46258</v>
      </c>
      <c r="I593" s="61" t="s">
        <v>42</v>
      </c>
      <c r="J593" s="64"/>
      <c r="K593" s="64">
        <v>0.89583333333333337</v>
      </c>
      <c r="L593" s="64">
        <v>1830</v>
      </c>
      <c r="M593" s="64">
        <v>0.1875</v>
      </c>
      <c r="N593" s="64">
        <v>0.14583333333333334</v>
      </c>
      <c r="O593" s="64">
        <v>0.6875</v>
      </c>
      <c r="P593" s="64">
        <v>0.4375</v>
      </c>
      <c r="Q593" s="73" t="s">
        <v>445</v>
      </c>
      <c r="R593" s="73" t="s">
        <v>483</v>
      </c>
      <c r="S593" s="73"/>
      <c r="T593" s="59">
        <f>VLOOKUP(Table2[[#This Row],[Course Title]],'TSD-Data'!$A$1:$E$83,4,FALSE)</f>
        <v>1000</v>
      </c>
      <c r="U593" s="59">
        <f>VLOOKUP(Table2[[#This Row],[Course Title]],'TSD-Data'!$A$1:$F$83,6,FALSE)</f>
        <v>2</v>
      </c>
      <c r="V593" s="63">
        <f>VLOOKUP(Table2[[#This Row],[Course Title]],'TSD-Data'!$A$1:$F$83,5,FALSE)</f>
        <v>0.25</v>
      </c>
      <c r="W593" s="63"/>
      <c r="X593" s="59">
        <f>Table2[[#This Row],[Quotas]]-Table2[[#This Row],[Open Quotas]]</f>
        <v>46</v>
      </c>
      <c r="Y593" s="59"/>
      <c r="Z593" s="63"/>
      <c r="AA593" s="63"/>
      <c r="AB593" s="59"/>
      <c r="AC593" s="59"/>
      <c r="AD593" s="59"/>
      <c r="AE593" s="59"/>
      <c r="AF593" s="63">
        <f ca="1">Table2[[#This Row],[End Date]]+2-TODAY()</f>
        <v>16</v>
      </c>
      <c r="AG593" s="59">
        <f>IF(ISBLANK(Table2[[#This Row],[Roster Received by]]),1,0)</f>
        <v>1</v>
      </c>
      <c r="AH593" s="59">
        <f ca="1">IF(Table2[[#This Row],[Start Date]]&gt;TODAY(),1,)</f>
        <v>1</v>
      </c>
      <c r="AI593" s="59">
        <f>IF(ISBLANK(Table2[[#This Row],[Primary Instructor]]),0,1)</f>
        <v>1</v>
      </c>
      <c r="AJ593" s="59">
        <f>IF(ISBLANK(Table2[[#This Row],[Instructor 2]]),0,1)</f>
        <v>1</v>
      </c>
      <c r="AK593" s="59">
        <f>AJ891</f>
        <v>0</v>
      </c>
      <c r="AL593" s="113">
        <v>954</v>
      </c>
      <c r="AM593" s="59"/>
      <c r="AN593" s="59" t="str">
        <f>VLOOKUP(Table2[[#This Row],[Course Title]],'TSD-Data'!$A$1:$G$83,7,FALSE)</f>
        <v>N8-RMI</v>
      </c>
      <c r="AO593" s="508">
        <f>Table2[[#This Row],[Quotas]]-Table2[[#This Row],[Graduates]]-Table2[[#This Row],[Fail]]</f>
        <v>1000</v>
      </c>
    </row>
    <row r="594" spans="2:41" ht="15" customHeight="1" x14ac:dyDescent="0.25">
      <c r="B594" s="83"/>
      <c r="C594" s="83" t="s">
        <v>491</v>
      </c>
      <c r="D594" s="59" t="str">
        <f>VLOOKUP(Table2[[#This Row],[Course Title]],'TSD-Data'!$A$1:$E$83,2,FALSE)</f>
        <v xml:space="preserve">A-493-2021 </v>
      </c>
      <c r="E594" s="59" t="str">
        <f>VLOOKUP(Table2[[#This Row],[Course Title]],'TSD-Data'!$A$1:$E$83,3,FALSE)</f>
        <v>33DB</v>
      </c>
      <c r="F594" s="442" t="s">
        <v>54</v>
      </c>
      <c r="G594" s="61">
        <v>46259</v>
      </c>
      <c r="H594" s="61">
        <v>46259</v>
      </c>
      <c r="I594" s="61" t="s">
        <v>42</v>
      </c>
      <c r="J594" s="64"/>
      <c r="K594" s="64">
        <v>0.33333333333333331</v>
      </c>
      <c r="L594" s="64">
        <v>0.20833333333333334</v>
      </c>
      <c r="M594" s="64">
        <v>0.625</v>
      </c>
      <c r="N594" s="64">
        <v>0.58333333333333337</v>
      </c>
      <c r="O594" s="64">
        <v>0.125</v>
      </c>
      <c r="P594" s="64">
        <v>0.875</v>
      </c>
      <c r="Q594" s="73" t="s">
        <v>445</v>
      </c>
      <c r="R594" s="73" t="s">
        <v>483</v>
      </c>
      <c r="S594" s="73"/>
      <c r="T594" s="59">
        <f>VLOOKUP(Table2[[#This Row],[Course Title]],'TSD-Data'!$A$1:$E$83,4,FALSE)</f>
        <v>1000</v>
      </c>
      <c r="U594" s="59">
        <f>VLOOKUP(Table2[[#This Row],[Course Title]],'TSD-Data'!$A$1:$F$83,6,FALSE)</f>
        <v>2</v>
      </c>
      <c r="V594" s="63">
        <f>VLOOKUP(Table2[[#This Row],[Course Title]],'TSD-Data'!$A$1:$F$83,5,FALSE)</f>
        <v>0.25</v>
      </c>
      <c r="W594" s="63"/>
      <c r="X594" s="59">
        <f>Table2[[#This Row],[Quotas]]-Table2[[#This Row],[Open Quotas]]</f>
        <v>46</v>
      </c>
      <c r="Y594" s="59"/>
      <c r="Z594" s="63"/>
      <c r="AA594" s="63"/>
      <c r="AB594" s="59"/>
      <c r="AC594" s="59"/>
      <c r="AD594" s="59"/>
      <c r="AE594" s="59"/>
      <c r="AF594" s="63">
        <f ca="1">Table2[[#This Row],[End Date]]+2-TODAY()</f>
        <v>17</v>
      </c>
      <c r="AG594" s="59">
        <f>IF(ISBLANK(Table2[[#This Row],[Roster Received by]]),1,0)</f>
        <v>1</v>
      </c>
      <c r="AH594" s="59">
        <f ca="1">IF(Table2[[#This Row],[Start Date]]&gt;TODAY(),1,)</f>
        <v>1</v>
      </c>
      <c r="AI594" s="59">
        <f>IF(ISBLANK(Table2[[#This Row],[Primary Instructor]]),0,1)</f>
        <v>1</v>
      </c>
      <c r="AJ594" s="59">
        <f>IF(ISBLANK(Table2[[#This Row],[Instructor 2]]),0,1)</f>
        <v>1</v>
      </c>
      <c r="AK594" s="59">
        <f>AJ892</f>
        <v>0</v>
      </c>
      <c r="AL594" s="113">
        <v>954</v>
      </c>
      <c r="AM594" s="59"/>
      <c r="AN594" s="59" t="str">
        <f>VLOOKUP(Table2[[#This Row],[Course Title]],'TSD-Data'!$A$1:$G$83,7,FALSE)</f>
        <v>N8-RMI</v>
      </c>
      <c r="AO594" s="508">
        <f>Table2[[#This Row],[Quotas]]-Table2[[#This Row],[Graduates]]-Table2[[#This Row],[Fail]]</f>
        <v>1000</v>
      </c>
    </row>
    <row r="595" spans="2:41" ht="15" customHeight="1" x14ac:dyDescent="0.25">
      <c r="B595" s="83"/>
      <c r="C595" s="83" t="s">
        <v>491</v>
      </c>
      <c r="D595" s="59" t="str">
        <f>VLOOKUP(Table2[[#This Row],[Course Title]],'TSD-Data'!$A$1:$E$83,2,FALSE)</f>
        <v xml:space="preserve">A-493-2021 </v>
      </c>
      <c r="E595" s="59" t="str">
        <f>VLOOKUP(Table2[[#This Row],[Course Title]],'TSD-Data'!$A$1:$E$83,3,FALSE)</f>
        <v>33DB</v>
      </c>
      <c r="F595" s="442" t="s">
        <v>54</v>
      </c>
      <c r="G595" s="61">
        <v>46259</v>
      </c>
      <c r="H595" s="61">
        <v>46259</v>
      </c>
      <c r="I595" s="61" t="s">
        <v>42</v>
      </c>
      <c r="J595" s="64"/>
      <c r="K595" s="64">
        <v>0.58333333333333337</v>
      </c>
      <c r="L595" s="64">
        <v>0.45833333333333331</v>
      </c>
      <c r="M595" s="64">
        <v>0.875</v>
      </c>
      <c r="N595" s="64">
        <v>0.83333333333333337</v>
      </c>
      <c r="O595" s="64">
        <v>0.375</v>
      </c>
      <c r="P595" s="64">
        <v>0.125</v>
      </c>
      <c r="Q595" s="73" t="s">
        <v>445</v>
      </c>
      <c r="R595" s="73" t="s">
        <v>483</v>
      </c>
      <c r="S595" s="73"/>
      <c r="T595" s="59">
        <f>VLOOKUP(Table2[[#This Row],[Course Title]],'TSD-Data'!$A$1:$E$83,4,FALSE)</f>
        <v>1000</v>
      </c>
      <c r="U595" s="59">
        <f>VLOOKUP(Table2[[#This Row],[Course Title]],'TSD-Data'!$A$1:$F$83,6,FALSE)</f>
        <v>2</v>
      </c>
      <c r="V595" s="63">
        <f>VLOOKUP(Table2[[#This Row],[Course Title]],'TSD-Data'!$A$1:$F$83,5,FALSE)</f>
        <v>0.25</v>
      </c>
      <c r="W595" s="63"/>
      <c r="X595" s="59">
        <f>Table2[[#This Row],[Quotas]]-Table2[[#This Row],[Open Quotas]]</f>
        <v>46</v>
      </c>
      <c r="Y595" s="59"/>
      <c r="Z595" s="63"/>
      <c r="AA595" s="63"/>
      <c r="AB595" s="59"/>
      <c r="AC595" s="59"/>
      <c r="AD595" s="59"/>
      <c r="AE595" s="59"/>
      <c r="AF595" s="63">
        <f ca="1">Table2[[#This Row],[End Date]]+2-TODAY()</f>
        <v>17</v>
      </c>
      <c r="AG595" s="59">
        <f>IF(ISBLANK(Table2[[#This Row],[Roster Received by]]),1,0)</f>
        <v>1</v>
      </c>
      <c r="AH595" s="59">
        <f ca="1">IF(Table2[[#This Row],[Start Date]]&gt;TODAY(),1,)</f>
        <v>1</v>
      </c>
      <c r="AI595" s="59">
        <f>IF(ISBLANK(Table2[[#This Row],[Primary Instructor]]),0,1)</f>
        <v>1</v>
      </c>
      <c r="AJ595" s="59">
        <f>IF(ISBLANK(Table2[[#This Row],[Instructor 2]]),0,1)</f>
        <v>1</v>
      </c>
      <c r="AK595" s="59">
        <f>AJ893</f>
        <v>0</v>
      </c>
      <c r="AL595" s="113">
        <v>954</v>
      </c>
      <c r="AM595" s="59"/>
      <c r="AN595" s="59" t="str">
        <f>VLOOKUP(Table2[[#This Row],[Course Title]],'TSD-Data'!$A$1:$G$83,7,FALSE)</f>
        <v>N8-RMI</v>
      </c>
      <c r="AO595" s="508">
        <f>Table2[[#This Row],[Quotas]]-Table2[[#This Row],[Graduates]]-Table2[[#This Row],[Fail]]</f>
        <v>1000</v>
      </c>
    </row>
    <row r="596" spans="2:41" ht="15" customHeight="1" x14ac:dyDescent="0.25">
      <c r="B596" s="83"/>
      <c r="C596" s="574" t="s">
        <v>63</v>
      </c>
      <c r="D596" s="59" t="str">
        <f>VLOOKUP(Table2[[#This Row],[Course Title]],'TSD-Data'!$A$1:$E$83,2,FALSE)</f>
        <v>A-493-0015</v>
      </c>
      <c r="E596" s="59">
        <f>VLOOKUP(Table2[[#This Row],[Course Title]],'TSD-Data'!$A$1:$E$83,3,FALSE)</f>
        <v>3879</v>
      </c>
      <c r="F596" s="442" t="s">
        <v>54</v>
      </c>
      <c r="G596" s="575">
        <v>46260</v>
      </c>
      <c r="H596" s="575">
        <v>46260</v>
      </c>
      <c r="I596" s="61" t="s">
        <v>42</v>
      </c>
      <c r="J596" s="568"/>
      <c r="K596" s="64">
        <v>0.33333333333333331</v>
      </c>
      <c r="L596" s="64">
        <v>0.20833333333333334</v>
      </c>
      <c r="M596" s="64">
        <v>0.625</v>
      </c>
      <c r="N596" s="64">
        <v>0.54166666666666663</v>
      </c>
      <c r="O596" s="64">
        <v>8.3333333333333329E-2</v>
      </c>
      <c r="P596" s="64">
        <v>0.875</v>
      </c>
      <c r="Q596" s="73" t="s">
        <v>104</v>
      </c>
      <c r="R596" s="73"/>
      <c r="S596" s="73"/>
      <c r="T596" s="59">
        <f>VLOOKUP(Table2[[#This Row],[Course Title]],'TSD-Data'!$A$1:$E$83,4,FALSE)</f>
        <v>30</v>
      </c>
      <c r="U596" s="59">
        <f>VLOOKUP(Table2[[#This Row],[Course Title]],'TSD-Data'!$A$1:$F$83,6,FALSE)</f>
        <v>4</v>
      </c>
      <c r="V596" s="63">
        <f>VLOOKUP(Table2[[#This Row],[Course Title]],'TSD-Data'!$A$1:$F$83,5,FALSE)</f>
        <v>0.5</v>
      </c>
      <c r="W596" s="63">
        <v>0</v>
      </c>
      <c r="X596" s="59">
        <f>Table2[[#This Row],[Quotas]]-Table2[[#This Row],[Open Quotas]]</f>
        <v>6</v>
      </c>
      <c r="Y596" s="59">
        <v>0</v>
      </c>
      <c r="Z596" s="63"/>
      <c r="AA596" s="63"/>
      <c r="AB596" s="59"/>
      <c r="AC596" s="59"/>
      <c r="AD596" s="59"/>
      <c r="AE596" s="59"/>
      <c r="AF596" s="149">
        <f ca="1">Table2[[#This Row],[End Date]]+2-TODAY()</f>
        <v>18</v>
      </c>
      <c r="AG596" s="151">
        <f>IF(ISBLANK(Table2[[#This Row],[Roster Received by]]),1,0)</f>
        <v>1</v>
      </c>
      <c r="AH596" s="151">
        <f ca="1">IF(Table2[[#This Row],[Start Date]]&gt;TODAY(),1,)</f>
        <v>1</v>
      </c>
      <c r="AI596" s="151">
        <f>IF(ISBLANK(Table2[[#This Row],[Primary Instructor]]),0,1)</f>
        <v>1</v>
      </c>
      <c r="AJ596" s="151">
        <f>IF(ISBLANK(Table2[[#This Row],[Instructor 2]]),0,1)</f>
        <v>0</v>
      </c>
      <c r="AK596" s="496">
        <f>Table2[[#This Row],[Course Length (Hours)]]/(Table2[[#This Row],[1 Instructor]]+Table2[[#This Row],[2 Instructors]])</f>
        <v>4</v>
      </c>
      <c r="AL596" s="113">
        <v>24</v>
      </c>
      <c r="AM596" s="498">
        <v>4</v>
      </c>
      <c r="AN596" s="151" t="str">
        <f>VLOOKUP(Table2[[#This Row],[Course Title]],'TSD-Data'!$A$1:$G$83,7,FALSE)</f>
        <v>N3</v>
      </c>
      <c r="AO596" s="502">
        <f>Table2[[#This Row],[Quotas]]-Table2[[#This Row],[Graduates]]-Table2[[#This Row],[Fail]]</f>
        <v>30</v>
      </c>
    </row>
    <row r="597" spans="2:41" ht="15" customHeight="1" x14ac:dyDescent="0.25">
      <c r="B597" s="83"/>
      <c r="C597" s="574" t="s">
        <v>64</v>
      </c>
      <c r="D597" s="59" t="str">
        <f>VLOOKUP(Table2[[#This Row],[Course Title]],'TSD-Data'!$A$1:$E$83,2,FALSE)</f>
        <v>A-493-0020</v>
      </c>
      <c r="E597" s="59">
        <f>VLOOKUP(Table2[[#This Row],[Course Title]],'TSD-Data'!$A$1:$E$83,3,FALSE)</f>
        <v>3888</v>
      </c>
      <c r="F597" s="442" t="s">
        <v>54</v>
      </c>
      <c r="G597" s="575">
        <v>46261</v>
      </c>
      <c r="H597" s="575">
        <v>46261</v>
      </c>
      <c r="I597" s="61" t="s">
        <v>42</v>
      </c>
      <c r="J597" s="568"/>
      <c r="K597" s="64">
        <v>0.33333333333333331</v>
      </c>
      <c r="L597" s="64">
        <v>0.20833333333333334</v>
      </c>
      <c r="M597" s="64">
        <v>0.625</v>
      </c>
      <c r="N597" s="64">
        <v>0.54166666666666663</v>
      </c>
      <c r="O597" s="64">
        <v>8.3333333333333329E-2</v>
      </c>
      <c r="P597" s="64">
        <v>0.875</v>
      </c>
      <c r="Q597" s="73" t="s">
        <v>62</v>
      </c>
      <c r="R597" s="73"/>
      <c r="S597" s="73"/>
      <c r="T597" s="59">
        <f>VLOOKUP(Table2[[#This Row],[Course Title]],'TSD-Data'!$A$1:$E$83,4,FALSE)</f>
        <v>30</v>
      </c>
      <c r="U597" s="59">
        <f>VLOOKUP(Table2[[#This Row],[Course Title]],'TSD-Data'!$A$1:$F$83,6,FALSE)</f>
        <v>4</v>
      </c>
      <c r="V597" s="63">
        <f>VLOOKUP(Table2[[#This Row],[Course Title]],'TSD-Data'!$A$1:$F$83,5,FALSE)</f>
        <v>0.5</v>
      </c>
      <c r="W597" s="63">
        <v>0</v>
      </c>
      <c r="X597" s="59">
        <f>Table2[[#This Row],[Quotas]]-Table2[[#This Row],[Open Quotas]]</f>
        <v>5</v>
      </c>
      <c r="Y597" s="59">
        <v>0</v>
      </c>
      <c r="Z597" s="63"/>
      <c r="AA597" s="63"/>
      <c r="AB597" s="59"/>
      <c r="AC597" s="59"/>
      <c r="AD597" s="59"/>
      <c r="AE597" s="59"/>
      <c r="AF597" s="149">
        <f ca="1">Table2[[#This Row],[End Date]]+2-TODAY()</f>
        <v>19</v>
      </c>
      <c r="AG597" s="151">
        <f>IF(ISBLANK(Table2[[#This Row],[Roster Received by]]),1,0)</f>
        <v>1</v>
      </c>
      <c r="AH597" s="151">
        <f ca="1">IF(Table2[[#This Row],[Start Date]]&gt;TODAY(),1,)</f>
        <v>1</v>
      </c>
      <c r="AI597" s="151">
        <f>IF(ISBLANK(Table2[[#This Row],[Primary Instructor]]),0,1)</f>
        <v>1</v>
      </c>
      <c r="AJ597" s="151">
        <f>IF(ISBLANK(Table2[[#This Row],[Instructor 2]]),0,1)</f>
        <v>0</v>
      </c>
      <c r="AK597" s="496">
        <f>Table2[[#This Row],[Course Length (Hours)]]/(Table2[[#This Row],[1 Instructor]]+Table2[[#This Row],[2 Instructors]])</f>
        <v>4</v>
      </c>
      <c r="AL597" s="113">
        <v>25</v>
      </c>
      <c r="AM597" s="498">
        <v>4</v>
      </c>
      <c r="AN597" s="151" t="str">
        <f>VLOOKUP(Table2[[#This Row],[Course Title]],'TSD-Data'!$A$1:$G$83,7,FALSE)</f>
        <v>N3</v>
      </c>
      <c r="AO597" s="502">
        <f>Table2[[#This Row],[Quotas]]-Table2[[#This Row],[Graduates]]-Table2[[#This Row],[Fail]]</f>
        <v>30</v>
      </c>
    </row>
    <row r="598" spans="2:41" ht="15" customHeight="1" x14ac:dyDescent="0.25">
      <c r="B598" s="83"/>
      <c r="C598" s="83" t="s">
        <v>77</v>
      </c>
      <c r="D598" s="59" t="str">
        <f>VLOOKUP(Table2[[#This Row],[Course Title]],'TSD-Data'!$A$1:$E$83,2,FALSE)</f>
        <v>A-493-0072</v>
      </c>
      <c r="E598" s="59" t="str">
        <f>VLOOKUP(Table2[[#This Row],[Course Title]],'TSD-Data'!$A$1:$E$83,3,FALSE)</f>
        <v>713U</v>
      </c>
      <c r="F598" s="442" t="s">
        <v>112</v>
      </c>
      <c r="G598" s="127">
        <v>46265</v>
      </c>
      <c r="H598" s="127">
        <v>46269</v>
      </c>
      <c r="I598" s="61" t="s">
        <v>42</v>
      </c>
      <c r="J598" s="64">
        <v>0.33333333333333331</v>
      </c>
      <c r="K598" s="64"/>
      <c r="L598" s="61"/>
      <c r="M598" s="61"/>
      <c r="N598" s="61"/>
      <c r="O598" s="61"/>
      <c r="P598" s="61"/>
      <c r="Q598" s="73" t="s">
        <v>67</v>
      </c>
      <c r="R598" s="73"/>
      <c r="S598" s="73" t="s">
        <v>432</v>
      </c>
      <c r="T598" s="59">
        <f>VLOOKUP(Table2[[#This Row],[Course Title]],'TSD-Data'!$A$1:$E$83,4,FALSE)</f>
        <v>30</v>
      </c>
      <c r="U598" s="59">
        <f>VLOOKUP(Table2[[#This Row],[Course Title]],'TSD-Data'!$A$1:$F$83,6,FALSE)</f>
        <v>40</v>
      </c>
      <c r="V598" s="63">
        <f>VLOOKUP(Table2[[#This Row],[Course Title]],'TSD-Data'!$A$1:$F$83,5,FALSE)</f>
        <v>5</v>
      </c>
      <c r="W598" s="63">
        <v>67</v>
      </c>
      <c r="X598" s="59">
        <f>Table2[[#This Row],[Quotas]]-Table2[[#This Row],[Open Quotas]]</f>
        <v>14</v>
      </c>
      <c r="Y598" s="59">
        <v>0</v>
      </c>
      <c r="Z598" s="63"/>
      <c r="AA598" s="63"/>
      <c r="AB598" s="59"/>
      <c r="AC598" s="59"/>
      <c r="AD598" s="59"/>
      <c r="AE598" s="59"/>
      <c r="AF598" s="149">
        <f ca="1">Table2[[#This Row],[End Date]]+2-TODAY()</f>
        <v>27</v>
      </c>
      <c r="AG598" s="151">
        <f>IF(ISBLANK(Table2[[#This Row],[Roster Received by]]),1,0)</f>
        <v>1</v>
      </c>
      <c r="AH598" s="151">
        <f ca="1">IF(Table2[[#This Row],[Start Date]]&gt;TODAY(),1,)</f>
        <v>1</v>
      </c>
      <c r="AI598" s="151">
        <f>IF(ISBLANK(Table2[[#This Row],[Primary Instructor]]),0,1)</f>
        <v>1</v>
      </c>
      <c r="AJ598" s="151">
        <f>IF(ISBLANK(Table2[[#This Row],[Instructor 2]]),0,1)</f>
        <v>0</v>
      </c>
      <c r="AK598" s="496">
        <f>Table2[[#This Row],[Course Length (Hours)]]/(Table2[[#This Row],[1 Instructor]]+Table2[[#This Row],[2 Instructors]])</f>
        <v>40</v>
      </c>
      <c r="AL598" s="113">
        <v>16</v>
      </c>
      <c r="AM598" s="498">
        <v>4</v>
      </c>
      <c r="AN598" s="151" t="str">
        <f>VLOOKUP(Table2[[#This Row],[Course Title]],'TSD-Data'!$A$1:$G$83,7,FALSE)</f>
        <v>N3</v>
      </c>
      <c r="AO598" s="502">
        <f>Table2[[#This Row],[Quotas]]-Table2[[#This Row],[Graduates]]-Table2[[#This Row],[Fail]]</f>
        <v>30</v>
      </c>
    </row>
    <row r="599" spans="2:41" ht="15" customHeight="1" x14ac:dyDescent="0.25">
      <c r="B599" s="83"/>
      <c r="C599" s="574" t="s">
        <v>72</v>
      </c>
      <c r="D599" s="59" t="str">
        <f>VLOOKUP(Table2[[#This Row],[Course Title]],'TSD-Data'!$A$1:$E$83,2,FALSE)</f>
        <v>A-493-0092</v>
      </c>
      <c r="E599" s="59">
        <f>VLOOKUP(Table2[[#This Row],[Course Title]],'TSD-Data'!$A$1:$E$83,3,FALSE)</f>
        <v>5891</v>
      </c>
      <c r="F599" s="442" t="s">
        <v>130</v>
      </c>
      <c r="G599" s="61">
        <v>46266</v>
      </c>
      <c r="H599" s="61">
        <v>46268</v>
      </c>
      <c r="I599" s="61" t="s">
        <v>42</v>
      </c>
      <c r="J599" s="64">
        <v>0.33333333333333331</v>
      </c>
      <c r="K599" s="64"/>
      <c r="L599" s="61"/>
      <c r="M599" s="61"/>
      <c r="N599" s="61"/>
      <c r="O599" s="61"/>
      <c r="P599" s="61"/>
      <c r="Q599" s="73" t="s">
        <v>295</v>
      </c>
      <c r="R599" s="73" t="s">
        <v>111</v>
      </c>
      <c r="S599" s="73"/>
      <c r="T599" s="59">
        <f>VLOOKUP(Table2[[#This Row],[Course Title]],'TSD-Data'!$A$1:$E$83,4,FALSE)</f>
        <v>25</v>
      </c>
      <c r="U599" s="59">
        <f>VLOOKUP(Table2[[#This Row],[Course Title]],'TSD-Data'!$A$1:$F$83,6,FALSE)</f>
        <v>24</v>
      </c>
      <c r="V599" s="63">
        <f>VLOOKUP(Table2[[#This Row],[Course Title]],'TSD-Data'!$A$1:$F$83,5,FALSE)</f>
        <v>3</v>
      </c>
      <c r="W599" s="63">
        <v>138</v>
      </c>
      <c r="X599" s="59">
        <f>Table2[[#This Row],[Quotas]]-Table2[[#This Row],[Open Quotas]]</f>
        <v>14</v>
      </c>
      <c r="Y599" s="59">
        <v>0</v>
      </c>
      <c r="Z599" s="63"/>
      <c r="AA599" s="63"/>
      <c r="AB599" s="59"/>
      <c r="AC599" s="59"/>
      <c r="AD599" s="59"/>
      <c r="AE599" s="59"/>
      <c r="AF599" s="149">
        <f ca="1">Table2[[#This Row],[End Date]]+2-TODAY()</f>
        <v>26</v>
      </c>
      <c r="AG599" s="151">
        <f>IF(ISBLANK(Table2[[#This Row],[Roster Received by]]),1,0)</f>
        <v>1</v>
      </c>
      <c r="AH599" s="151">
        <f ca="1">IF(Table2[[#This Row],[Start Date]]&gt;TODAY(),1,)</f>
        <v>1</v>
      </c>
      <c r="AI599" s="151">
        <f>IF(ISBLANK(Table2[[#This Row],[Primary Instructor]]),0,1)</f>
        <v>1</v>
      </c>
      <c r="AJ599" s="151">
        <f>IF(ISBLANK(Table2[[#This Row],[Instructor 2]]),0,1)</f>
        <v>1</v>
      </c>
      <c r="AK599" s="496">
        <f>Table2[[#This Row],[Course Length (Hours)]]/(Table2[[#This Row],[1 Instructor]]+Table2[[#This Row],[2 Instructors]])</f>
        <v>12</v>
      </c>
      <c r="AL599" s="113">
        <v>11</v>
      </c>
      <c r="AM599" s="498">
        <v>4</v>
      </c>
      <c r="AN599" s="151" t="str">
        <f>VLOOKUP(Table2[[#This Row],[Course Title]],'TSD-Data'!$A$1:$G$83,7,FALSE)</f>
        <v>N3</v>
      </c>
      <c r="AO599" s="502">
        <f>Table2[[#This Row],[Quotas]]-Table2[[#This Row],[Graduates]]-Table2[[#This Row],[Fail]]</f>
        <v>25</v>
      </c>
    </row>
    <row r="600" spans="2:41" ht="15" customHeight="1" x14ac:dyDescent="0.25">
      <c r="B600" s="83"/>
      <c r="C600" s="573" t="s">
        <v>249</v>
      </c>
      <c r="D600" s="59" t="str">
        <f>VLOOKUP(Table2[[#This Row],[Course Title]],'TSD-Data'!$A$1:$E$83,2,FALSE)</f>
        <v>A-493-0331</v>
      </c>
      <c r="E600" s="59" t="str">
        <f>VLOOKUP(Table2[[#This Row],[Course Title]],'TSD-Data'!$A$1:$E$83,3,FALSE)</f>
        <v>10UG</v>
      </c>
      <c r="F600" s="442" t="s">
        <v>54</v>
      </c>
      <c r="G600" s="61">
        <v>46266</v>
      </c>
      <c r="H600" s="61">
        <v>46268</v>
      </c>
      <c r="I600" s="61" t="s">
        <v>42</v>
      </c>
      <c r="J600" s="64"/>
      <c r="K600" s="64">
        <v>0.79166666666666663</v>
      </c>
      <c r="L600" s="570">
        <v>0.66666666666666663</v>
      </c>
      <c r="M600" s="570">
        <v>8.3333333333333329E-2</v>
      </c>
      <c r="N600" s="570">
        <v>0</v>
      </c>
      <c r="O600" s="570">
        <v>0.54166666666666663</v>
      </c>
      <c r="P600" s="570">
        <v>0.33333333333333331</v>
      </c>
      <c r="Q600" s="73" t="s">
        <v>437</v>
      </c>
      <c r="R600" s="73"/>
      <c r="S600" s="73"/>
      <c r="T600" s="59">
        <f>VLOOKUP(Table2[[#This Row],[Course Title]],'TSD-Data'!$A$1:$E$83,4,FALSE)</f>
        <v>45</v>
      </c>
      <c r="U600" s="59">
        <f>VLOOKUP(Table2[[#This Row],[Course Title]],'TSD-Data'!$A$1:$F$83,6,FALSE)</f>
        <v>24</v>
      </c>
      <c r="V600" s="63">
        <f>VLOOKUP(Table2[[#This Row],[Course Title]],'TSD-Data'!$A$1:$F$83,5,FALSE)</f>
        <v>3</v>
      </c>
      <c r="W600" s="63">
        <v>183</v>
      </c>
      <c r="X600" s="59">
        <f>Table2[[#This Row],[Quotas]]-Table2[[#This Row],[Open Quotas]]</f>
        <v>33</v>
      </c>
      <c r="Y600" s="59">
        <v>0</v>
      </c>
      <c r="Z600" s="63"/>
      <c r="AA600" s="63"/>
      <c r="AB600" s="59"/>
      <c r="AC600" s="59"/>
      <c r="AD600" s="59"/>
      <c r="AE600" s="59"/>
      <c r="AF600" s="149">
        <f ca="1">Table2[[#This Row],[End Date]]+2-TODAY()</f>
        <v>26</v>
      </c>
      <c r="AG600" s="151">
        <f>IF(ISBLANK(Table2[[#This Row],[Roster Received by]]),1,0)</f>
        <v>1</v>
      </c>
      <c r="AH600" s="151">
        <f ca="1">IF(Table2[[#This Row],[Start Date]]&gt;TODAY(),1,)</f>
        <v>1</v>
      </c>
      <c r="AI600" s="151">
        <f>IF(ISBLANK(Table2[[#This Row],[Primary Instructor]]),0,1)</f>
        <v>1</v>
      </c>
      <c r="AJ600" s="151">
        <f>IF(ISBLANK(Table2[[#This Row],[Instructor 2]]),0,1)</f>
        <v>0</v>
      </c>
      <c r="AK600" s="496">
        <f>Table2[[#This Row],[Course Length (Hours)]]/(Table2[[#This Row],[1 Instructor]]+Table2[[#This Row],[2 Instructors]])</f>
        <v>24</v>
      </c>
      <c r="AL600" s="113">
        <v>12</v>
      </c>
      <c r="AM600" s="498">
        <v>4</v>
      </c>
      <c r="AN600" s="151" t="str">
        <f>VLOOKUP(Table2[[#This Row],[Course Title]],'TSD-Data'!$A$1:$G$83,7,FALSE)</f>
        <v>N3</v>
      </c>
      <c r="AO600" s="502">
        <f>Table2[[#This Row],[Quotas]]-Table2[[#This Row],[Graduates]]-Table2[[#This Row],[Fail]]</f>
        <v>45</v>
      </c>
    </row>
    <row r="601" spans="2:41" ht="15" customHeight="1" x14ac:dyDescent="0.25">
      <c r="B601" s="83"/>
      <c r="C601" s="83" t="s">
        <v>488</v>
      </c>
      <c r="D601" s="59" t="str">
        <f>VLOOKUP(Table2[[#This Row],[Course Title]],'TSD-Data'!$A$1:$E$83,2,FALSE)</f>
        <v xml:space="preserve">A-493-3019 </v>
      </c>
      <c r="E601" s="59" t="str">
        <f>VLOOKUP(Table2[[#This Row],[Course Title]],'TSD-Data'!$A$1:$E$83,3,FALSE)</f>
        <v>33D9</v>
      </c>
      <c r="F601" s="442" t="s">
        <v>54</v>
      </c>
      <c r="G601" s="61">
        <v>46266</v>
      </c>
      <c r="H601" s="61">
        <v>46266</v>
      </c>
      <c r="I601" s="61" t="s">
        <v>42</v>
      </c>
      <c r="J601" s="64"/>
      <c r="K601" s="64">
        <v>0.91666666666666663</v>
      </c>
      <c r="L601" s="64">
        <v>0.79166666666666663</v>
      </c>
      <c r="M601" s="64">
        <v>0.20833333333333334</v>
      </c>
      <c r="N601" s="64">
        <v>0.16666666666666666</v>
      </c>
      <c r="O601" s="64">
        <v>0.70833333333333337</v>
      </c>
      <c r="P601" s="64">
        <v>0.45833333333333331</v>
      </c>
      <c r="Q601" s="73" t="s">
        <v>445</v>
      </c>
      <c r="R601" s="73" t="s">
        <v>483</v>
      </c>
      <c r="S601" s="73"/>
      <c r="T601" s="59">
        <f>VLOOKUP(Table2[[#This Row],[Course Title]],'TSD-Data'!$A$1:$E$83,4,FALSE)</f>
        <v>1000</v>
      </c>
      <c r="U601" s="59">
        <f>VLOOKUP(Table2[[#This Row],[Course Title]],'TSD-Data'!$A$1:$F$83,6,FALSE)</f>
        <v>2</v>
      </c>
      <c r="V601" s="63">
        <f>VLOOKUP(Table2[[#This Row],[Course Title]],'TSD-Data'!$A$1:$F$83,5,FALSE)</f>
        <v>0.25</v>
      </c>
      <c r="W601" s="63"/>
      <c r="X601" s="59">
        <f>Table2[[#This Row],[Quotas]]-Table2[[#This Row],[Open Quotas]]</f>
        <v>12</v>
      </c>
      <c r="Y601" s="59"/>
      <c r="Z601" s="63"/>
      <c r="AA601" s="63"/>
      <c r="AB601" s="59"/>
      <c r="AC601" s="59"/>
      <c r="AD601" s="59"/>
      <c r="AE601" s="59"/>
      <c r="AF601" s="63">
        <f ca="1">Table2[[#This Row],[End Date]]+2-TODAY()</f>
        <v>24</v>
      </c>
      <c r="AG601" s="59">
        <f>IF(ISBLANK(Table2[[#This Row],[Roster Received by]]),1,0)</f>
        <v>1</v>
      </c>
      <c r="AH601" s="59">
        <f ca="1">IF(Table2[[#This Row],[Start Date]]&gt;TODAY(),1,)</f>
        <v>1</v>
      </c>
      <c r="AI601" s="59">
        <f>IF(ISBLANK(Table2[[#This Row],[Primary Instructor]]),0,1)</f>
        <v>1</v>
      </c>
      <c r="AJ601" s="59">
        <f>IF(ISBLANK(Table2[[#This Row],[Instructor 2]]),0,1)</f>
        <v>1</v>
      </c>
      <c r="AK601" s="59">
        <f>AJ872</f>
        <v>0</v>
      </c>
      <c r="AL601" s="113">
        <v>988</v>
      </c>
      <c r="AM601" s="59"/>
      <c r="AN601" s="59" t="str">
        <f>VLOOKUP(Table2[[#This Row],[Course Title]],'TSD-Data'!$A$1:$G$83,7,FALSE)</f>
        <v>N8-RMI</v>
      </c>
      <c r="AO601" s="508">
        <f>Table2[[#This Row],[Quotas]]-Table2[[#This Row],[Graduates]]-Table2[[#This Row],[Fail]]</f>
        <v>1000</v>
      </c>
    </row>
    <row r="602" spans="2:41" ht="15" customHeight="1" x14ac:dyDescent="0.25">
      <c r="B602" s="83"/>
      <c r="C602" s="83" t="s">
        <v>413</v>
      </c>
      <c r="D602" s="59" t="str">
        <f>VLOOKUP(Table2[[#This Row],[Course Title]],'TSD-Data'!$A$1:$E$83,2,FALSE)</f>
        <v>A-493-3007</v>
      </c>
      <c r="E602" s="59" t="str">
        <f>VLOOKUP(Table2[[#This Row],[Course Title]],'TSD-Data'!$A$1:$E$83,3,FALSE)</f>
        <v>31V9</v>
      </c>
      <c r="F602" s="442" t="s">
        <v>54</v>
      </c>
      <c r="G602" s="61">
        <v>46266</v>
      </c>
      <c r="H602" s="61">
        <v>46266</v>
      </c>
      <c r="I602" s="61" t="s">
        <v>42</v>
      </c>
      <c r="J602" s="64"/>
      <c r="K602" s="64">
        <v>0.79166666666666663</v>
      </c>
      <c r="L602" s="64">
        <v>0.66666666666666663</v>
      </c>
      <c r="M602" s="64">
        <v>8.3333333333333329E-2</v>
      </c>
      <c r="N602" s="64">
        <v>4.1666666666666664E-2</v>
      </c>
      <c r="O602" s="64">
        <v>0.58333333333333337</v>
      </c>
      <c r="P602" s="64">
        <v>0.33333333333333331</v>
      </c>
      <c r="Q602" s="73" t="s">
        <v>445</v>
      </c>
      <c r="R602" s="73" t="s">
        <v>483</v>
      </c>
      <c r="S602" s="73"/>
      <c r="T602" s="59">
        <f>VLOOKUP(Table2[[#This Row],[Course Title]],'TSD-Data'!$A$1:$E$83,4,FALSE)</f>
        <v>1000</v>
      </c>
      <c r="U602" s="59">
        <f>VLOOKUP(Table2[[#This Row],[Course Title]],'TSD-Data'!$A$1:$F$83,6,FALSE)</f>
        <v>2.5</v>
      </c>
      <c r="V602" s="63">
        <f>VLOOKUP(Table2[[#This Row],[Course Title]],'TSD-Data'!$A$1:$F$83,5,FALSE)</f>
        <v>0.3</v>
      </c>
      <c r="W602" s="63"/>
      <c r="X602" s="59">
        <f>Table2[[#This Row],[Quotas]]-Table2[[#This Row],[Open Quotas]]</f>
        <v>12</v>
      </c>
      <c r="Y602" s="59"/>
      <c r="Z602" s="63"/>
      <c r="AA602" s="63"/>
      <c r="AB602" s="59"/>
      <c r="AC602" s="59"/>
      <c r="AD602" s="59"/>
      <c r="AE602" s="59"/>
      <c r="AF602" s="63">
        <f ca="1">Table2[[#This Row],[End Date]]+2-TODAY()</f>
        <v>24</v>
      </c>
      <c r="AG602" s="59">
        <f>IF(ISBLANK(Table2[[#This Row],[Roster Received by]]),1,0)</f>
        <v>1</v>
      </c>
      <c r="AH602" s="59">
        <f ca="1">IF(Table2[[#This Row],[Start Date]]&gt;TODAY(),1,)</f>
        <v>1</v>
      </c>
      <c r="AI602" s="59">
        <f>IF(ISBLANK(Table2[[#This Row],[Primary Instructor]]),0,1)</f>
        <v>1</v>
      </c>
      <c r="AJ602" s="59">
        <f>IF(ISBLANK(Table2[[#This Row],[Instructor 2]]),0,1)</f>
        <v>1</v>
      </c>
      <c r="AK602" s="59">
        <f>AJ899</f>
        <v>0</v>
      </c>
      <c r="AL602" s="113">
        <v>988</v>
      </c>
      <c r="AM602" s="59"/>
      <c r="AN602" s="59" t="str">
        <f>VLOOKUP(Table2[[#This Row],[Course Title]],'TSD-Data'!$A$1:$G$83,7,FALSE)</f>
        <v>N8-RMI</v>
      </c>
      <c r="AO602" s="508">
        <f>Table2[[#This Row],[Quotas]]-Table2[[#This Row],[Graduates]]-Table2[[#This Row],[Fail]]</f>
        <v>1000</v>
      </c>
    </row>
    <row r="603" spans="2:41" ht="15" customHeight="1" x14ac:dyDescent="0.25">
      <c r="B603" s="83"/>
      <c r="C603" s="83" t="s">
        <v>275</v>
      </c>
      <c r="D603" s="59" t="str">
        <f>VLOOKUP(Table2[[#This Row],[Course Title]],'TSD-Data'!$A$1:$E$83,2,FALSE)</f>
        <v>A-493-0099</v>
      </c>
      <c r="E603" s="59" t="str">
        <f>VLOOKUP(Table2[[#This Row],[Course Title]],'TSD-Data'!$A$1:$E$83,3,FALSE)</f>
        <v>12JW</v>
      </c>
      <c r="F603" s="442" t="s">
        <v>54</v>
      </c>
      <c r="G603" s="61">
        <v>46267</v>
      </c>
      <c r="H603" s="61">
        <v>46269</v>
      </c>
      <c r="I603" s="61" t="s">
        <v>42</v>
      </c>
      <c r="J603" s="64"/>
      <c r="K603" s="64">
        <v>0.79166666666666663</v>
      </c>
      <c r="L603" s="570">
        <v>0.66666666666666663</v>
      </c>
      <c r="M603" s="570">
        <v>8.3333333333333329E-2</v>
      </c>
      <c r="N603" s="570">
        <v>0</v>
      </c>
      <c r="O603" s="570">
        <v>0.54166666666666663</v>
      </c>
      <c r="P603" s="570">
        <v>0.33333333333333331</v>
      </c>
      <c r="Q603" s="73" t="s">
        <v>274</v>
      </c>
      <c r="R603" s="73"/>
      <c r="S603" s="73"/>
      <c r="T603" s="59">
        <f>VLOOKUP(Table2[[#This Row],[Course Title]],'TSD-Data'!$A$1:$E$83,4,FALSE)</f>
        <v>45</v>
      </c>
      <c r="U603" s="59">
        <f>VLOOKUP(Table2[[#This Row],[Course Title]],'TSD-Data'!$A$1:$F$83,6,FALSE)</f>
        <v>24</v>
      </c>
      <c r="V603" s="63">
        <f>VLOOKUP(Table2[[#This Row],[Course Title]],'TSD-Data'!$A$1:$F$83,5,FALSE)</f>
        <v>3</v>
      </c>
      <c r="W603" s="63">
        <v>224</v>
      </c>
      <c r="X603" s="59">
        <f>Table2[[#This Row],[Quotas]]-Table2[[#This Row],[Open Quotas]]</f>
        <v>7</v>
      </c>
      <c r="Y603" s="59">
        <v>0</v>
      </c>
      <c r="Z603" s="63"/>
      <c r="AA603" s="63"/>
      <c r="AB603" s="59"/>
      <c r="AC603" s="59"/>
      <c r="AD603" s="59"/>
      <c r="AE603" s="59"/>
      <c r="AF603" s="149">
        <f ca="1">Table2[[#This Row],[End Date]]+2-TODAY()</f>
        <v>27</v>
      </c>
      <c r="AG603" s="151">
        <f>IF(ISBLANK(Table2[[#This Row],[Roster Received by]]),1,0)</f>
        <v>1</v>
      </c>
      <c r="AH603" s="151">
        <f ca="1">IF(Table2[[#This Row],[Start Date]]&gt;TODAY(),1,)</f>
        <v>1</v>
      </c>
      <c r="AI603" s="151">
        <f>IF(ISBLANK(Table2[[#This Row],[Primary Instructor]]),0,1)</f>
        <v>1</v>
      </c>
      <c r="AJ603" s="151">
        <f>IF(ISBLANK(Table2[[#This Row],[Instructor 2]]),0,1)</f>
        <v>0</v>
      </c>
      <c r="AK603" s="496">
        <f>Table2[[#This Row],[Course Length (Hours)]]/(Table2[[#This Row],[1 Instructor]]+Table2[[#This Row],[2 Instructors]])</f>
        <v>24</v>
      </c>
      <c r="AL603" s="113">
        <v>38</v>
      </c>
      <c r="AM603" s="498">
        <v>4</v>
      </c>
      <c r="AN603" s="151" t="str">
        <f>VLOOKUP(Table2[[#This Row],[Course Title]],'TSD-Data'!$A$1:$G$83,7,FALSE)</f>
        <v>N5</v>
      </c>
      <c r="AO603" s="502">
        <f>Table2[[#This Row],[Quotas]]-Table2[[#This Row],[Graduates]]-Table2[[#This Row],[Fail]]</f>
        <v>45</v>
      </c>
    </row>
    <row r="604" spans="2:41" ht="15" customHeight="1" x14ac:dyDescent="0.25">
      <c r="B604" s="83"/>
      <c r="C604" s="83" t="s">
        <v>401</v>
      </c>
      <c r="D604" s="59" t="str">
        <f>VLOOKUP(Table2[[#This Row],[Course Title]],'TSD-Data'!$A$1:$E$83,2,FALSE)</f>
        <v>A-493-3002</v>
      </c>
      <c r="E604" s="59" t="str">
        <f>VLOOKUP(Table2[[#This Row],[Course Title]],'TSD-Data'!$A$1:$E$83,3,FALSE)</f>
        <v>31V4</v>
      </c>
      <c r="F604" s="442" t="s">
        <v>54</v>
      </c>
      <c r="G604" s="61">
        <v>46267</v>
      </c>
      <c r="H604" s="61">
        <v>46267</v>
      </c>
      <c r="I604" s="61" t="s">
        <v>42</v>
      </c>
      <c r="J604" s="64"/>
      <c r="K604" s="64">
        <v>0.79166666666666663</v>
      </c>
      <c r="L604" s="64">
        <v>0.66666666666666663</v>
      </c>
      <c r="M604" s="64">
        <v>8.3333333333333329E-2</v>
      </c>
      <c r="N604" s="64">
        <v>4.1666666666666664E-2</v>
      </c>
      <c r="O604" s="64">
        <v>0.58333333333333337</v>
      </c>
      <c r="P604" s="64">
        <v>0.33333333333333331</v>
      </c>
      <c r="Q604" s="73" t="s">
        <v>445</v>
      </c>
      <c r="R604" s="73" t="s">
        <v>483</v>
      </c>
      <c r="S604" s="73"/>
      <c r="T604" s="59">
        <f>VLOOKUP(Table2[[#This Row],[Course Title]],'TSD-Data'!$A$1:$E$83,4,FALSE)</f>
        <v>1000</v>
      </c>
      <c r="U604" s="59">
        <f>VLOOKUP(Table2[[#This Row],[Course Title]],'TSD-Data'!$A$1:$F$83,6,FALSE)</f>
        <v>8</v>
      </c>
      <c r="V604" s="63">
        <f>VLOOKUP(Table2[[#This Row],[Course Title]],'TSD-Data'!$A$1:$F$83,5,FALSE)</f>
        <v>1</v>
      </c>
      <c r="W604" s="63"/>
      <c r="X604" s="59">
        <f>Table2[[#This Row],[Quotas]]-Table2[[#This Row],[Open Quotas]]</f>
        <v>12</v>
      </c>
      <c r="Y604" s="59"/>
      <c r="Z604" s="63"/>
      <c r="AA604" s="63"/>
      <c r="AB604" s="59"/>
      <c r="AC604" s="59"/>
      <c r="AD604" s="59"/>
      <c r="AE604" s="59"/>
      <c r="AF604" s="63">
        <f ca="1">Table2[[#This Row],[End Date]]+2-TODAY()</f>
        <v>25</v>
      </c>
      <c r="AG604" s="59">
        <f>IF(ISBLANK(Table2[[#This Row],[Roster Received by]]),1,0)</f>
        <v>1</v>
      </c>
      <c r="AH604" s="59">
        <f ca="1">IF(Table2[[#This Row],[Start Date]]&gt;TODAY(),1,)</f>
        <v>1</v>
      </c>
      <c r="AI604" s="59">
        <f>IF(ISBLANK(Table2[[#This Row],[Primary Instructor]]),0,1)</f>
        <v>1</v>
      </c>
      <c r="AJ604" s="59">
        <f>IF(ISBLANK(Table2[[#This Row],[Instructor 2]]),0,1)</f>
        <v>1</v>
      </c>
      <c r="AK604" s="59">
        <f>AJ875</f>
        <v>0</v>
      </c>
      <c r="AL604" s="113">
        <v>988</v>
      </c>
      <c r="AM604" s="59"/>
      <c r="AN604" s="59" t="str">
        <f>VLOOKUP(Table2[[#This Row],[Course Title]],'TSD-Data'!$A$1:$G$83,7,FALSE)</f>
        <v>N8-RMI</v>
      </c>
      <c r="AO604" s="508">
        <f>Table2[[#This Row],[Quotas]]-Table2[[#This Row],[Graduates]]-Table2[[#This Row],[Fail]]</f>
        <v>1000</v>
      </c>
    </row>
    <row r="605" spans="2:41" ht="15" customHeight="1" x14ac:dyDescent="0.25">
      <c r="B605" s="83"/>
      <c r="C605" s="83" t="s">
        <v>489</v>
      </c>
      <c r="D605" s="59" t="str">
        <f>VLOOKUP(Table2[[#This Row],[Course Title]],'TSD-Data'!$A$1:$E$83,2,FALSE)</f>
        <v xml:space="preserve">A-493-3020 </v>
      </c>
      <c r="E605" s="59" t="str">
        <f>VLOOKUP(Table2[[#This Row],[Course Title]],'TSD-Data'!$A$1:$E$83,3,FALSE)</f>
        <v>33DA</v>
      </c>
      <c r="F605" s="442" t="s">
        <v>54</v>
      </c>
      <c r="G605" s="61">
        <v>46267</v>
      </c>
      <c r="H605" s="61">
        <v>46267</v>
      </c>
      <c r="I605" s="61" t="s">
        <v>42</v>
      </c>
      <c r="J605" s="64"/>
      <c r="K605" s="64">
        <v>2.0833333333333332E-2</v>
      </c>
      <c r="L605" s="64">
        <v>0.89583333333333337</v>
      </c>
      <c r="M605" s="64">
        <v>0.3125</v>
      </c>
      <c r="N605" s="64">
        <v>0.27083333333333331</v>
      </c>
      <c r="O605" s="64">
        <v>0.8125</v>
      </c>
      <c r="P605" s="64">
        <v>0.5625</v>
      </c>
      <c r="Q605" s="73" t="s">
        <v>445</v>
      </c>
      <c r="R605" s="73" t="s">
        <v>483</v>
      </c>
      <c r="S605" s="73"/>
      <c r="T605" s="59">
        <f>VLOOKUP(Table2[[#This Row],[Course Title]],'TSD-Data'!$A$1:$E$83,4,FALSE)</f>
        <v>1000</v>
      </c>
      <c r="U605" s="59">
        <f>VLOOKUP(Table2[[#This Row],[Course Title]],'TSD-Data'!$A$1:$F$83,6,FALSE)</f>
        <v>2</v>
      </c>
      <c r="V605" s="63">
        <f>VLOOKUP(Table2[[#This Row],[Course Title]],'TSD-Data'!$A$1:$F$83,5,FALSE)</f>
        <v>0.25</v>
      </c>
      <c r="W605" s="63"/>
      <c r="X605" s="59">
        <f>Table2[[#This Row],[Quotas]]-Table2[[#This Row],[Open Quotas]]</f>
        <v>12</v>
      </c>
      <c r="Y605" s="59"/>
      <c r="Z605" s="63"/>
      <c r="AA605" s="63"/>
      <c r="AB605" s="59"/>
      <c r="AC605" s="59"/>
      <c r="AD605" s="59"/>
      <c r="AE605" s="59"/>
      <c r="AF605" s="63">
        <f ca="1">Table2[[#This Row],[End Date]]+2-TODAY()</f>
        <v>25</v>
      </c>
      <c r="AG605" s="59">
        <f>IF(ISBLANK(Table2[[#This Row],[Roster Received by]]),1,0)</f>
        <v>1</v>
      </c>
      <c r="AH605" s="59">
        <f ca="1">IF(Table2[[#This Row],[Start Date]]&gt;TODAY(),1,)</f>
        <v>1</v>
      </c>
      <c r="AI605" s="59">
        <f>IF(ISBLANK(Table2[[#This Row],[Primary Instructor]]),0,1)</f>
        <v>1</v>
      </c>
      <c r="AJ605" s="59">
        <f>IF(ISBLANK(Table2[[#This Row],[Instructor 2]]),0,1)</f>
        <v>1</v>
      </c>
      <c r="AK605" s="59">
        <f>AJ876</f>
        <v>0</v>
      </c>
      <c r="AL605" s="113">
        <v>988</v>
      </c>
      <c r="AM605" s="59"/>
      <c r="AN605" s="59" t="str">
        <f>VLOOKUP(Table2[[#This Row],[Course Title]],'TSD-Data'!$A$1:$G$83,7,FALSE)</f>
        <v>N8-RMI</v>
      </c>
      <c r="AO605" s="508">
        <f>Table2[[#This Row],[Quotas]]-Table2[[#This Row],[Graduates]]-Table2[[#This Row],[Fail]]</f>
        <v>1000</v>
      </c>
    </row>
    <row r="606" spans="2:41" ht="15" customHeight="1" x14ac:dyDescent="0.25">
      <c r="B606" s="83" t="s">
        <v>212</v>
      </c>
      <c r="C606" s="573" t="s">
        <v>205</v>
      </c>
      <c r="D606" s="59" t="str">
        <f>VLOOKUP(Table2[[#This Row],[Course Title]],'TSD-Data'!$A$1:$E$83,2,FALSE)</f>
        <v>Function</v>
      </c>
      <c r="E606" s="59" t="str">
        <f>VLOOKUP(Table2[[#This Row],[Course Title]],'TSD-Data'!$A$1:$E$83,3,FALSE)</f>
        <v>Function</v>
      </c>
      <c r="F606" s="442" t="s">
        <v>61</v>
      </c>
      <c r="G606" s="61">
        <v>46268</v>
      </c>
      <c r="H606" s="61">
        <v>46268</v>
      </c>
      <c r="I606" s="61" t="s">
        <v>434</v>
      </c>
      <c r="J606" s="64"/>
      <c r="K606" s="64"/>
      <c r="L606" s="64"/>
      <c r="M606" s="64"/>
      <c r="N606" s="64"/>
      <c r="O606" s="64"/>
      <c r="P606" s="64"/>
      <c r="Q606" s="73" t="s">
        <v>435</v>
      </c>
      <c r="R606" s="73"/>
      <c r="S606" s="542"/>
      <c r="T606" s="59">
        <f>VLOOKUP(Table2[[#This Row],[Course Title]],'TSD-Data'!$A$1:$E$83,4,FALSE)</f>
        <v>0</v>
      </c>
      <c r="U606" s="59">
        <f>VLOOKUP(Table2[[#This Row],[Course Title]],'TSD-Data'!$A$1:$F$83,6,FALSE)</f>
        <v>0</v>
      </c>
      <c r="V606" s="63">
        <f>VLOOKUP(Table2[[#This Row],[Course Title]],'TSD-Data'!$A$1:$F$83,5,FALSE)</f>
        <v>0</v>
      </c>
      <c r="W606" s="63">
        <v>0</v>
      </c>
      <c r="X606" s="59">
        <f>Table2[[#This Row],[Quotas]]-Table2[[#This Row],[Open Quotas]]</f>
        <v>0</v>
      </c>
      <c r="Y606" s="59">
        <v>0</v>
      </c>
      <c r="Z606" s="59">
        <v>0</v>
      </c>
      <c r="AA606" s="59">
        <v>0</v>
      </c>
      <c r="AB606" s="59">
        <v>0</v>
      </c>
      <c r="AC606" s="59">
        <v>0</v>
      </c>
      <c r="AD606" s="59">
        <v>0</v>
      </c>
      <c r="AE606" s="541" t="s">
        <v>436</v>
      </c>
      <c r="AF606" s="149">
        <f ca="1">Table2[[#This Row],[End Date]]+2-TODAY()</f>
        <v>26</v>
      </c>
      <c r="AG606" s="151">
        <f>IF(ISBLANK(Table2[[#This Row],[Roster Received by]]),1,0)</f>
        <v>0</v>
      </c>
      <c r="AH606" s="151">
        <f ca="1">IF(Table2[[#This Row],[Start Date]]&gt;TODAY(),1,)</f>
        <v>1</v>
      </c>
      <c r="AI606" s="151">
        <f>IF(ISBLANK(Table2[[#This Row],[Primary Instructor]]),0,1)</f>
        <v>1</v>
      </c>
      <c r="AJ606" s="151">
        <f>IF(ISBLANK(Table2[[#This Row],[Instructor 2]]),0,1)</f>
        <v>0</v>
      </c>
      <c r="AK606" s="496">
        <f>Table2[[#This Row],[Course Length (Hours)]]/(Table2[[#This Row],[1 Instructor]]+Table2[[#This Row],[2 Instructors]])</f>
        <v>0</v>
      </c>
      <c r="AL606" s="113"/>
      <c r="AM606" s="498">
        <v>4</v>
      </c>
      <c r="AN606" s="151" t="str">
        <f>VLOOKUP(Table2[[#This Row],[Course Title]],'TSD-Data'!$A$1:$G$83,7,FALSE)</f>
        <v>TSD</v>
      </c>
      <c r="AO606" s="502">
        <f>Table2[[#This Row],[Quotas]]-Table2[[#This Row],[Graduates]]-Table2[[#This Row],[Fail]]</f>
        <v>0</v>
      </c>
    </row>
    <row r="607" spans="2:41" ht="15" customHeight="1" x14ac:dyDescent="0.25">
      <c r="B607" s="83" t="s">
        <v>228</v>
      </c>
      <c r="C607" s="83" t="s">
        <v>218</v>
      </c>
      <c r="D607" s="59" t="str">
        <f>VLOOKUP(Table2[[#This Row],[Course Title]],'TSD-Data'!$A$1:$E$83,2,FALSE)</f>
        <v>Holiday</v>
      </c>
      <c r="E607" s="59" t="str">
        <f>VLOOKUP(Table2[[#This Row],[Course Title]],'TSD-Data'!$A$1:$E$83,3,FALSE)</f>
        <v>Holiday</v>
      </c>
      <c r="F607" s="442" t="s">
        <v>218</v>
      </c>
      <c r="G607" s="61">
        <v>46272</v>
      </c>
      <c r="H607" s="61">
        <v>46272</v>
      </c>
      <c r="I607" s="61" t="s">
        <v>434</v>
      </c>
      <c r="J607" s="64"/>
      <c r="K607" s="64"/>
      <c r="L607" s="61"/>
      <c r="M607" s="61"/>
      <c r="N607" s="61"/>
      <c r="O607" s="61"/>
      <c r="P607" s="61"/>
      <c r="Q607" s="73" t="s">
        <v>435</v>
      </c>
      <c r="R607" s="73"/>
      <c r="S607" s="542"/>
      <c r="T607" s="59">
        <f>VLOOKUP(Table2[[#This Row],[Course Title]],'TSD-Data'!$A$1:$E$83,4,FALSE)</f>
        <v>0</v>
      </c>
      <c r="U607" s="59">
        <f>VLOOKUP(Table2[[#This Row],[Course Title]],'TSD-Data'!$A$1:$F$83,6,FALSE)</f>
        <v>0</v>
      </c>
      <c r="V607" s="63">
        <f>VLOOKUP(Table2[[#This Row],[Course Title]],'TSD-Data'!$A$1:$F$83,5,FALSE)</f>
        <v>0</v>
      </c>
      <c r="W607" s="63">
        <v>0</v>
      </c>
      <c r="X607" s="59">
        <f>Table2[[#This Row],[Quotas]]-Table2[[#This Row],[Open Quotas]]</f>
        <v>0</v>
      </c>
      <c r="Y607" s="59">
        <v>0</v>
      </c>
      <c r="Z607" s="59">
        <v>0</v>
      </c>
      <c r="AA607" s="59">
        <v>0</v>
      </c>
      <c r="AB607" s="59">
        <v>0</v>
      </c>
      <c r="AC607" s="59">
        <v>0</v>
      </c>
      <c r="AD607" s="59">
        <v>0</v>
      </c>
      <c r="AE607" s="541" t="s">
        <v>436</v>
      </c>
      <c r="AF607" s="149">
        <f ca="1">Table2[[#This Row],[End Date]]+2-TODAY()</f>
        <v>30</v>
      </c>
      <c r="AG607" s="151">
        <f>IF(ISBLANK(Table2[[#This Row],[Roster Received by]]),1,0)</f>
        <v>0</v>
      </c>
      <c r="AH607" s="151">
        <f ca="1">IF(Table2[[#This Row],[Start Date]]&gt;TODAY(),1,)</f>
        <v>1</v>
      </c>
      <c r="AI607" s="151">
        <f>IF(ISBLANK(Table2[[#This Row],[Primary Instructor]]),0,1)</f>
        <v>1</v>
      </c>
      <c r="AJ607" s="151">
        <f>IF(ISBLANK(Table2[[#This Row],[Instructor 2]]),0,1)</f>
        <v>0</v>
      </c>
      <c r="AK607" s="496">
        <f>Table2[[#This Row],[Course Length (Hours)]]/(Table2[[#This Row],[1 Instructor]]+Table2[[#This Row],[2 Instructors]])</f>
        <v>0</v>
      </c>
      <c r="AL607" s="113"/>
      <c r="AM607" s="498">
        <v>4</v>
      </c>
      <c r="AN607" s="151" t="str">
        <f>VLOOKUP(Table2[[#This Row],[Course Title]],'TSD-Data'!$A$1:$G$83,7,FALSE)</f>
        <v>TSD</v>
      </c>
      <c r="AO607" s="502">
        <f>Table2[[#This Row],[Quotas]]-Table2[[#This Row],[Graduates]]-Table2[[#This Row],[Fail]]</f>
        <v>0</v>
      </c>
    </row>
    <row r="608" spans="2:41" ht="15" customHeight="1" x14ac:dyDescent="0.25">
      <c r="B608" s="83"/>
      <c r="C608" s="83" t="s">
        <v>213</v>
      </c>
      <c r="D608" s="59" t="str">
        <f>VLOOKUP(Table2[[#This Row],[Course Title]],'TSD-Data'!$A$1:$E$83,2,FALSE)</f>
        <v>A-322-2604</v>
      </c>
      <c r="E608" s="59" t="str">
        <f>VLOOKUP(Table2[[#This Row],[Course Title]],'TSD-Data'!$A$1:$E$83,3,FALSE)</f>
        <v>10ZZ</v>
      </c>
      <c r="F608" s="442" t="s">
        <v>54</v>
      </c>
      <c r="G608" s="61">
        <v>46273</v>
      </c>
      <c r="H608" s="61">
        <v>46275</v>
      </c>
      <c r="I608" s="61" t="s">
        <v>42</v>
      </c>
      <c r="J608" s="64"/>
      <c r="K608" s="64">
        <v>0.5</v>
      </c>
      <c r="L608" s="570">
        <v>0.375</v>
      </c>
      <c r="M608" s="570">
        <v>0.79166666666666663</v>
      </c>
      <c r="N608" s="570">
        <v>0.75</v>
      </c>
      <c r="O608" s="570">
        <v>0.25</v>
      </c>
      <c r="P608" s="570">
        <v>4.1666666666666664E-2</v>
      </c>
      <c r="Q608" s="73" t="s">
        <v>432</v>
      </c>
      <c r="R608" s="73"/>
      <c r="S608" s="73"/>
      <c r="T608" s="59">
        <f>VLOOKUP(Table2[[#This Row],[Course Title]],'TSD-Data'!$A$1:$E$83,4,FALSE)</f>
        <v>45</v>
      </c>
      <c r="U608" s="59">
        <f>VLOOKUP(Table2[[#This Row],[Course Title]],'TSD-Data'!$A$1:$F$83,6,FALSE)</f>
        <v>24</v>
      </c>
      <c r="V608" s="63">
        <f>VLOOKUP(Table2[[#This Row],[Course Title]],'TSD-Data'!$A$1:$F$83,5,FALSE)</f>
        <v>3</v>
      </c>
      <c r="W608" s="63">
        <v>621</v>
      </c>
      <c r="X608" s="59">
        <f>Table2[[#This Row],[Quotas]]-Table2[[#This Row],[Open Quotas]]</f>
        <v>45</v>
      </c>
      <c r="Y608" s="59">
        <v>0</v>
      </c>
      <c r="Z608" s="63"/>
      <c r="AA608" s="63"/>
      <c r="AB608" s="59"/>
      <c r="AC608" s="59"/>
      <c r="AD608" s="59"/>
      <c r="AE608" s="59"/>
      <c r="AF608" s="149">
        <f ca="1">Table2[[#This Row],[End Date]]+2-TODAY()</f>
        <v>33</v>
      </c>
      <c r="AG608" s="151">
        <f>IF(ISBLANK(Table2[[#This Row],[Roster Received by]]),1,0)</f>
        <v>1</v>
      </c>
      <c r="AH608" s="151">
        <f ca="1">IF(Table2[[#This Row],[Start Date]]&gt;TODAY(),1,)</f>
        <v>1</v>
      </c>
      <c r="AI608" s="151">
        <f>IF(ISBLANK(Table2[[#This Row],[Primary Instructor]]),0,1)</f>
        <v>1</v>
      </c>
      <c r="AJ608" s="151">
        <f>IF(ISBLANK(Table2[[#This Row],[Instructor 2]]),0,1)</f>
        <v>0</v>
      </c>
      <c r="AK608" s="496">
        <f>Table2[[#This Row],[Course Length (Hours)]]/(Table2[[#This Row],[1 Instructor]]+Table2[[#This Row],[2 Instructors]])</f>
        <v>24</v>
      </c>
      <c r="AL608" s="113">
        <v>0</v>
      </c>
      <c r="AM608" s="498">
        <v>4</v>
      </c>
      <c r="AN608" s="151" t="str">
        <f>VLOOKUP(Table2[[#This Row],[Course Title]],'TSD-Data'!$A$1:$G$83,7,FALSE)</f>
        <v>N8</v>
      </c>
      <c r="AO608" s="502">
        <f>Table2[[#This Row],[Quotas]]-Table2[[#This Row],[Graduates]]-Table2[[#This Row],[Fail]]</f>
        <v>45</v>
      </c>
    </row>
    <row r="609" spans="2:41" ht="15" customHeight="1" x14ac:dyDescent="0.25">
      <c r="B609" s="83"/>
      <c r="C609" s="83" t="s">
        <v>407</v>
      </c>
      <c r="D609" s="59" t="str">
        <f>VLOOKUP(Table2[[#This Row],[Course Title]],'TSD-Data'!$A$1:$E$83,2,FALSE)</f>
        <v>A-493-3003</v>
      </c>
      <c r="E609" s="59" t="str">
        <f>VLOOKUP(Table2[[#This Row],[Course Title]],'TSD-Data'!$A$1:$E$83,3,FALSE)</f>
        <v>31V5</v>
      </c>
      <c r="F609" s="442" t="s">
        <v>54</v>
      </c>
      <c r="G609" s="61">
        <v>46273</v>
      </c>
      <c r="H609" s="61">
        <v>46273</v>
      </c>
      <c r="I609" s="61" t="s">
        <v>42</v>
      </c>
      <c r="J609" s="64"/>
      <c r="K609" s="64">
        <v>0.89583333333333337</v>
      </c>
      <c r="L609" s="64">
        <v>0.77083333333333337</v>
      </c>
      <c r="M609" s="64">
        <v>0.1875</v>
      </c>
      <c r="N609" s="64">
        <v>0.14583333333333334</v>
      </c>
      <c r="O609" s="64">
        <v>0.6875</v>
      </c>
      <c r="P609" s="64">
        <v>0.4375</v>
      </c>
      <c r="Q609" s="73" t="s">
        <v>445</v>
      </c>
      <c r="R609" s="73" t="s">
        <v>483</v>
      </c>
      <c r="S609" s="73"/>
      <c r="T609" s="59">
        <f>VLOOKUP(Table2[[#This Row],[Course Title]],'TSD-Data'!$A$1:$E$83,4,FALSE)</f>
        <v>1000</v>
      </c>
      <c r="U609" s="59">
        <f>VLOOKUP(Table2[[#This Row],[Course Title]],'TSD-Data'!$A$1:$F$83,6,FALSE)</f>
        <v>2</v>
      </c>
      <c r="V609" s="63">
        <f>VLOOKUP(Table2[[#This Row],[Course Title]],'TSD-Data'!$A$1:$F$83,5,FALSE)</f>
        <v>0.25</v>
      </c>
      <c r="W609" s="63"/>
      <c r="X609" s="59">
        <f>Table2[[#This Row],[Quotas]]-Table2[[#This Row],[Open Quotas]]</f>
        <v>12</v>
      </c>
      <c r="Y609" s="59"/>
      <c r="Z609" s="63"/>
      <c r="AA609" s="63"/>
      <c r="AB609" s="59"/>
      <c r="AC609" s="59"/>
      <c r="AD609" s="59"/>
      <c r="AE609" s="59"/>
      <c r="AF609" s="63">
        <f ca="1">Table2[[#This Row],[End Date]]+2-TODAY()</f>
        <v>31</v>
      </c>
      <c r="AG609" s="59">
        <f>IF(ISBLANK(Table2[[#This Row],[Roster Received by]]),1,0)</f>
        <v>1</v>
      </c>
      <c r="AH609" s="59">
        <f ca="1">IF(Table2[[#This Row],[Start Date]]&gt;TODAY(),1,)</f>
        <v>1</v>
      </c>
      <c r="AI609" s="59">
        <f>IF(ISBLANK(Table2[[#This Row],[Primary Instructor]]),0,1)</f>
        <v>1</v>
      </c>
      <c r="AJ609" s="59">
        <f>IF(ISBLANK(Table2[[#This Row],[Instructor 2]]),0,1)</f>
        <v>1</v>
      </c>
      <c r="AK609" s="59">
        <f>AJ880</f>
        <v>0</v>
      </c>
      <c r="AL609" s="113">
        <v>988</v>
      </c>
      <c r="AM609" s="59"/>
      <c r="AN609" s="59" t="str">
        <f>VLOOKUP(Table2[[#This Row],[Course Title]],'TSD-Data'!$A$1:$G$83,7,FALSE)</f>
        <v>N8-RMI</v>
      </c>
      <c r="AO609" s="508">
        <f>Table2[[#This Row],[Quotas]]-Table2[[#This Row],[Graduates]]-Table2[[#This Row],[Fail]]</f>
        <v>1000</v>
      </c>
    </row>
    <row r="610" spans="2:41" ht="15" customHeight="1" x14ac:dyDescent="0.25">
      <c r="B610" s="83"/>
      <c r="C610" s="83" t="s">
        <v>409</v>
      </c>
      <c r="D610" s="59" t="str">
        <f>VLOOKUP(Table2[[#This Row],[Course Title]],'TSD-Data'!$A$1:$E$83,2,FALSE)</f>
        <v>A-493-3001</v>
      </c>
      <c r="E610" s="59" t="str">
        <f>VLOOKUP(Table2[[#This Row],[Course Title]],'TSD-Data'!$A$1:$E$83,3,FALSE)</f>
        <v>31V3</v>
      </c>
      <c r="F610" s="442" t="s">
        <v>54</v>
      </c>
      <c r="G610" s="61">
        <v>46273</v>
      </c>
      <c r="H610" s="61">
        <v>46273</v>
      </c>
      <c r="I610" s="61" t="s">
        <v>42</v>
      </c>
      <c r="J610" s="64"/>
      <c r="K610" s="64">
        <v>0.97916666666666663</v>
      </c>
      <c r="L610" s="64">
        <v>0.85416666666666663</v>
      </c>
      <c r="M610" s="64">
        <v>0.27083333333333331</v>
      </c>
      <c r="N610" s="64">
        <v>0.22916666666666666</v>
      </c>
      <c r="O610" s="64">
        <v>0.77083333333333337</v>
      </c>
      <c r="P610" s="64">
        <v>0.52083333333333337</v>
      </c>
      <c r="Q610" s="73" t="s">
        <v>445</v>
      </c>
      <c r="R610" s="73" t="s">
        <v>483</v>
      </c>
      <c r="S610" s="73"/>
      <c r="T610" s="59">
        <f>VLOOKUP(Table2[[#This Row],[Course Title]],'TSD-Data'!$A$1:$E$83,4,FALSE)</f>
        <v>1000</v>
      </c>
      <c r="U610" s="59">
        <f>VLOOKUP(Table2[[#This Row],[Course Title]],'TSD-Data'!$A$1:$F$83,6,FALSE)</f>
        <v>2</v>
      </c>
      <c r="V610" s="63">
        <f>VLOOKUP(Table2[[#This Row],[Course Title]],'TSD-Data'!$A$1:$F$83,5,FALSE)</f>
        <v>0.25</v>
      </c>
      <c r="W610" s="63"/>
      <c r="X610" s="59">
        <f>Table2[[#This Row],[Quotas]]-Table2[[#This Row],[Open Quotas]]</f>
        <v>12</v>
      </c>
      <c r="Y610" s="59"/>
      <c r="Z610" s="63"/>
      <c r="AA610" s="63"/>
      <c r="AB610" s="59"/>
      <c r="AC610" s="59"/>
      <c r="AD610" s="59"/>
      <c r="AE610" s="59"/>
      <c r="AF610" s="63">
        <f ca="1">Table2[[#This Row],[End Date]]+2-TODAY()</f>
        <v>31</v>
      </c>
      <c r="AG610" s="59">
        <f>IF(ISBLANK(Table2[[#This Row],[Roster Received by]]),1,0)</f>
        <v>1</v>
      </c>
      <c r="AH610" s="59">
        <f ca="1">IF(Table2[[#This Row],[Start Date]]&gt;TODAY(),1,)</f>
        <v>1</v>
      </c>
      <c r="AI610" s="59">
        <f>IF(ISBLANK(Table2[[#This Row],[Primary Instructor]]),0,1)</f>
        <v>1</v>
      </c>
      <c r="AJ610" s="59">
        <f>IF(ISBLANK(Table2[[#This Row],[Instructor 2]]),0,1)</f>
        <v>1</v>
      </c>
      <c r="AK610" s="59">
        <f>AJ881</f>
        <v>0</v>
      </c>
      <c r="AL610" s="113">
        <v>988</v>
      </c>
      <c r="AM610" s="59"/>
      <c r="AN610" s="59" t="str">
        <f>VLOOKUP(Table2[[#This Row],[Course Title]],'TSD-Data'!$A$1:$G$83,7,FALSE)</f>
        <v>N8-RMI</v>
      </c>
      <c r="AO610" s="508">
        <f>Table2[[#This Row],[Quotas]]-Table2[[#This Row],[Graduates]]-Table2[[#This Row],[Fail]]</f>
        <v>1000</v>
      </c>
    </row>
    <row r="611" spans="2:41" ht="15" customHeight="1" x14ac:dyDescent="0.25">
      <c r="B611" s="83"/>
      <c r="C611" s="83" t="s">
        <v>410</v>
      </c>
      <c r="D611" s="59" t="str">
        <f>VLOOKUP(Table2[[#This Row],[Course Title]],'TSD-Data'!$A$1:$E$83,2,FALSE)</f>
        <v>A-493-3006</v>
      </c>
      <c r="E611" s="59" t="str">
        <f>VLOOKUP(Table2[[#This Row],[Course Title]],'TSD-Data'!$A$1:$E$83,3,FALSE)</f>
        <v>31V8</v>
      </c>
      <c r="F611" s="442" t="s">
        <v>54</v>
      </c>
      <c r="G611" s="61">
        <v>46273</v>
      </c>
      <c r="H611" s="61">
        <v>46273</v>
      </c>
      <c r="I611" s="61" t="s">
        <v>42</v>
      </c>
      <c r="J611" s="64"/>
      <c r="K611" s="64">
        <v>0.79166666666666663</v>
      </c>
      <c r="L611" s="64">
        <v>0.66666666666666663</v>
      </c>
      <c r="M611" s="64">
        <v>8.3333333333333329E-2</v>
      </c>
      <c r="N611" s="64">
        <v>4.1666666666666664E-2</v>
      </c>
      <c r="O611" s="64">
        <v>0.58333333333333337</v>
      </c>
      <c r="P611" s="64">
        <v>0.33333333333333331</v>
      </c>
      <c r="Q611" s="73" t="s">
        <v>445</v>
      </c>
      <c r="R611" s="73" t="s">
        <v>483</v>
      </c>
      <c r="S611" s="73"/>
      <c r="T611" s="59">
        <f>VLOOKUP(Table2[[#This Row],[Course Title]],'TSD-Data'!$A$1:$E$83,4,FALSE)</f>
        <v>1000</v>
      </c>
      <c r="U611" s="59">
        <f>VLOOKUP(Table2[[#This Row],[Course Title]],'TSD-Data'!$A$1:$F$83,6,FALSE)</f>
        <v>2</v>
      </c>
      <c r="V611" s="63">
        <f>VLOOKUP(Table2[[#This Row],[Course Title]],'TSD-Data'!$A$1:$F$83,5,FALSE)</f>
        <v>0.1</v>
      </c>
      <c r="W611" s="63"/>
      <c r="X611" s="59">
        <f>Table2[[#This Row],[Quotas]]-Table2[[#This Row],[Open Quotas]]</f>
        <v>12</v>
      </c>
      <c r="Y611" s="59"/>
      <c r="Z611" s="63"/>
      <c r="AA611" s="63"/>
      <c r="AB611" s="59"/>
      <c r="AC611" s="59"/>
      <c r="AD611" s="59"/>
      <c r="AE611" s="59"/>
      <c r="AF611" s="63">
        <f ca="1">Table2[[#This Row],[End Date]]+2-TODAY()</f>
        <v>31</v>
      </c>
      <c r="AG611" s="59">
        <f>IF(ISBLANK(Table2[[#This Row],[Roster Received by]]),1,0)</f>
        <v>1</v>
      </c>
      <c r="AH611" s="59">
        <f ca="1">IF(Table2[[#This Row],[Start Date]]&gt;TODAY(),1,)</f>
        <v>1</v>
      </c>
      <c r="AI611" s="59">
        <f>IF(ISBLANK(Table2[[#This Row],[Primary Instructor]]),0,1)</f>
        <v>1</v>
      </c>
      <c r="AJ611" s="59">
        <f>IF(ISBLANK(Table2[[#This Row],[Instructor 2]]),0,1)</f>
        <v>1</v>
      </c>
      <c r="AK611" s="59">
        <f>AJ882</f>
        <v>0</v>
      </c>
      <c r="AL611" s="113">
        <v>988</v>
      </c>
      <c r="AM611" s="59"/>
      <c r="AN611" s="59" t="str">
        <f>VLOOKUP(Table2[[#This Row],[Course Title]],'TSD-Data'!$A$1:$G$83,7,FALSE)</f>
        <v>N8-RMI</v>
      </c>
      <c r="AO611" s="508">
        <f>Table2[[#This Row],[Quotas]]-Table2[[#This Row],[Graduates]]-Table2[[#This Row],[Fail]]</f>
        <v>1000</v>
      </c>
    </row>
    <row r="612" spans="2:41" ht="15" customHeight="1" x14ac:dyDescent="0.25">
      <c r="B612" s="576" t="s">
        <v>80</v>
      </c>
      <c r="C612" s="83" t="s">
        <v>72</v>
      </c>
      <c r="D612" s="59" t="str">
        <f>VLOOKUP(Table2[[#This Row],[Course Title]],'TSD-Data'!$A$1:$E$83,2,FALSE)</f>
        <v>A-493-0092</v>
      </c>
      <c r="E612" s="59">
        <f>VLOOKUP(Table2[[#This Row],[Course Title]],'TSD-Data'!$A$1:$E$83,3,FALSE)</f>
        <v>5891</v>
      </c>
      <c r="F612" s="442" t="s">
        <v>90</v>
      </c>
      <c r="G612" s="61">
        <v>46274</v>
      </c>
      <c r="H612" s="61">
        <v>46276</v>
      </c>
      <c r="I612" s="61" t="s">
        <v>42</v>
      </c>
      <c r="J612" s="64">
        <v>0.33333333333333331</v>
      </c>
      <c r="K612" s="64"/>
      <c r="L612" s="61"/>
      <c r="M612" s="61"/>
      <c r="N612" s="61"/>
      <c r="O612" s="61"/>
      <c r="P612" s="61"/>
      <c r="Q612" s="73" t="s">
        <v>62</v>
      </c>
      <c r="R612" s="73"/>
      <c r="S612" s="73" t="s">
        <v>79</v>
      </c>
      <c r="T612" s="59">
        <f>VLOOKUP(Table2[[#This Row],[Course Title]],'TSD-Data'!$A$1:$E$83,4,FALSE)</f>
        <v>25</v>
      </c>
      <c r="U612" s="59">
        <f>VLOOKUP(Table2[[#This Row],[Course Title]],'TSD-Data'!$A$1:$F$83,6,FALSE)</f>
        <v>24</v>
      </c>
      <c r="V612" s="63">
        <f>VLOOKUP(Table2[[#This Row],[Course Title]],'TSD-Data'!$A$1:$F$83,5,FALSE)</f>
        <v>3</v>
      </c>
      <c r="W612" s="63"/>
      <c r="X612" s="59">
        <f>Table2[[#This Row],[Quotas]]-Table2[[#This Row],[Open Quotas]]</f>
        <v>25</v>
      </c>
      <c r="Y612" s="59"/>
      <c r="Z612" s="63"/>
      <c r="AA612" s="63"/>
      <c r="AB612" s="59"/>
      <c r="AC612" s="59"/>
      <c r="AD612" s="59"/>
      <c r="AE612" s="59"/>
      <c r="AF612" s="149">
        <f ca="1">Table2[[#This Row],[End Date]]+2-TODAY()</f>
        <v>34</v>
      </c>
      <c r="AG612" s="151">
        <f>IF(ISBLANK(Table2[[#This Row],[Roster Received by]]),1,0)</f>
        <v>1</v>
      </c>
      <c r="AH612" s="151">
        <f ca="1">IF(Table2[[#This Row],[Start Date]]&gt;TODAY(),1,)</f>
        <v>1</v>
      </c>
      <c r="AI612" s="151">
        <f>IF(ISBLANK(Table2[[#This Row],[Primary Instructor]]),0,1)</f>
        <v>1</v>
      </c>
      <c r="AJ612" s="151">
        <f>IF(ISBLANK(Table2[[#This Row],[Instructor 2]]),0,1)</f>
        <v>0</v>
      </c>
      <c r="AK612" s="496">
        <f>Table2[[#This Row],[Course Length (Hours)]]/(Table2[[#This Row],[1 Instructor]]+Table2[[#This Row],[2 Instructors]])</f>
        <v>24</v>
      </c>
      <c r="AL612" s="113"/>
      <c r="AM612" s="498"/>
      <c r="AN612" s="151" t="str">
        <f>VLOOKUP(Table2[[#This Row],[Course Title]],'TSD-Data'!$A$1:$G$83,7,FALSE)</f>
        <v>N3</v>
      </c>
      <c r="AO612" s="502">
        <f>Table2[[#This Row],[Quotas]]-Table2[[#This Row],[Graduates]]-Table2[[#This Row],[Fail]]</f>
        <v>25</v>
      </c>
    </row>
    <row r="613" spans="2:41" ht="15" customHeight="1" x14ac:dyDescent="0.25">
      <c r="B613" s="83"/>
      <c r="C613" s="574" t="s">
        <v>72</v>
      </c>
      <c r="D613" s="59" t="str">
        <f>VLOOKUP(Table2[[#This Row],[Course Title]],'TSD-Data'!$A$1:$E$83,2,FALSE)</f>
        <v>A-493-0092</v>
      </c>
      <c r="E613" s="59">
        <f>VLOOKUP(Table2[[#This Row],[Course Title]],'TSD-Data'!$A$1:$E$83,3,FALSE)</f>
        <v>5891</v>
      </c>
      <c r="F613" s="442" t="s">
        <v>81</v>
      </c>
      <c r="G613" s="61">
        <v>46274</v>
      </c>
      <c r="H613" s="61">
        <v>46276</v>
      </c>
      <c r="I613" s="61" t="s">
        <v>42</v>
      </c>
      <c r="J613" s="64">
        <v>0.33333333333333331</v>
      </c>
      <c r="K613" s="64"/>
      <c r="L613" s="61"/>
      <c r="M613" s="61"/>
      <c r="N613" s="61"/>
      <c r="O613" s="61"/>
      <c r="P613" s="61"/>
      <c r="Q613" s="73" t="s">
        <v>82</v>
      </c>
      <c r="R613" s="73"/>
      <c r="S613" s="73" t="s">
        <v>484</v>
      </c>
      <c r="T613" s="59">
        <f>VLOOKUP(Table2[[#This Row],[Course Title]],'TSD-Data'!$A$1:$E$83,4,FALSE)</f>
        <v>25</v>
      </c>
      <c r="U613" s="59">
        <f>VLOOKUP(Table2[[#This Row],[Course Title]],'TSD-Data'!$A$1:$F$83,6,FALSE)</f>
        <v>24</v>
      </c>
      <c r="V613" s="63">
        <f>VLOOKUP(Table2[[#This Row],[Course Title]],'TSD-Data'!$A$1:$F$83,5,FALSE)</f>
        <v>3</v>
      </c>
      <c r="W613" s="63">
        <v>63</v>
      </c>
      <c r="X613" s="59">
        <f>Table2[[#This Row],[Quotas]]-Table2[[#This Row],[Open Quotas]]</f>
        <v>10</v>
      </c>
      <c r="Y613" s="59">
        <v>0</v>
      </c>
      <c r="Z613" s="63"/>
      <c r="AA613" s="63"/>
      <c r="AB613" s="59"/>
      <c r="AC613" s="59"/>
      <c r="AD613" s="59"/>
      <c r="AE613" s="59"/>
      <c r="AF613" s="149">
        <f ca="1">Table2[[#This Row],[End Date]]+2-TODAY()</f>
        <v>34</v>
      </c>
      <c r="AG613" s="151">
        <f>IF(ISBLANK(Table2[[#This Row],[Roster Received by]]),1,0)</f>
        <v>1</v>
      </c>
      <c r="AH613" s="151">
        <f ca="1">IF(Table2[[#This Row],[Start Date]]&gt;TODAY(),1,)</f>
        <v>1</v>
      </c>
      <c r="AI613" s="151">
        <f>IF(ISBLANK(Table2[[#This Row],[Primary Instructor]]),0,1)</f>
        <v>1</v>
      </c>
      <c r="AJ613" s="151">
        <f>IF(ISBLANK(Table2[[#This Row],[Instructor 2]]),0,1)</f>
        <v>0</v>
      </c>
      <c r="AK613" s="496">
        <f>Table2[[#This Row],[Course Length (Hours)]]/(Table2[[#This Row],[1 Instructor]]+Table2[[#This Row],[2 Instructors]])</f>
        <v>24</v>
      </c>
      <c r="AL613" s="113">
        <v>15</v>
      </c>
      <c r="AM613" s="498">
        <v>4</v>
      </c>
      <c r="AN613" s="151" t="str">
        <f>VLOOKUP(Table2[[#This Row],[Course Title]],'TSD-Data'!$A$1:$G$83,7,FALSE)</f>
        <v>N3</v>
      </c>
      <c r="AO613" s="502">
        <f>Table2[[#This Row],[Quotas]]-Table2[[#This Row],[Graduates]]-Table2[[#This Row],[Fail]]</f>
        <v>25</v>
      </c>
    </row>
    <row r="614" spans="2:41" ht="15" customHeight="1" x14ac:dyDescent="0.25">
      <c r="B614" s="83"/>
      <c r="C614" s="83" t="s">
        <v>45</v>
      </c>
      <c r="D614" s="59" t="str">
        <f>VLOOKUP(Table2[[#This Row],[Course Title]],'TSD-Data'!$A$1:$E$83,2,FALSE)</f>
        <v>A-493-0013</v>
      </c>
      <c r="E614" s="59">
        <f>VLOOKUP(Table2[[#This Row],[Course Title]],'TSD-Data'!$A$1:$E$83,3,FALSE)</f>
        <v>3683</v>
      </c>
      <c r="F614" s="577" t="s">
        <v>322</v>
      </c>
      <c r="G614" s="61">
        <v>46274</v>
      </c>
      <c r="H614" s="61">
        <v>46276</v>
      </c>
      <c r="I614" s="61" t="s">
        <v>42</v>
      </c>
      <c r="J614" s="64">
        <v>0.33333333333333331</v>
      </c>
      <c r="K614" s="64"/>
      <c r="L614" s="61"/>
      <c r="M614" s="61"/>
      <c r="N614" s="61"/>
      <c r="O614" s="61"/>
      <c r="P614" s="61"/>
      <c r="Q614" s="73" t="s">
        <v>439</v>
      </c>
      <c r="R614" s="73"/>
      <c r="S614" s="73"/>
      <c r="T614" s="59">
        <f>VLOOKUP(Table2[[#This Row],[Course Title]],'TSD-Data'!$A$1:$E$83,4,FALSE)</f>
        <v>40</v>
      </c>
      <c r="U614" s="59">
        <f>VLOOKUP(Table2[[#This Row],[Course Title]],'TSD-Data'!$A$1:$F$83,6,FALSE)</f>
        <v>24</v>
      </c>
      <c r="V614" s="63">
        <f>VLOOKUP(Table2[[#This Row],[Course Title]],'TSD-Data'!$A$1:$F$83,5,FALSE)</f>
        <v>3</v>
      </c>
      <c r="W614" s="63"/>
      <c r="X614" s="59">
        <f>Table2[[#This Row],[Quotas]]-Table2[[#This Row],[Open Quotas]]</f>
        <v>27</v>
      </c>
      <c r="Y614" s="59"/>
      <c r="Z614" s="63"/>
      <c r="AA614" s="63"/>
      <c r="AB614" s="59"/>
      <c r="AC614" s="59"/>
      <c r="AD614" s="59"/>
      <c r="AE614" s="59"/>
      <c r="AF614" s="63">
        <f ca="1">Table2[[#This Row],[End Date]]+2-TODAY()</f>
        <v>34</v>
      </c>
      <c r="AG614" s="59">
        <f>IF(ISBLANK(Table2[[#This Row],[Roster Received by]]),1,0)</f>
        <v>1</v>
      </c>
      <c r="AH614" s="59">
        <f ca="1">IF(Table2[[#This Row],[Start Date]]&gt;TODAY(),1,)</f>
        <v>1</v>
      </c>
      <c r="AI614" s="59">
        <f>IF(ISBLANK(Table2[[#This Row],[Primary Instructor]]),0,1)</f>
        <v>1</v>
      </c>
      <c r="AJ614" s="59">
        <f>IF(ISBLANK(Table2[[#This Row],[Instructor 2]]),0,1)</f>
        <v>0</v>
      </c>
      <c r="AK614" s="59">
        <f>AJ969</f>
        <v>0</v>
      </c>
      <c r="AL614" s="113">
        <v>13</v>
      </c>
      <c r="AM614" s="197"/>
      <c r="AN614" s="59" t="str">
        <f>VLOOKUP(Table2[[#This Row],[Course Title]],'TSD-Data'!$A$1:$G$83,7,FALSE)</f>
        <v>N4</v>
      </c>
      <c r="AO614" s="508">
        <f>Table2[[#This Row],[Quotas]]-Table2[[#This Row],[Graduates]]-Table2[[#This Row],[Fail]]</f>
        <v>40</v>
      </c>
    </row>
    <row r="615" spans="2:41" ht="15" customHeight="1" x14ac:dyDescent="0.25">
      <c r="B615" s="83"/>
      <c r="C615" s="83" t="s">
        <v>400</v>
      </c>
      <c r="D615" s="59" t="str">
        <f>VLOOKUP(Table2[[#This Row],[Course Title]],'TSD-Data'!$A$1:$E$83,2,FALSE)</f>
        <v>A-493-3010</v>
      </c>
      <c r="E615" s="59" t="str">
        <f>VLOOKUP(Table2[[#This Row],[Course Title]],'TSD-Data'!$A$1:$E$83,3,FALSE)</f>
        <v>31VC</v>
      </c>
      <c r="F615" s="442" t="s">
        <v>54</v>
      </c>
      <c r="G615" s="61">
        <v>46274</v>
      </c>
      <c r="H615" s="61">
        <v>46274</v>
      </c>
      <c r="I615" s="61" t="s">
        <v>42</v>
      </c>
      <c r="J615" s="64"/>
      <c r="K615" s="64">
        <v>0.79166666666666663</v>
      </c>
      <c r="L615" s="64">
        <v>0.66666666666666663</v>
      </c>
      <c r="M615" s="64">
        <v>8.3333333333333329E-2</v>
      </c>
      <c r="N615" s="64">
        <v>4.1666666666666664E-2</v>
      </c>
      <c r="O615" s="64">
        <v>0.58333333333333337</v>
      </c>
      <c r="P615" s="64">
        <v>0.33333333333333331</v>
      </c>
      <c r="Q615" s="73" t="s">
        <v>445</v>
      </c>
      <c r="R615" s="73" t="s">
        <v>483</v>
      </c>
      <c r="S615" s="73"/>
      <c r="T615" s="59">
        <f>VLOOKUP(Table2[[#This Row],[Course Title]],'TSD-Data'!$A$1:$E$83,4,FALSE)</f>
        <v>1000</v>
      </c>
      <c r="U615" s="59">
        <f>VLOOKUP(Table2[[#This Row],[Course Title]],'TSD-Data'!$A$1:$F$83,6,FALSE)</f>
        <v>4</v>
      </c>
      <c r="V615" s="63">
        <f>VLOOKUP(Table2[[#This Row],[Course Title]],'TSD-Data'!$A$1:$F$83,5,FALSE)</f>
        <v>0.5</v>
      </c>
      <c r="W615" s="63"/>
      <c r="X615" s="59">
        <f>Table2[[#This Row],[Quotas]]-Table2[[#This Row],[Open Quotas]]</f>
        <v>12</v>
      </c>
      <c r="Y615" s="59"/>
      <c r="Z615" s="63"/>
      <c r="AA615" s="63"/>
      <c r="AB615" s="59"/>
      <c r="AC615" s="59"/>
      <c r="AD615" s="59"/>
      <c r="AE615" s="59"/>
      <c r="AF615" s="63">
        <f ca="1">Table2[[#This Row],[End Date]]+2-TODAY()</f>
        <v>32</v>
      </c>
      <c r="AG615" s="59">
        <f>IF(ISBLANK(Table2[[#This Row],[Roster Received by]]),1,0)</f>
        <v>1</v>
      </c>
      <c r="AH615" s="59">
        <f ca="1">IF(Table2[[#This Row],[Start Date]]&gt;TODAY(),1,)</f>
        <v>1</v>
      </c>
      <c r="AI615" s="59">
        <f>IF(ISBLANK(Table2[[#This Row],[Primary Instructor]]),0,1)</f>
        <v>1</v>
      </c>
      <c r="AJ615" s="59">
        <f>IF(ISBLANK(Table2[[#This Row],[Instructor 2]]),0,1)</f>
        <v>1</v>
      </c>
      <c r="AK615" s="59">
        <f>AJ886</f>
        <v>0</v>
      </c>
      <c r="AL615" s="113">
        <v>988</v>
      </c>
      <c r="AM615" s="59"/>
      <c r="AN615" s="59" t="str">
        <f>VLOOKUP(Table2[[#This Row],[Course Title]],'TSD-Data'!$A$1:$G$83,7,FALSE)</f>
        <v>N8-RMI</v>
      </c>
      <c r="AO615" s="508">
        <f>Table2[[#This Row],[Quotas]]-Table2[[#This Row],[Graduates]]-Table2[[#This Row],[Fail]]</f>
        <v>1000</v>
      </c>
    </row>
    <row r="616" spans="2:41" ht="15" customHeight="1" x14ac:dyDescent="0.25">
      <c r="B616" s="83"/>
      <c r="C616" s="83" t="s">
        <v>411</v>
      </c>
      <c r="D616" s="59" t="str">
        <f>VLOOKUP(Table2[[#This Row],[Course Title]],'TSD-Data'!$A$1:$E$83,2,FALSE)</f>
        <v>A-493-3012</v>
      </c>
      <c r="E616" s="59" t="str">
        <f>VLOOKUP(Table2[[#This Row],[Course Title]],'TSD-Data'!$A$1:$E$83,3,FALSE)</f>
        <v>31YF</v>
      </c>
      <c r="F616" s="442" t="s">
        <v>54</v>
      </c>
      <c r="G616" s="61">
        <v>46274</v>
      </c>
      <c r="H616" s="61">
        <v>46274</v>
      </c>
      <c r="I616" s="61" t="s">
        <v>42</v>
      </c>
      <c r="J616" s="64"/>
      <c r="K616" s="64">
        <v>6.25E-2</v>
      </c>
      <c r="L616" s="64">
        <v>0.9375</v>
      </c>
      <c r="M616" s="64">
        <v>0.35416666666666669</v>
      </c>
      <c r="N616" s="64">
        <v>0.3125</v>
      </c>
      <c r="O616" s="64">
        <v>0.85416666666666663</v>
      </c>
      <c r="P616" s="64">
        <v>0.60416666666666663</v>
      </c>
      <c r="Q616" s="73" t="s">
        <v>445</v>
      </c>
      <c r="R616" s="73" t="s">
        <v>483</v>
      </c>
      <c r="S616" s="73"/>
      <c r="T616" s="59">
        <f>VLOOKUP(Table2[[#This Row],[Course Title]],'TSD-Data'!$A$1:$E$83,4,FALSE)</f>
        <v>1000</v>
      </c>
      <c r="U616" s="59">
        <f>VLOOKUP(Table2[[#This Row],[Course Title]],'TSD-Data'!$A$1:$F$83,6,FALSE)</f>
        <v>1</v>
      </c>
      <c r="V616" s="63">
        <f>VLOOKUP(Table2[[#This Row],[Course Title]],'TSD-Data'!$A$1:$F$83,5,FALSE)</f>
        <v>0.1</v>
      </c>
      <c r="W616" s="63"/>
      <c r="X616" s="59">
        <f>Table2[[#This Row],[Quotas]]-Table2[[#This Row],[Open Quotas]]</f>
        <v>12</v>
      </c>
      <c r="Y616" s="59"/>
      <c r="Z616" s="63"/>
      <c r="AA616" s="63"/>
      <c r="AB616" s="59"/>
      <c r="AC616" s="59"/>
      <c r="AD616" s="59"/>
      <c r="AE616" s="59"/>
      <c r="AF616" s="63">
        <f ca="1">Table2[[#This Row],[End Date]]+2-TODAY()</f>
        <v>32</v>
      </c>
      <c r="AG616" s="59">
        <f>IF(ISBLANK(Table2[[#This Row],[Roster Received by]]),1,0)</f>
        <v>1</v>
      </c>
      <c r="AH616" s="59">
        <f ca="1">IF(Table2[[#This Row],[Start Date]]&gt;TODAY(),1,)</f>
        <v>1</v>
      </c>
      <c r="AI616" s="59">
        <f>IF(ISBLANK(Table2[[#This Row],[Primary Instructor]]),0,1)</f>
        <v>1</v>
      </c>
      <c r="AJ616" s="59">
        <f>IF(ISBLANK(Table2[[#This Row],[Instructor 2]]),0,1)</f>
        <v>1</v>
      </c>
      <c r="AK616" s="59">
        <f>AJ887</f>
        <v>0</v>
      </c>
      <c r="AL616" s="113">
        <v>988</v>
      </c>
      <c r="AM616" s="59"/>
      <c r="AN616" s="59" t="str">
        <f>VLOOKUP(Table2[[#This Row],[Course Title]],'TSD-Data'!$A$1:$G$83,7,FALSE)</f>
        <v>N8-RMI</v>
      </c>
      <c r="AO616" s="508">
        <f>Table2[[#This Row],[Quotas]]-Table2[[#This Row],[Graduates]]-Table2[[#This Row],[Fail]]</f>
        <v>1000</v>
      </c>
    </row>
    <row r="617" spans="2:41" ht="15" customHeight="1" x14ac:dyDescent="0.25">
      <c r="B617" s="83"/>
      <c r="C617" s="83" t="s">
        <v>399</v>
      </c>
      <c r="D617" s="59" t="str">
        <f>VLOOKUP(Table2[[#This Row],[Course Title]],'TSD-Data'!$A$1:$E$83,2,FALSE)</f>
        <v>A-493-3011</v>
      </c>
      <c r="E617" s="59" t="str">
        <f>VLOOKUP(Table2[[#This Row],[Course Title]],'TSD-Data'!$A$1:$E$83,3,FALSE)</f>
        <v>31VD</v>
      </c>
      <c r="F617" s="442" t="s">
        <v>54</v>
      </c>
      <c r="G617" s="61">
        <v>46275</v>
      </c>
      <c r="H617" s="61">
        <v>46275</v>
      </c>
      <c r="I617" s="61" t="s">
        <v>42</v>
      </c>
      <c r="J617" s="64"/>
      <c r="K617" s="64">
        <v>0.125</v>
      </c>
      <c r="L617" s="64">
        <v>6.9444444444444447E-4</v>
      </c>
      <c r="M617" s="64">
        <v>0.41666666666666669</v>
      </c>
      <c r="N617" s="64">
        <v>0.375</v>
      </c>
      <c r="O617" s="64">
        <v>0.91666666666666663</v>
      </c>
      <c r="P617" s="64">
        <v>0.66666666666666663</v>
      </c>
      <c r="Q617" s="73" t="s">
        <v>445</v>
      </c>
      <c r="R617" s="73" t="s">
        <v>483</v>
      </c>
      <c r="S617" s="73"/>
      <c r="T617" s="59">
        <f>VLOOKUP(Table2[[#This Row],[Course Title]],'TSD-Data'!$A$1:$E$83,4,FALSE)</f>
        <v>1000</v>
      </c>
      <c r="U617" s="59">
        <f>VLOOKUP(Table2[[#This Row],[Course Title]],'TSD-Data'!$A$1:$F$83,6,FALSE)</f>
        <v>2.5</v>
      </c>
      <c r="V617" s="63">
        <f>VLOOKUP(Table2[[#This Row],[Course Title]],'TSD-Data'!$A$1:$F$83,5,FALSE)</f>
        <v>0.3</v>
      </c>
      <c r="W617" s="63"/>
      <c r="X617" s="59">
        <f>Table2[[#This Row],[Quotas]]-Table2[[#This Row],[Open Quotas]]</f>
        <v>12</v>
      </c>
      <c r="Y617" s="59"/>
      <c r="Z617" s="63"/>
      <c r="AA617" s="63"/>
      <c r="AB617" s="59"/>
      <c r="AC617" s="59"/>
      <c r="AD617" s="59"/>
      <c r="AE617" s="59"/>
      <c r="AF617" s="63">
        <f ca="1">Table2[[#This Row],[End Date]]+2-TODAY()</f>
        <v>33</v>
      </c>
      <c r="AG617" s="59">
        <f>IF(ISBLANK(Table2[[#This Row],[Roster Received by]]),1,0)</f>
        <v>1</v>
      </c>
      <c r="AH617" s="59">
        <f ca="1">IF(Table2[[#This Row],[Start Date]]&gt;TODAY(),1,)</f>
        <v>1</v>
      </c>
      <c r="AI617" s="59">
        <f>IF(ISBLANK(Table2[[#This Row],[Primary Instructor]]),0,1)</f>
        <v>1</v>
      </c>
      <c r="AJ617" s="59">
        <f>IF(ISBLANK(Table2[[#This Row],[Instructor 2]]),0,1)</f>
        <v>1</v>
      </c>
      <c r="AK617" s="59">
        <f>AJ888</f>
        <v>0</v>
      </c>
      <c r="AL617" s="113">
        <v>988</v>
      </c>
      <c r="AM617" s="59"/>
      <c r="AN617" s="59" t="str">
        <f>VLOOKUP(Table2[[#This Row],[Course Title]],'TSD-Data'!$A$1:$G$83,7,FALSE)</f>
        <v>N8-RMI</v>
      </c>
      <c r="AO617" s="508">
        <f>Table2[[#This Row],[Quotas]]-Table2[[#This Row],[Graduates]]-Table2[[#This Row],[Fail]]</f>
        <v>1000</v>
      </c>
    </row>
    <row r="618" spans="2:41" ht="15" customHeight="1" x14ac:dyDescent="0.25">
      <c r="B618" s="83"/>
      <c r="C618" s="83" t="s">
        <v>196</v>
      </c>
      <c r="D618" s="59" t="str">
        <f>VLOOKUP(Table2[[#This Row],[Course Title]],'TSD-Data'!$A$1:$E$83,2,FALSE)</f>
        <v>A-4J-0022</v>
      </c>
      <c r="E618" s="59" t="str">
        <f>VLOOKUP(Table2[[#This Row],[Course Title]],'TSD-Data'!$A$1:$E$83,3,FALSE)</f>
        <v>09ER</v>
      </c>
      <c r="F618" s="442" t="s">
        <v>54</v>
      </c>
      <c r="G618" s="61">
        <v>46278</v>
      </c>
      <c r="H618" s="61">
        <v>46282</v>
      </c>
      <c r="I618" s="61" t="s">
        <v>42</v>
      </c>
      <c r="J618" s="64"/>
      <c r="K618" s="570">
        <v>0.79166666666666663</v>
      </c>
      <c r="L618" s="570">
        <v>0.66666666666666663</v>
      </c>
      <c r="M618" s="570">
        <v>8.3333333333333329E-2</v>
      </c>
      <c r="N618" s="570">
        <v>0</v>
      </c>
      <c r="O618" s="570">
        <v>0.54166666666666663</v>
      </c>
      <c r="P618" s="570">
        <v>0.33333333333333331</v>
      </c>
      <c r="Q618" s="73" t="s">
        <v>437</v>
      </c>
      <c r="R618" s="73"/>
      <c r="S618" s="73"/>
      <c r="T618" s="59">
        <f>VLOOKUP(Table2[[#This Row],[Course Title]],'TSD-Data'!$A$1:$E$83,4,FALSE)</f>
        <v>45</v>
      </c>
      <c r="U618" s="59">
        <f>VLOOKUP(Table2[[#This Row],[Course Title]],'TSD-Data'!$A$1:$F$83,6,FALSE)</f>
        <v>40</v>
      </c>
      <c r="V618" s="63">
        <f>VLOOKUP(Table2[[#This Row],[Course Title]],'TSD-Data'!$A$1:$F$83,5,FALSE)</f>
        <v>2</v>
      </c>
      <c r="W618" s="63">
        <v>63</v>
      </c>
      <c r="X618" s="59">
        <f>Table2[[#This Row],[Quotas]]-Table2[[#This Row],[Open Quotas]]</f>
        <v>21</v>
      </c>
      <c r="Y618" s="59"/>
      <c r="Z618" s="63"/>
      <c r="AA618" s="63"/>
      <c r="AB618" s="59"/>
      <c r="AC618" s="59"/>
      <c r="AD618" s="59"/>
      <c r="AE618" s="59"/>
      <c r="AF618" s="149">
        <f ca="1">Table2[[#This Row],[End Date]]+2-TODAY()</f>
        <v>40</v>
      </c>
      <c r="AG618" s="151">
        <f>IF(ISBLANK(Table2[[#This Row],[Roster Received by]]),1,0)</f>
        <v>1</v>
      </c>
      <c r="AH618" s="151">
        <f ca="1">IF(Table2[[#This Row],[Start Date]]&gt;TODAY(),1,)</f>
        <v>1</v>
      </c>
      <c r="AI618" s="151">
        <f>IF(ISBLANK(Table2[[#This Row],[Primary Instructor]]),0,1)</f>
        <v>1</v>
      </c>
      <c r="AJ618" s="151">
        <f>IF(ISBLANK(Table2[[#This Row],[Instructor 2]]),0,1)</f>
        <v>0</v>
      </c>
      <c r="AK618" s="496">
        <f>Table2[[#This Row],[Course Length (Hours)]]/(Table2[[#This Row],[1 Instructor]]+Table2[[#This Row],[2 Instructors]])</f>
        <v>40</v>
      </c>
      <c r="AL618" s="113">
        <v>24</v>
      </c>
      <c r="AM618" s="498">
        <v>4</v>
      </c>
      <c r="AN618" s="151" t="str">
        <f>VLOOKUP(Table2[[#This Row],[Course Title]],'TSD-Data'!$A$1:$G$83,7,FALSE)</f>
        <v>N4</v>
      </c>
      <c r="AO618" s="502">
        <f>Table2[[#This Row],[Quotas]]-Table2[[#This Row],[Graduates]]-Table2[[#This Row],[Fail]]</f>
        <v>45</v>
      </c>
    </row>
    <row r="619" spans="2:41" ht="15" customHeight="1" x14ac:dyDescent="0.25">
      <c r="B619" s="83"/>
      <c r="C619" s="83" t="s">
        <v>200</v>
      </c>
      <c r="D619" s="59" t="str">
        <f>VLOOKUP(Table2[[#This Row],[Course Title]],'TSD-Data'!$A$1:$E$83,2,FALSE)</f>
        <v>A-493-0665</v>
      </c>
      <c r="E619" s="59" t="str">
        <f>VLOOKUP(Table2[[#This Row],[Course Title]],'TSD-Data'!$A$1:$E$83,3,FALSE)</f>
        <v>10KW</v>
      </c>
      <c r="F619" s="442" t="s">
        <v>54</v>
      </c>
      <c r="G619" s="61">
        <v>46279</v>
      </c>
      <c r="H619" s="61">
        <v>46281</v>
      </c>
      <c r="I619" s="61" t="s">
        <v>42</v>
      </c>
      <c r="J619" s="64"/>
      <c r="K619" s="64">
        <v>0.33333333333333331</v>
      </c>
      <c r="L619" s="64">
        <v>0.20833333333333334</v>
      </c>
      <c r="M619" s="64">
        <v>0.625</v>
      </c>
      <c r="N619" s="64">
        <v>0.54166666666666663</v>
      </c>
      <c r="O619" s="64">
        <v>8.3333333333333329E-2</v>
      </c>
      <c r="P619" s="64">
        <v>0.875</v>
      </c>
      <c r="Q619" s="73" t="s">
        <v>432</v>
      </c>
      <c r="R619" s="73"/>
      <c r="S619" s="73"/>
      <c r="T619" s="59">
        <f>VLOOKUP(Table2[[#This Row],[Course Title]],'TSD-Data'!$A$1:$E$83,4,FALSE)</f>
        <v>45</v>
      </c>
      <c r="U619" s="59">
        <f>VLOOKUP(Table2[[#This Row],[Course Title]],'TSD-Data'!$A$1:$F$83,6,FALSE)</f>
        <v>24</v>
      </c>
      <c r="V619" s="63">
        <f>VLOOKUP(Table2[[#This Row],[Course Title]],'TSD-Data'!$A$1:$F$83,5,FALSE)</f>
        <v>3</v>
      </c>
      <c r="W619" s="63"/>
      <c r="X619" s="59">
        <f>Table2[[#This Row],[Quotas]]-Table2[[#This Row],[Open Quotas]]</f>
        <v>11</v>
      </c>
      <c r="Y619" s="59"/>
      <c r="Z619" s="63"/>
      <c r="AA619" s="63"/>
      <c r="AB619" s="59"/>
      <c r="AC619" s="59"/>
      <c r="AD619" s="59"/>
      <c r="AE619" s="59"/>
      <c r="AF619" s="63">
        <f ca="1">Table2[[#This Row],[End Date]]+2-TODAY()</f>
        <v>39</v>
      </c>
      <c r="AG619" s="59">
        <f>IF(ISBLANK(Table2[[#This Row],[Roster Received by]]),1,0)</f>
        <v>1</v>
      </c>
      <c r="AH619" s="59">
        <f ca="1">IF(Table2[[#This Row],[Start Date]]&gt;TODAY(),1,)</f>
        <v>1</v>
      </c>
      <c r="AI619" s="59">
        <f>IF(ISBLANK(Table2[[#This Row],[Primary Instructor]]),0,1)</f>
        <v>1</v>
      </c>
      <c r="AJ619" s="59">
        <f>IF(ISBLANK(Table2[[#This Row],[Instructor 2]]),0,1)</f>
        <v>0</v>
      </c>
      <c r="AK619" s="59">
        <f>AJ975</f>
        <v>0</v>
      </c>
      <c r="AL619" s="113">
        <v>34</v>
      </c>
      <c r="AM619" s="197"/>
      <c r="AN619" s="59" t="str">
        <f>VLOOKUP(Table2[[#This Row],[Course Title]],'TSD-Data'!$A$1:$G$83,7,FALSE)</f>
        <v>N8</v>
      </c>
      <c r="AO619" s="508">
        <f>Table2[[#This Row],[Quotas]]-Table2[[#This Row],[Graduates]]-Table2[[#This Row],[Fail]]</f>
        <v>45</v>
      </c>
    </row>
    <row r="620" spans="2:41" ht="15" customHeight="1" x14ac:dyDescent="0.25">
      <c r="B620" s="83"/>
      <c r="C620" s="83" t="s">
        <v>276</v>
      </c>
      <c r="D620" s="59" t="str">
        <f>VLOOKUP(Table2[[#This Row],[Course Title]],'TSD-Data'!$A$1:$E$83,2,FALSE)</f>
        <v>A-493-0103</v>
      </c>
      <c r="E620" s="59" t="str">
        <f>VLOOKUP(Table2[[#This Row],[Course Title]],'TSD-Data'!$A$1:$E$83,3,FALSE)</f>
        <v>12JY</v>
      </c>
      <c r="F620" s="442" t="s">
        <v>130</v>
      </c>
      <c r="G620" s="61">
        <v>46279</v>
      </c>
      <c r="H620" s="61">
        <v>46283</v>
      </c>
      <c r="I620" s="61" t="s">
        <v>42</v>
      </c>
      <c r="J620" s="64">
        <v>0.33333333333333331</v>
      </c>
      <c r="K620" s="64"/>
      <c r="L620" s="61"/>
      <c r="M620" s="61"/>
      <c r="N620" s="61"/>
      <c r="O620" s="61"/>
      <c r="P620" s="61"/>
      <c r="Q620" s="73" t="s">
        <v>280</v>
      </c>
      <c r="R620" s="73"/>
      <c r="S620" s="73"/>
      <c r="T620" s="59">
        <f>VLOOKUP(Table2[[#This Row],[Course Title]],'TSD-Data'!$A$1:$E$83,4,FALSE)</f>
        <v>25</v>
      </c>
      <c r="U620" s="59">
        <f>VLOOKUP(Table2[[#This Row],[Course Title]],'TSD-Data'!$A$1:$F$83,6,FALSE)</f>
        <v>40</v>
      </c>
      <c r="V620" s="63">
        <f>VLOOKUP(Table2[[#This Row],[Course Title]],'TSD-Data'!$A$1:$F$83,5,FALSE)</f>
        <v>5</v>
      </c>
      <c r="W620" s="63">
        <v>512</v>
      </c>
      <c r="X620" s="59">
        <f>Table2[[#This Row],[Quotas]]-Table2[[#This Row],[Open Quotas]]</f>
        <v>25</v>
      </c>
      <c r="Y620" s="59">
        <v>5</v>
      </c>
      <c r="Z620" s="63"/>
      <c r="AA620" s="63"/>
      <c r="AB620" s="59"/>
      <c r="AC620" s="59"/>
      <c r="AD620" s="59"/>
      <c r="AE620" s="59"/>
      <c r="AF620" s="149">
        <f ca="1">Table2[[#This Row],[End Date]]+2-TODAY()</f>
        <v>41</v>
      </c>
      <c r="AG620" s="151">
        <f>IF(ISBLANK(Table2[[#This Row],[Roster Received by]]),1,0)</f>
        <v>1</v>
      </c>
      <c r="AH620" s="151">
        <f ca="1">IF(Table2[[#This Row],[Start Date]]&gt;TODAY(),1,)</f>
        <v>1</v>
      </c>
      <c r="AI620" s="151">
        <f>IF(ISBLANK(Table2[[#This Row],[Primary Instructor]]),0,1)</f>
        <v>1</v>
      </c>
      <c r="AJ620" s="151">
        <f>IF(ISBLANK(Table2[[#This Row],[Instructor 2]]),0,1)</f>
        <v>0</v>
      </c>
      <c r="AK620" s="496">
        <f>Table2[[#This Row],[Course Length (Hours)]]/(Table2[[#This Row],[1 Instructor]]+Table2[[#This Row],[2 Instructors]])</f>
        <v>40</v>
      </c>
      <c r="AL620" s="113">
        <v>0</v>
      </c>
      <c r="AM620" s="498">
        <v>4</v>
      </c>
      <c r="AN620" s="151" t="str">
        <f>VLOOKUP(Table2[[#This Row],[Course Title]],'TSD-Data'!$A$1:$G$83,7,FALSE)</f>
        <v>N5</v>
      </c>
      <c r="AO620" s="502">
        <f>Table2[[#This Row],[Quotas]]-Table2[[#This Row],[Graduates]]-Table2[[#This Row],[Fail]]</f>
        <v>25</v>
      </c>
    </row>
    <row r="621" spans="2:41" ht="15" customHeight="1" x14ac:dyDescent="0.25">
      <c r="B621" s="83"/>
      <c r="C621" s="83" t="s">
        <v>276</v>
      </c>
      <c r="D621" s="59" t="str">
        <f>VLOOKUP(Table2[[#This Row],[Course Title]],'TSD-Data'!$A$1:$E$83,2,FALSE)</f>
        <v>A-493-0103</v>
      </c>
      <c r="E621" s="59" t="str">
        <f>VLOOKUP(Table2[[#This Row],[Course Title]],'TSD-Data'!$A$1:$E$83,3,FALSE)</f>
        <v>12JY</v>
      </c>
      <c r="F621" s="442" t="s">
        <v>51</v>
      </c>
      <c r="G621" s="61">
        <v>46279</v>
      </c>
      <c r="H621" s="61">
        <v>46283</v>
      </c>
      <c r="I621" s="61" t="s">
        <v>42</v>
      </c>
      <c r="J621" s="64">
        <v>0.33333333333333331</v>
      </c>
      <c r="K621" s="64"/>
      <c r="L621" s="61"/>
      <c r="M621" s="61"/>
      <c r="N621" s="61"/>
      <c r="O621" s="61"/>
      <c r="P621" s="61"/>
      <c r="Q621" s="73" t="s">
        <v>280</v>
      </c>
      <c r="R621" s="73"/>
      <c r="S621" s="73"/>
      <c r="T621" s="59">
        <f>VLOOKUP(Table2[[#This Row],[Course Title]],'TSD-Data'!$A$1:$E$83,4,FALSE)</f>
        <v>25</v>
      </c>
      <c r="U621" s="59">
        <f>VLOOKUP(Table2[[#This Row],[Course Title]],'TSD-Data'!$A$1:$F$83,6,FALSE)</f>
        <v>40</v>
      </c>
      <c r="V621" s="63">
        <f>VLOOKUP(Table2[[#This Row],[Course Title]],'TSD-Data'!$A$1:$F$83,5,FALSE)</f>
        <v>5</v>
      </c>
      <c r="W621" s="63">
        <v>107</v>
      </c>
      <c r="X621" s="59">
        <f>Table2[[#This Row],[Quotas]]-Table2[[#This Row],[Open Quotas]]</f>
        <v>10</v>
      </c>
      <c r="Y621" s="59">
        <v>0</v>
      </c>
      <c r="Z621" s="63"/>
      <c r="AA621" s="63"/>
      <c r="AB621" s="59"/>
      <c r="AC621" s="59"/>
      <c r="AD621" s="59"/>
      <c r="AE621" s="59"/>
      <c r="AF621" s="149">
        <f ca="1">Table2[[#This Row],[End Date]]+2-TODAY()</f>
        <v>41</v>
      </c>
      <c r="AG621" s="151">
        <f>IF(ISBLANK(Table2[[#This Row],[Roster Received by]]),1,0)</f>
        <v>1</v>
      </c>
      <c r="AH621" s="151">
        <f ca="1">IF(Table2[[#This Row],[Start Date]]&gt;TODAY(),1,)</f>
        <v>1</v>
      </c>
      <c r="AI621" s="151">
        <f>IF(ISBLANK(Table2[[#This Row],[Primary Instructor]]),0,1)</f>
        <v>1</v>
      </c>
      <c r="AJ621" s="151">
        <f>IF(ISBLANK(Table2[[#This Row],[Instructor 2]]),0,1)</f>
        <v>0</v>
      </c>
      <c r="AK621" s="496">
        <f>Table2[[#This Row],[Course Length (Hours)]]/(Table2[[#This Row],[1 Instructor]]+Table2[[#This Row],[2 Instructors]])</f>
        <v>40</v>
      </c>
      <c r="AL621" s="113">
        <v>15</v>
      </c>
      <c r="AM621" s="498">
        <v>4</v>
      </c>
      <c r="AN621" s="151" t="str">
        <f>VLOOKUP(Table2[[#This Row],[Course Title]],'TSD-Data'!$A$1:$G$83,7,FALSE)</f>
        <v>N5</v>
      </c>
      <c r="AO621" s="502">
        <f>Table2[[#This Row],[Quotas]]-Table2[[#This Row],[Graduates]]-Table2[[#This Row],[Fail]]</f>
        <v>25</v>
      </c>
    </row>
    <row r="622" spans="2:41" ht="15" customHeight="1" x14ac:dyDescent="0.25">
      <c r="B622" s="83"/>
      <c r="C622" s="83" t="s">
        <v>276</v>
      </c>
      <c r="D622" s="59" t="str">
        <f>VLOOKUP(Table2[[#This Row],[Course Title]],'TSD-Data'!$A$1:$E$83,2,FALSE)</f>
        <v>A-493-0103</v>
      </c>
      <c r="E622" s="59" t="str">
        <f>VLOOKUP(Table2[[#This Row],[Course Title]],'TSD-Data'!$A$1:$E$83,3,FALSE)</f>
        <v>12JY</v>
      </c>
      <c r="F622" s="442" t="s">
        <v>103</v>
      </c>
      <c r="G622" s="61">
        <v>46279</v>
      </c>
      <c r="H622" s="61">
        <v>46283</v>
      </c>
      <c r="I622" s="61" t="s">
        <v>42</v>
      </c>
      <c r="J622" s="64">
        <v>0.33333333333333331</v>
      </c>
      <c r="K622" s="64"/>
      <c r="L622" s="61"/>
      <c r="M622" s="61"/>
      <c r="N622" s="61"/>
      <c r="O622" s="61"/>
      <c r="P622" s="61"/>
      <c r="Q622" s="73" t="s">
        <v>280</v>
      </c>
      <c r="R622" s="73"/>
      <c r="S622" s="73"/>
      <c r="T622" s="59">
        <f>VLOOKUP(Table2[[#This Row],[Course Title]],'TSD-Data'!$A$1:$E$83,4,FALSE)</f>
        <v>25</v>
      </c>
      <c r="U622" s="59">
        <f>VLOOKUP(Table2[[#This Row],[Course Title]],'TSD-Data'!$A$1:$F$83,6,FALSE)</f>
        <v>40</v>
      </c>
      <c r="V622" s="63">
        <f>VLOOKUP(Table2[[#This Row],[Course Title]],'TSD-Data'!$A$1:$F$83,5,FALSE)</f>
        <v>5</v>
      </c>
      <c r="W622" s="63"/>
      <c r="X622" s="59">
        <f>Table2[[#This Row],[Quotas]]-Table2[[#This Row],[Open Quotas]]</f>
        <v>1</v>
      </c>
      <c r="Y622" s="59">
        <v>0</v>
      </c>
      <c r="Z622" s="63"/>
      <c r="AA622" s="63"/>
      <c r="AB622" s="59"/>
      <c r="AC622" s="59"/>
      <c r="AD622" s="59"/>
      <c r="AE622" s="59"/>
      <c r="AF622" s="63">
        <f ca="1">Table2[[#This Row],[End Date]]+2-TODAY()</f>
        <v>41</v>
      </c>
      <c r="AG622" s="59">
        <f>IF(ISBLANK(Table2[[#This Row],[Roster Received by]]),1,0)</f>
        <v>1</v>
      </c>
      <c r="AH622" s="59">
        <f ca="1">IF(Table2[[#This Row],[Start Date]]&gt;TODAY(),1,)</f>
        <v>1</v>
      </c>
      <c r="AI622" s="59">
        <f>IF(ISBLANK(Table2[[#This Row],[Primary Instructor]]),0,1)</f>
        <v>1</v>
      </c>
      <c r="AJ622" s="59">
        <f>IF(ISBLANK(Table2[[#This Row],[Instructor 2]]),0,1)</f>
        <v>0</v>
      </c>
      <c r="AK622" s="59">
        <f>AJ893</f>
        <v>0</v>
      </c>
      <c r="AL622" s="113">
        <v>24</v>
      </c>
      <c r="AM622" s="197"/>
      <c r="AN622" s="59" t="str">
        <f>VLOOKUP(Table2[[#This Row],[Course Title]],'TSD-Data'!$A$1:$G$83,7,FALSE)</f>
        <v>N5</v>
      </c>
      <c r="AO622" s="508">
        <f>Table2[[#This Row],[Quotas]]-Table2[[#This Row],[Graduates]]-Table2[[#This Row],[Fail]]</f>
        <v>25</v>
      </c>
    </row>
    <row r="623" spans="2:41" ht="15" customHeight="1" x14ac:dyDescent="0.25">
      <c r="B623" s="83"/>
      <c r="C623" s="83" t="s">
        <v>157</v>
      </c>
      <c r="D623" s="59" t="str">
        <f>VLOOKUP(Table2[[#This Row],[Course Title]],'TSD-Data'!$A$1:$E$83,2,FALSE)</f>
        <v>A-493-0021</v>
      </c>
      <c r="E623" s="59" t="str">
        <f>VLOOKUP(Table2[[#This Row],[Course Title]],'TSD-Data'!$A$1:$E$83,3,FALSE)</f>
        <v>18BN</v>
      </c>
      <c r="F623" s="442" t="s">
        <v>61</v>
      </c>
      <c r="G623" s="61">
        <v>46279</v>
      </c>
      <c r="H623" s="61">
        <v>46283</v>
      </c>
      <c r="I623" s="61" t="s">
        <v>42</v>
      </c>
      <c r="J623" s="64">
        <v>0.33333333333333331</v>
      </c>
      <c r="K623" s="64"/>
      <c r="L623" s="61"/>
      <c r="M623" s="61"/>
      <c r="N623" s="61"/>
      <c r="O623" s="61"/>
      <c r="P623" s="61"/>
      <c r="Q623" s="73" t="s">
        <v>280</v>
      </c>
      <c r="R623" s="73"/>
      <c r="S623" s="73"/>
      <c r="T623" s="59">
        <f>VLOOKUP(Table2[[#This Row],[Course Title]],'TSD-Data'!$A$1:$E$83,4,FALSE)</f>
        <v>35</v>
      </c>
      <c r="U623" s="59">
        <f>VLOOKUP(Table2[[#This Row],[Course Title]],'TSD-Data'!$A$1:$F$83,6,FALSE)</f>
        <v>30</v>
      </c>
      <c r="V623" s="63">
        <f>VLOOKUP(Table2[[#This Row],[Course Title]],'TSD-Data'!$A$1:$F$83,5,FALSE)</f>
        <v>5</v>
      </c>
      <c r="W623" s="63">
        <v>33</v>
      </c>
      <c r="X623" s="59">
        <f>Table2[[#This Row],[Quotas]]-Table2[[#This Row],[Open Quotas]]</f>
        <v>23</v>
      </c>
      <c r="Y623" s="59">
        <v>0</v>
      </c>
      <c r="Z623" s="63"/>
      <c r="AA623" s="63"/>
      <c r="AB623" s="59"/>
      <c r="AC623" s="59"/>
      <c r="AD623" s="59"/>
      <c r="AE623" s="59"/>
      <c r="AF623" s="149">
        <f ca="1">Table2[[#This Row],[End Date]]+2-TODAY()</f>
        <v>41</v>
      </c>
      <c r="AG623" s="151">
        <f>IF(ISBLANK(Table2[[#This Row],[Roster Received by]]),1,0)</f>
        <v>1</v>
      </c>
      <c r="AH623" s="151">
        <f ca="1">IF(Table2[[#This Row],[Start Date]]&gt;TODAY(),1,)</f>
        <v>1</v>
      </c>
      <c r="AI623" s="151">
        <f>IF(ISBLANK(Table2[[#This Row],[Primary Instructor]]),0,1)</f>
        <v>1</v>
      </c>
      <c r="AJ623" s="151">
        <f>IF(ISBLANK(Table2[[#This Row],[Instructor 2]]),0,1)</f>
        <v>0</v>
      </c>
      <c r="AK623" s="496">
        <f>Table2[[#This Row],[Course Length (Hours)]]/(Table2[[#This Row],[1 Instructor]]+Table2[[#This Row],[2 Instructors]])</f>
        <v>30</v>
      </c>
      <c r="AL623" s="113">
        <v>12</v>
      </c>
      <c r="AM623" s="498">
        <v>4</v>
      </c>
      <c r="AN623" s="151" t="str">
        <f>VLOOKUP(Table2[[#This Row],[Course Title]],'TSD-Data'!$A$1:$G$83,7,FALSE)</f>
        <v>N5</v>
      </c>
      <c r="AO623" s="502">
        <f>Table2[[#This Row],[Quotas]]-Table2[[#This Row],[Graduates]]-Table2[[#This Row],[Fail]]</f>
        <v>35</v>
      </c>
    </row>
    <row r="624" spans="2:41" ht="15" customHeight="1" x14ac:dyDescent="0.25">
      <c r="B624" s="83"/>
      <c r="C624" s="3" t="s">
        <v>49</v>
      </c>
      <c r="D624" s="59" t="str">
        <f>VLOOKUP(Table2[[#This Row],[Course Title]],'TSD-Data'!$A$1:$E$83,2,FALSE)</f>
        <v>A-493-0012</v>
      </c>
      <c r="E624" s="59">
        <f>VLOOKUP(Table2[[#This Row],[Course Title]],'TSD-Data'!$A$1:$E$83,3,FALSE)</f>
        <v>3682</v>
      </c>
      <c r="F624" s="442" t="s">
        <v>50</v>
      </c>
      <c r="G624" s="61">
        <v>46279</v>
      </c>
      <c r="H624" s="61">
        <v>46283</v>
      </c>
      <c r="I624" s="10" t="s">
        <v>42</v>
      </c>
      <c r="J624" s="64">
        <v>0.33333333333333331</v>
      </c>
      <c r="K624" s="64"/>
      <c r="L624" s="61"/>
      <c r="M624" s="61"/>
      <c r="N624" s="61"/>
      <c r="O624" s="61"/>
      <c r="P624" s="61"/>
      <c r="Q624" s="73" t="s">
        <v>439</v>
      </c>
      <c r="R624" s="73"/>
      <c r="S624" s="73"/>
      <c r="T624" s="59">
        <f>VLOOKUP(Table2[[#This Row],[Course Title]],'TSD-Data'!$A$1:$E$83,4,FALSE)</f>
        <v>40</v>
      </c>
      <c r="U624" s="59">
        <f>VLOOKUP(Table2[[#This Row],[Course Title]],'TSD-Data'!$A$1:$F$83,6,FALSE)</f>
        <v>40</v>
      </c>
      <c r="V624" s="63">
        <f>VLOOKUP(Table2[[#This Row],[Course Title]],'TSD-Data'!$A$1:$F$83,5,FALSE)</f>
        <v>5</v>
      </c>
      <c r="W624" s="63"/>
      <c r="X624" s="59">
        <f>Table2[[#This Row],[Quotas]]-Table2[[#This Row],[Open Quotas]]</f>
        <v>20</v>
      </c>
      <c r="Y624" s="59"/>
      <c r="Z624" s="63"/>
      <c r="AA624" s="63"/>
      <c r="AB624" s="59"/>
      <c r="AC624" s="59"/>
      <c r="AD624" s="59"/>
      <c r="AE624" s="59"/>
      <c r="AF624" s="63">
        <f ca="1">Table2[[#This Row],[End Date]]+2-TODAY()</f>
        <v>41</v>
      </c>
      <c r="AG624" s="59">
        <f>IF(ISBLANK(Table2[[#This Row],[Roster Received by]]),1,0)</f>
        <v>1</v>
      </c>
      <c r="AH624" s="59">
        <f ca="1">IF(Table2[[#This Row],[Start Date]]&gt;TODAY(),1,)</f>
        <v>1</v>
      </c>
      <c r="AI624" s="59">
        <f>IF(ISBLANK(Table2[[#This Row],[Primary Instructor]]),0,1)</f>
        <v>1</v>
      </c>
      <c r="AJ624" s="59">
        <f>IF(ISBLANK(Table2[[#This Row],[Instructor 2]]),0,1)</f>
        <v>0</v>
      </c>
      <c r="AK624" s="59">
        <f>AJ979</f>
        <v>0</v>
      </c>
      <c r="AL624" s="113">
        <v>20</v>
      </c>
      <c r="AM624" s="59"/>
      <c r="AN624" s="59" t="str">
        <f>VLOOKUP(Table2[[#This Row],[Course Title]],'TSD-Data'!$A$1:$G$83,7,FALSE)</f>
        <v>N4</v>
      </c>
      <c r="AO624" s="508">
        <f>Table2[[#This Row],[Quotas]]-Table2[[#This Row],[Graduates]]-Table2[[#This Row],[Fail]]</f>
        <v>40</v>
      </c>
    </row>
    <row r="625" spans="2:41" ht="15" customHeight="1" x14ac:dyDescent="0.25">
      <c r="B625" s="83"/>
      <c r="C625" s="83" t="s">
        <v>56</v>
      </c>
      <c r="D625" s="59" t="str">
        <f>VLOOKUP(Table2[[#This Row],[Course Title]],'TSD-Data'!$A$1:$E$83,2,FALSE)</f>
        <v>A-493-0550</v>
      </c>
      <c r="E625" s="59" t="str">
        <f>VLOOKUP(Table2[[#This Row],[Course Title]],'TSD-Data'!$A$1:$E$83,3,FALSE)</f>
        <v>09K5</v>
      </c>
      <c r="F625" s="442" t="s">
        <v>54</v>
      </c>
      <c r="G625" s="61">
        <v>46279</v>
      </c>
      <c r="H625" s="61">
        <v>46282</v>
      </c>
      <c r="I625" s="61" t="s">
        <v>42</v>
      </c>
      <c r="J625" s="64"/>
      <c r="K625" s="64">
        <v>0.5</v>
      </c>
      <c r="L625" s="570">
        <v>0.375</v>
      </c>
      <c r="M625" s="570">
        <v>0.79166666666666663</v>
      </c>
      <c r="N625" s="570">
        <v>0.75</v>
      </c>
      <c r="O625" s="570">
        <v>0.25</v>
      </c>
      <c r="P625" s="570">
        <v>4.1666666666666664E-2</v>
      </c>
      <c r="Q625" s="73" t="s">
        <v>148</v>
      </c>
      <c r="R625" s="73"/>
      <c r="S625" s="73"/>
      <c r="T625" s="59">
        <f>VLOOKUP(Table2[[#This Row],[Course Title]],'TSD-Data'!$A$1:$E$83,4,FALSE)</f>
        <v>45</v>
      </c>
      <c r="U625" s="59">
        <f>VLOOKUP(Table2[[#This Row],[Course Title]],'TSD-Data'!$A$1:$F$83,6,FALSE)</f>
        <v>32</v>
      </c>
      <c r="V625" s="63">
        <f>VLOOKUP(Table2[[#This Row],[Course Title]],'TSD-Data'!$A$1:$F$83,5,FALSE)</f>
        <v>4</v>
      </c>
      <c r="W625" s="63">
        <v>864</v>
      </c>
      <c r="X625" s="59">
        <f>Table2[[#This Row],[Quotas]]-Table2[[#This Row],[Open Quotas]]</f>
        <v>28</v>
      </c>
      <c r="Y625" s="59">
        <v>0</v>
      </c>
      <c r="Z625" s="63"/>
      <c r="AA625" s="63"/>
      <c r="AB625" s="59"/>
      <c r="AC625" s="59"/>
      <c r="AD625" s="59"/>
      <c r="AE625" s="59"/>
      <c r="AF625" s="149">
        <f ca="1">Table2[[#This Row],[End Date]]+2-TODAY()</f>
        <v>40</v>
      </c>
      <c r="AG625" s="151">
        <f>IF(ISBLANK(Table2[[#This Row],[Roster Received by]]),1,0)</f>
        <v>1</v>
      </c>
      <c r="AH625" s="151">
        <f ca="1">IF(Table2[[#This Row],[Start Date]]&gt;TODAY(),1,)</f>
        <v>1</v>
      </c>
      <c r="AI625" s="151">
        <f>IF(ISBLANK(Table2[[#This Row],[Primary Instructor]]),0,1)</f>
        <v>1</v>
      </c>
      <c r="AJ625" s="151">
        <f>IF(ISBLANK(Table2[[#This Row],[Instructor 2]]),0,1)</f>
        <v>0</v>
      </c>
      <c r="AK625" s="496">
        <f>Table2[[#This Row],[Course Length (Hours)]]/(Table2[[#This Row],[1 Instructor]]+Table2[[#This Row],[2 Instructors]])</f>
        <v>32</v>
      </c>
      <c r="AL625" s="113">
        <v>17</v>
      </c>
      <c r="AM625" s="498">
        <v>4</v>
      </c>
      <c r="AN625" s="151" t="str">
        <f>VLOOKUP(Table2[[#This Row],[Course Title]],'TSD-Data'!$A$1:$G$83,7,FALSE)</f>
        <v>N5</v>
      </c>
      <c r="AO625" s="502">
        <f>Table2[[#This Row],[Quotas]]-Table2[[#This Row],[Graduates]]-Table2[[#This Row],[Fail]]</f>
        <v>45</v>
      </c>
    </row>
    <row r="626" spans="2:41" ht="15" customHeight="1" x14ac:dyDescent="0.25">
      <c r="B626" s="83"/>
      <c r="C626" s="83" t="s">
        <v>229</v>
      </c>
      <c r="D626" s="59" t="str">
        <f>VLOOKUP(Table2[[#This Row],[Course Title]],'TSD-Data'!$A$1:$E$83,2,FALSE)</f>
        <v>A-570-0100</v>
      </c>
      <c r="E626" s="59" t="str">
        <f>VLOOKUP(Table2[[#This Row],[Course Title]],'TSD-Data'!$A$1:$E$83,3,FALSE)</f>
        <v>18B7</v>
      </c>
      <c r="F626" s="442" t="s">
        <v>54</v>
      </c>
      <c r="G626" s="61">
        <v>46279</v>
      </c>
      <c r="H626" s="61">
        <v>46280</v>
      </c>
      <c r="I626" s="61" t="s">
        <v>42</v>
      </c>
      <c r="J626" s="64"/>
      <c r="K626" s="64">
        <v>0.5</v>
      </c>
      <c r="L626" s="570">
        <v>0.375</v>
      </c>
      <c r="M626" s="570">
        <v>0.79166666666666663</v>
      </c>
      <c r="N626" s="570">
        <v>0.75</v>
      </c>
      <c r="O626" s="570">
        <v>0.25</v>
      </c>
      <c r="P626" s="570">
        <v>4.1666666666666664E-2</v>
      </c>
      <c r="Q626" s="73" t="s">
        <v>432</v>
      </c>
      <c r="R626" s="73"/>
      <c r="S626" s="73"/>
      <c r="T626" s="59">
        <f>VLOOKUP(Table2[[#This Row],[Course Title]],'TSD-Data'!$A$1:$E$83,4,FALSE)</f>
        <v>45</v>
      </c>
      <c r="U626" s="59">
        <f>VLOOKUP(Table2[[#This Row],[Course Title]],'TSD-Data'!$A$1:$F$83,6,FALSE)</f>
        <v>16</v>
      </c>
      <c r="V626" s="63">
        <f>VLOOKUP(Table2[[#This Row],[Course Title]],'TSD-Data'!$A$1:$F$83,5,FALSE)</f>
        <v>2</v>
      </c>
      <c r="W626" s="63">
        <v>663</v>
      </c>
      <c r="X626" s="59">
        <f>Table2[[#This Row],[Quotas]]-Table2[[#This Row],[Open Quotas]]</f>
        <v>10</v>
      </c>
      <c r="Y626" s="59">
        <v>0</v>
      </c>
      <c r="Z626" s="63"/>
      <c r="AA626" s="63"/>
      <c r="AB626" s="59"/>
      <c r="AC626" s="59"/>
      <c r="AD626" s="59"/>
      <c r="AE626" s="59"/>
      <c r="AF626" s="149">
        <f ca="1">Table2[[#This Row],[End Date]]+2-TODAY()</f>
        <v>38</v>
      </c>
      <c r="AG626" s="151">
        <f>IF(ISBLANK(Table2[[#This Row],[Roster Received by]]),1,0)</f>
        <v>1</v>
      </c>
      <c r="AH626" s="151">
        <f ca="1">IF(Table2[[#This Row],[Start Date]]&gt;TODAY(),1,)</f>
        <v>1</v>
      </c>
      <c r="AI626" s="151">
        <f>IF(ISBLANK(Table2[[#This Row],[Primary Instructor]]),0,1)</f>
        <v>1</v>
      </c>
      <c r="AJ626" s="151">
        <f>IF(ISBLANK(Table2[[#This Row],[Instructor 2]]),0,1)</f>
        <v>0</v>
      </c>
      <c r="AK626" s="496">
        <f>Table2[[#This Row],[Course Length (Hours)]]/(Table2[[#This Row],[1 Instructor]]+Table2[[#This Row],[2 Instructors]])</f>
        <v>16</v>
      </c>
      <c r="AL626" s="113">
        <v>35</v>
      </c>
      <c r="AM626" s="498">
        <v>4</v>
      </c>
      <c r="AN626" s="151" t="str">
        <f>VLOOKUP(Table2[[#This Row],[Course Title]],'TSD-Data'!$A$1:$G$83,7,FALSE)</f>
        <v>N8</v>
      </c>
      <c r="AO626" s="502">
        <f>Table2[[#This Row],[Quotas]]-Table2[[#This Row],[Graduates]]-Table2[[#This Row],[Fail]]</f>
        <v>45</v>
      </c>
    </row>
    <row r="627" spans="2:41" ht="15" customHeight="1" x14ac:dyDescent="0.25">
      <c r="B627" s="83" t="s">
        <v>80</v>
      </c>
      <c r="C627" s="83" t="s">
        <v>77</v>
      </c>
      <c r="D627" s="59" t="str">
        <f>VLOOKUP(Table2[[#This Row],[Course Title]],'TSD-Data'!$A$1:$E$83,2,FALSE)</f>
        <v>A-493-0072</v>
      </c>
      <c r="E627" s="59" t="str">
        <f>VLOOKUP(Table2[[#This Row],[Course Title]],'TSD-Data'!$A$1:$E$83,3,FALSE)</f>
        <v>713U</v>
      </c>
      <c r="F627" s="442" t="s">
        <v>90</v>
      </c>
      <c r="G627" s="61">
        <v>46279</v>
      </c>
      <c r="H627" s="61">
        <v>46283</v>
      </c>
      <c r="I627" s="61" t="s">
        <v>42</v>
      </c>
      <c r="J627" s="64">
        <v>0.33333333333333331</v>
      </c>
      <c r="K627" s="64"/>
      <c r="L627" s="61"/>
      <c r="M627" s="61"/>
      <c r="N627" s="61"/>
      <c r="O627" s="61"/>
      <c r="P627" s="61"/>
      <c r="Q627" s="73" t="s">
        <v>62</v>
      </c>
      <c r="R627" s="73"/>
      <c r="S627" s="73" t="s">
        <v>79</v>
      </c>
      <c r="T627" s="59">
        <f>VLOOKUP(Table2[[#This Row],[Course Title]],'TSD-Data'!$A$1:$E$83,4,FALSE)</f>
        <v>30</v>
      </c>
      <c r="U627" s="59">
        <f>VLOOKUP(Table2[[#This Row],[Course Title]],'TSD-Data'!$A$1:$F$83,6,FALSE)</f>
        <v>40</v>
      </c>
      <c r="V627" s="63">
        <f>VLOOKUP(Table2[[#This Row],[Course Title]],'TSD-Data'!$A$1:$F$83,5,FALSE)</f>
        <v>5</v>
      </c>
      <c r="W627" s="63">
        <v>33</v>
      </c>
      <c r="X627" s="59">
        <f>Table2[[#This Row],[Quotas]]-Table2[[#This Row],[Open Quotas]]</f>
        <v>30</v>
      </c>
      <c r="Y627" s="59"/>
      <c r="Z627" s="63"/>
      <c r="AA627" s="63"/>
      <c r="AB627" s="59"/>
      <c r="AC627" s="59"/>
      <c r="AD627" s="59"/>
      <c r="AE627" s="59"/>
      <c r="AF627" s="149">
        <f ca="1">Table2[[#This Row],[End Date]]+2-TODAY()</f>
        <v>41</v>
      </c>
      <c r="AG627" s="151">
        <f>IF(ISBLANK(Table2[[#This Row],[Roster Received by]]),1,0)</f>
        <v>1</v>
      </c>
      <c r="AH627" s="151">
        <f ca="1">IF(Table2[[#This Row],[Start Date]]&gt;TODAY(),1,)</f>
        <v>1</v>
      </c>
      <c r="AI627" s="151">
        <f>IF(ISBLANK(Table2[[#This Row],[Primary Instructor]]),0,1)</f>
        <v>1</v>
      </c>
      <c r="AJ627" s="151">
        <f>IF(ISBLANK(Table2[[#This Row],[Instructor 2]]),0,1)</f>
        <v>0</v>
      </c>
      <c r="AK627" s="496">
        <f>Table2[[#This Row],[Course Length (Hours)]]/(Table2[[#This Row],[1 Instructor]]+Table2[[#This Row],[2 Instructors]])</f>
        <v>40</v>
      </c>
      <c r="AL627" s="113"/>
      <c r="AM627" s="498">
        <v>4</v>
      </c>
      <c r="AN627" s="151" t="str">
        <f>VLOOKUP(Table2[[#This Row],[Course Title]],'TSD-Data'!$A$1:$G$83,7,FALSE)</f>
        <v>N3</v>
      </c>
      <c r="AO627" s="502">
        <f>Table2[[#This Row],[Quotas]]-Table2[[#This Row],[Graduates]]-Table2[[#This Row],[Fail]]</f>
        <v>30</v>
      </c>
    </row>
    <row r="628" spans="2:41" ht="15" customHeight="1" x14ac:dyDescent="0.25">
      <c r="B628" s="83"/>
      <c r="C628" s="83" t="s">
        <v>77</v>
      </c>
      <c r="D628" s="59" t="str">
        <f>VLOOKUP(Table2[[#This Row],[Course Title]],'TSD-Data'!$A$1:$E$83,2,FALSE)</f>
        <v>A-493-0072</v>
      </c>
      <c r="E628" s="59" t="str">
        <f>VLOOKUP(Table2[[#This Row],[Course Title]],'TSD-Data'!$A$1:$E$83,3,FALSE)</f>
        <v>713U</v>
      </c>
      <c r="F628" s="442" t="s">
        <v>81</v>
      </c>
      <c r="G628" s="61">
        <v>46279</v>
      </c>
      <c r="H628" s="61">
        <v>46283</v>
      </c>
      <c r="I628" s="61" t="s">
        <v>42</v>
      </c>
      <c r="J628" s="64">
        <v>0.33333333333333331</v>
      </c>
      <c r="K628" s="64"/>
      <c r="L628" s="61"/>
      <c r="M628" s="61"/>
      <c r="N628" s="61"/>
      <c r="O628" s="61"/>
      <c r="P628" s="61"/>
      <c r="Q628" s="73" t="s">
        <v>82</v>
      </c>
      <c r="R628" s="73" t="s">
        <v>55</v>
      </c>
      <c r="S628" s="73"/>
      <c r="T628" s="59">
        <f>VLOOKUP(Table2[[#This Row],[Course Title]],'TSD-Data'!$A$1:$E$83,4,FALSE)</f>
        <v>30</v>
      </c>
      <c r="U628" s="59">
        <f>VLOOKUP(Table2[[#This Row],[Course Title]],'TSD-Data'!$A$1:$F$83,6,FALSE)</f>
        <v>40</v>
      </c>
      <c r="V628" s="63">
        <f>VLOOKUP(Table2[[#This Row],[Course Title]],'TSD-Data'!$A$1:$F$83,5,FALSE)</f>
        <v>5</v>
      </c>
      <c r="W628" s="63">
        <v>99</v>
      </c>
      <c r="X628" s="59">
        <f>Table2[[#This Row],[Quotas]]-Table2[[#This Row],[Open Quotas]]</f>
        <v>11</v>
      </c>
      <c r="Y628" s="59">
        <v>0</v>
      </c>
      <c r="Z628" s="63"/>
      <c r="AA628" s="63"/>
      <c r="AB628" s="59"/>
      <c r="AC628" s="59"/>
      <c r="AD628" s="59"/>
      <c r="AE628" s="59"/>
      <c r="AF628" s="149">
        <f ca="1">Table2[[#This Row],[End Date]]+2-TODAY()</f>
        <v>41</v>
      </c>
      <c r="AG628" s="151">
        <f>IF(ISBLANK(Table2[[#This Row],[Roster Received by]]),1,0)</f>
        <v>1</v>
      </c>
      <c r="AH628" s="151">
        <f ca="1">IF(Table2[[#This Row],[Start Date]]&gt;TODAY(),1,)</f>
        <v>1</v>
      </c>
      <c r="AI628" s="151">
        <f>IF(ISBLANK(Table2[[#This Row],[Primary Instructor]]),0,1)</f>
        <v>1</v>
      </c>
      <c r="AJ628" s="151">
        <f>IF(ISBLANK(Table2[[#This Row],[Instructor 2]]),0,1)</f>
        <v>1</v>
      </c>
      <c r="AK628" s="496">
        <f>Table2[[#This Row],[Course Length (Hours)]]/(Table2[[#This Row],[1 Instructor]]+Table2[[#This Row],[2 Instructors]])</f>
        <v>20</v>
      </c>
      <c r="AL628" s="113">
        <v>19</v>
      </c>
      <c r="AM628" s="498">
        <v>4</v>
      </c>
      <c r="AN628" s="151" t="str">
        <f>VLOOKUP(Table2[[#This Row],[Course Title]],'TSD-Data'!$A$1:$G$83,7,FALSE)</f>
        <v>N3</v>
      </c>
      <c r="AO628" s="502">
        <f>Table2[[#This Row],[Quotas]]-Table2[[#This Row],[Graduates]]-Table2[[#This Row],[Fail]]</f>
        <v>30</v>
      </c>
    </row>
    <row r="629" spans="2:41" ht="15" customHeight="1" x14ac:dyDescent="0.25">
      <c r="B629" s="83"/>
      <c r="C629" s="83" t="s">
        <v>77</v>
      </c>
      <c r="D629" s="59" t="str">
        <f>VLOOKUP(Table2[[#This Row],[Course Title]],'TSD-Data'!$A$1:$E$83,2,FALSE)</f>
        <v>A-493-0072</v>
      </c>
      <c r="E629" s="59" t="str">
        <f>VLOOKUP(Table2[[#This Row],[Course Title]],'TSD-Data'!$A$1:$E$83,3,FALSE)</f>
        <v>713U</v>
      </c>
      <c r="F629" s="442" t="s">
        <v>122</v>
      </c>
      <c r="G629" s="61">
        <v>46279</v>
      </c>
      <c r="H629" s="61">
        <v>46283</v>
      </c>
      <c r="I629" s="61" t="s">
        <v>42</v>
      </c>
      <c r="J629" s="64">
        <v>0.33333333333333331</v>
      </c>
      <c r="K629" s="64"/>
      <c r="L629" s="61"/>
      <c r="M629" s="61"/>
      <c r="N629" s="61"/>
      <c r="O629" s="61"/>
      <c r="P629" s="61"/>
      <c r="Q629" s="73" t="s">
        <v>67</v>
      </c>
      <c r="R629" s="73"/>
      <c r="S629" s="73" t="s">
        <v>79</v>
      </c>
      <c r="T629" s="59">
        <f>VLOOKUP(Table2[[#This Row],[Course Title]],'TSD-Data'!$A$1:$E$83,4,FALSE)</f>
        <v>30</v>
      </c>
      <c r="U629" s="59">
        <f>VLOOKUP(Table2[[#This Row],[Course Title]],'TSD-Data'!$A$1:$F$83,6,FALSE)</f>
        <v>40</v>
      </c>
      <c r="V629" s="63">
        <f>VLOOKUP(Table2[[#This Row],[Course Title]],'TSD-Data'!$A$1:$F$83,5,FALSE)</f>
        <v>5</v>
      </c>
      <c r="W629" s="63">
        <v>69</v>
      </c>
      <c r="X629" s="59">
        <f>Table2[[#This Row],[Quotas]]-Table2[[#This Row],[Open Quotas]]</f>
        <v>27</v>
      </c>
      <c r="Y629" s="59">
        <v>0</v>
      </c>
      <c r="Z629" s="63"/>
      <c r="AA629" s="63"/>
      <c r="AB629" s="59"/>
      <c r="AC629" s="59"/>
      <c r="AD629" s="59"/>
      <c r="AE629" s="59"/>
      <c r="AF629" s="149">
        <f ca="1">Table2[[#This Row],[End Date]]+2-TODAY()</f>
        <v>41</v>
      </c>
      <c r="AG629" s="151">
        <f>IF(ISBLANK(Table2[[#This Row],[Roster Received by]]),1,0)</f>
        <v>1</v>
      </c>
      <c r="AH629" s="151">
        <f ca="1">IF(Table2[[#This Row],[Start Date]]&gt;TODAY(),1,)</f>
        <v>1</v>
      </c>
      <c r="AI629" s="151">
        <f>IF(ISBLANK(Table2[[#This Row],[Primary Instructor]]),0,1)</f>
        <v>1</v>
      </c>
      <c r="AJ629" s="151">
        <f>IF(ISBLANK(Table2[[#This Row],[Instructor 2]]),0,1)</f>
        <v>0</v>
      </c>
      <c r="AK629" s="496">
        <f>Table2[[#This Row],[Course Length (Hours)]]/(Table2[[#This Row],[1 Instructor]]+Table2[[#This Row],[2 Instructors]])</f>
        <v>40</v>
      </c>
      <c r="AL629" s="113">
        <v>3</v>
      </c>
      <c r="AM629" s="498">
        <v>4</v>
      </c>
      <c r="AN629" s="151" t="str">
        <f>VLOOKUP(Table2[[#This Row],[Course Title]],'TSD-Data'!$A$1:$G$83,7,FALSE)</f>
        <v>N3</v>
      </c>
      <c r="AO629" s="502">
        <f>Table2[[#This Row],[Quotas]]-Table2[[#This Row],[Graduates]]-Table2[[#This Row],[Fail]]</f>
        <v>30</v>
      </c>
    </row>
    <row r="630" spans="2:41" ht="15" customHeight="1" x14ac:dyDescent="0.25">
      <c r="B630" s="83"/>
      <c r="C630" s="83" t="s">
        <v>236</v>
      </c>
      <c r="D630" s="59" t="str">
        <f>VLOOKUP(Table2[[#This Row],[Course Title]],'TSD-Data'!$A$1:$E$83,2,FALSE)</f>
        <v>A-493-2098</v>
      </c>
      <c r="E630" s="59" t="str">
        <f>VLOOKUP(Table2[[#This Row],[Course Title]],'TSD-Data'!$A$1:$E$83,3,FALSE)</f>
        <v>09WW</v>
      </c>
      <c r="F630" s="442" t="s">
        <v>54</v>
      </c>
      <c r="G630" s="61">
        <v>46279</v>
      </c>
      <c r="H630" s="61">
        <v>46281</v>
      </c>
      <c r="I630" s="61" t="s">
        <v>42</v>
      </c>
      <c r="J630" s="64"/>
      <c r="K630" s="64">
        <v>0.79166666666666663</v>
      </c>
      <c r="L630" s="570">
        <v>0.66666666666666663</v>
      </c>
      <c r="M630" s="570">
        <v>8.3333333333333329E-2</v>
      </c>
      <c r="N630" s="570">
        <v>0</v>
      </c>
      <c r="O630" s="570">
        <v>0.54166666666666663</v>
      </c>
      <c r="P630" s="570">
        <v>0.33333333333333331</v>
      </c>
      <c r="Q630" s="73" t="s">
        <v>43</v>
      </c>
      <c r="R630" s="73"/>
      <c r="S630" s="73"/>
      <c r="T630" s="59">
        <f>VLOOKUP(Table2[[#This Row],[Course Title]],'TSD-Data'!$A$1:$E$83,4,FALSE)</f>
        <v>100</v>
      </c>
      <c r="U630" s="59">
        <f>VLOOKUP(Table2[[#This Row],[Course Title]],'TSD-Data'!$A$1:$F$83,6,FALSE)</f>
        <v>16</v>
      </c>
      <c r="V630" s="63">
        <f>VLOOKUP(Table2[[#This Row],[Course Title]],'TSD-Data'!$A$1:$F$83,5,FALSE)</f>
        <v>3</v>
      </c>
      <c r="W630" s="63">
        <v>356</v>
      </c>
      <c r="X630" s="59">
        <f>Table2[[#This Row],[Quotas]]-Table2[[#This Row],[Open Quotas]]</f>
        <v>100</v>
      </c>
      <c r="Y630" s="59"/>
      <c r="Z630" s="63"/>
      <c r="AA630" s="63"/>
      <c r="AB630" s="59"/>
      <c r="AC630" s="59"/>
      <c r="AD630" s="59"/>
      <c r="AE630" s="59"/>
      <c r="AF630" s="149">
        <f ca="1">Table2[[#This Row],[End Date]]+2-TODAY()</f>
        <v>39</v>
      </c>
      <c r="AG630" s="151">
        <f>IF(ISBLANK(Table2[[#This Row],[Roster Received by]]),1,0)</f>
        <v>1</v>
      </c>
      <c r="AH630" s="151">
        <f ca="1">IF(Table2[[#This Row],[Start Date]]&gt;TODAY(),1,)</f>
        <v>1</v>
      </c>
      <c r="AI630" s="151">
        <f>IF(ISBLANK(Table2[[#This Row],[Primary Instructor]]),0,1)</f>
        <v>1</v>
      </c>
      <c r="AJ630" s="151">
        <f>IF(ISBLANK(Table2[[#This Row],[Instructor 2]]),0,1)</f>
        <v>0</v>
      </c>
      <c r="AK630" s="496">
        <f>Table2[[#This Row],[Course Length (Hours)]]/(Table2[[#This Row],[1 Instructor]]+Table2[[#This Row],[2 Instructors]])</f>
        <v>16</v>
      </c>
      <c r="AL630" s="113">
        <v>0</v>
      </c>
      <c r="AM630" s="498">
        <v>4</v>
      </c>
      <c r="AN630" s="151" t="str">
        <f>VLOOKUP(Table2[[#This Row],[Course Title]],'TSD-Data'!$A$1:$G$83,7,FALSE)</f>
        <v>N8</v>
      </c>
      <c r="AO630" s="502">
        <f>Table2[[#This Row],[Quotas]]-Table2[[#This Row],[Graduates]]-Table2[[#This Row],[Fail]]</f>
        <v>100</v>
      </c>
    </row>
    <row r="631" spans="2:41" ht="15" customHeight="1" x14ac:dyDescent="0.25">
      <c r="B631" s="83"/>
      <c r="C631" s="83" t="s">
        <v>239</v>
      </c>
      <c r="D631" s="59" t="str">
        <f>VLOOKUP(Table2[[#This Row],[Course Title]],'TSD-Data'!$A$1:$E$83,2,FALSE)</f>
        <v>F-4J-0023</v>
      </c>
      <c r="E631" s="59" t="str">
        <f>VLOOKUP(Table2[[#This Row],[Course Title]],'TSD-Data'!$A$1:$E$83,3,FALSE)</f>
        <v>11A2</v>
      </c>
      <c r="F631" s="442" t="s">
        <v>54</v>
      </c>
      <c r="G631" s="61">
        <v>46279</v>
      </c>
      <c r="H631" s="61">
        <v>46280</v>
      </c>
      <c r="I631" s="61" t="s">
        <v>42</v>
      </c>
      <c r="J631" s="64"/>
      <c r="K631" s="64">
        <v>0.33333333333333331</v>
      </c>
      <c r="L631" s="64">
        <v>0.20833333333333334</v>
      </c>
      <c r="M631" s="64">
        <v>0.625</v>
      </c>
      <c r="N631" s="64">
        <v>0.54166666666666663</v>
      </c>
      <c r="O631" s="64">
        <v>8.3333333333333329E-2</v>
      </c>
      <c r="P631" s="64">
        <v>0.875</v>
      </c>
      <c r="Q631" s="73" t="s">
        <v>462</v>
      </c>
      <c r="R631" s="73"/>
      <c r="S631" s="73"/>
      <c r="T631" s="59">
        <f>VLOOKUP(Table2[[#This Row],[Course Title]],'TSD-Data'!$A$1:$E$83,4,FALSE)</f>
        <v>45</v>
      </c>
      <c r="U631" s="59">
        <f>VLOOKUP(Table2[[#This Row],[Course Title]],'TSD-Data'!$A$1:$F$83,6,FALSE)</f>
        <v>16</v>
      </c>
      <c r="V631" s="63">
        <f>VLOOKUP(Table2[[#This Row],[Course Title]],'TSD-Data'!$A$1:$F$83,5,FALSE)</f>
        <v>2</v>
      </c>
      <c r="W631" s="63">
        <v>28</v>
      </c>
      <c r="X631" s="59">
        <f>Table2[[#This Row],[Quotas]]-Table2[[#This Row],[Open Quotas]]</f>
        <v>12</v>
      </c>
      <c r="Y631" s="59">
        <v>0</v>
      </c>
      <c r="Z631" s="63"/>
      <c r="AA631" s="63"/>
      <c r="AB631" s="59"/>
      <c r="AC631" s="59"/>
      <c r="AD631" s="59"/>
      <c r="AE631" s="59"/>
      <c r="AF631" s="149">
        <f ca="1">Table2[[#This Row],[End Date]]+2-TODAY()</f>
        <v>38</v>
      </c>
      <c r="AG631" s="151">
        <f>IF(ISBLANK(Table2[[#This Row],[Roster Received by]]),1,0)</f>
        <v>1</v>
      </c>
      <c r="AH631" s="151">
        <f ca="1">IF(Table2[[#This Row],[Start Date]]&gt;TODAY(),1,)</f>
        <v>1</v>
      </c>
      <c r="AI631" s="151">
        <f>IF(ISBLANK(Table2[[#This Row],[Primary Instructor]]),0,1)</f>
        <v>1</v>
      </c>
      <c r="AJ631" s="151">
        <f>IF(ISBLANK(Table2[[#This Row],[Instructor 2]]),0,1)</f>
        <v>0</v>
      </c>
      <c r="AK631" s="496">
        <f>Table2[[#This Row],[Course Length (Hours)]]/(Table2[[#This Row],[1 Instructor]]+Table2[[#This Row],[2 Instructors]])</f>
        <v>16</v>
      </c>
      <c r="AL631" s="113">
        <v>33</v>
      </c>
      <c r="AM631" s="498">
        <v>4</v>
      </c>
      <c r="AN631" s="151" t="str">
        <f>VLOOKUP(Table2[[#This Row],[Course Title]],'TSD-Data'!$A$1:$G$83,7,FALSE)</f>
        <v>N8</v>
      </c>
      <c r="AO631" s="502">
        <f>Table2[[#This Row],[Quotas]]-Table2[[#This Row],[Graduates]]-Table2[[#This Row],[Fail]]</f>
        <v>45</v>
      </c>
    </row>
    <row r="632" spans="2:41" ht="15" customHeight="1" x14ac:dyDescent="0.25">
      <c r="B632" s="83"/>
      <c r="C632" s="83" t="s">
        <v>275</v>
      </c>
      <c r="D632" s="59" t="str">
        <f>VLOOKUP(Table2[[#This Row],[Course Title]],'TSD-Data'!$A$1:$E$83,2,FALSE)</f>
        <v>A-493-0099</v>
      </c>
      <c r="E632" s="59" t="str">
        <f>VLOOKUP(Table2[[#This Row],[Course Title]],'TSD-Data'!$A$1:$E$83,3,FALSE)</f>
        <v>12JW</v>
      </c>
      <c r="F632" s="442" t="s">
        <v>54</v>
      </c>
      <c r="G632" s="61">
        <v>46280</v>
      </c>
      <c r="H632" s="61">
        <v>46282</v>
      </c>
      <c r="I632" s="61" t="s">
        <v>42</v>
      </c>
      <c r="J632" s="64"/>
      <c r="K632" s="64">
        <v>0.33333333333333331</v>
      </c>
      <c r="L632" s="64">
        <v>0.20833333333333334</v>
      </c>
      <c r="M632" s="64">
        <v>0.625</v>
      </c>
      <c r="N632" s="64">
        <v>0.54166666666666663</v>
      </c>
      <c r="O632" s="64">
        <v>8.3333333333333329E-2</v>
      </c>
      <c r="P632" s="64">
        <v>0.875</v>
      </c>
      <c r="Q632" s="73" t="s">
        <v>274</v>
      </c>
      <c r="R632" s="73"/>
      <c r="S632" s="73"/>
      <c r="T632" s="59">
        <f>VLOOKUP(Table2[[#This Row],[Course Title]],'TSD-Data'!$A$1:$E$83,4,FALSE)</f>
        <v>45</v>
      </c>
      <c r="U632" s="59">
        <f>VLOOKUP(Table2[[#This Row],[Course Title]],'TSD-Data'!$A$1:$F$83,6,FALSE)</f>
        <v>24</v>
      </c>
      <c r="V632" s="63">
        <f>VLOOKUP(Table2[[#This Row],[Course Title]],'TSD-Data'!$A$1:$F$83,5,FALSE)</f>
        <v>3</v>
      </c>
      <c r="W632" s="63">
        <v>334</v>
      </c>
      <c r="X632" s="59">
        <f>Table2[[#This Row],[Quotas]]-Table2[[#This Row],[Open Quotas]]</f>
        <v>7</v>
      </c>
      <c r="Y632" s="59">
        <v>0</v>
      </c>
      <c r="Z632" s="63"/>
      <c r="AA632" s="63"/>
      <c r="AB632" s="59"/>
      <c r="AC632" s="59"/>
      <c r="AD632" s="59"/>
      <c r="AE632" s="59"/>
      <c r="AF632" s="149">
        <f ca="1">Table2[[#This Row],[End Date]]+2-TODAY()</f>
        <v>40</v>
      </c>
      <c r="AG632" s="151">
        <f>IF(ISBLANK(Table2[[#This Row],[Roster Received by]]),1,0)</f>
        <v>1</v>
      </c>
      <c r="AH632" s="151">
        <f ca="1">IF(Table2[[#This Row],[Start Date]]&gt;TODAY(),1,)</f>
        <v>1</v>
      </c>
      <c r="AI632" s="151">
        <f>IF(ISBLANK(Table2[[#This Row],[Primary Instructor]]),0,1)</f>
        <v>1</v>
      </c>
      <c r="AJ632" s="151">
        <f>IF(ISBLANK(Table2[[#This Row],[Instructor 2]]),0,1)</f>
        <v>0</v>
      </c>
      <c r="AK632" s="496">
        <f>Table2[[#This Row],[Course Length (Hours)]]/(Table2[[#This Row],[1 Instructor]]+Table2[[#This Row],[2 Instructors]])</f>
        <v>24</v>
      </c>
      <c r="AL632" s="113">
        <v>38</v>
      </c>
      <c r="AM632" s="498">
        <v>4</v>
      </c>
      <c r="AN632" s="151" t="str">
        <f>VLOOKUP(Table2[[#This Row],[Course Title]],'TSD-Data'!$A$1:$G$83,7,FALSE)</f>
        <v>N5</v>
      </c>
      <c r="AO632" s="502">
        <f>Table2[[#This Row],[Quotas]]-Table2[[#This Row],[Graduates]]-Table2[[#This Row],[Fail]]</f>
        <v>45</v>
      </c>
    </row>
    <row r="633" spans="2:41" ht="15" customHeight="1" x14ac:dyDescent="0.25">
      <c r="B633" s="83"/>
      <c r="C633" s="573" t="s">
        <v>249</v>
      </c>
      <c r="D633" s="59" t="str">
        <f>VLOOKUP(Table2[[#This Row],[Course Title]],'TSD-Data'!$A$1:$E$83,2,FALSE)</f>
        <v>A-493-0331</v>
      </c>
      <c r="E633" s="59" t="str">
        <f>VLOOKUP(Table2[[#This Row],[Course Title]],'TSD-Data'!$A$1:$E$83,3,FALSE)</f>
        <v>10UG</v>
      </c>
      <c r="F633" s="442" t="s">
        <v>54</v>
      </c>
      <c r="G633" s="61">
        <v>46280</v>
      </c>
      <c r="H633" s="61">
        <v>46282</v>
      </c>
      <c r="I633" s="61" t="s">
        <v>42</v>
      </c>
      <c r="J633" s="64"/>
      <c r="K633" s="64">
        <v>0.5</v>
      </c>
      <c r="L633" s="570">
        <v>0.375</v>
      </c>
      <c r="M633" s="570">
        <v>0.79166666666666663</v>
      </c>
      <c r="N633" s="570">
        <v>0.75</v>
      </c>
      <c r="O633" s="570">
        <v>0.25</v>
      </c>
      <c r="P633" s="570">
        <v>4.1666666666666664E-2</v>
      </c>
      <c r="Q633" s="73" t="s">
        <v>111</v>
      </c>
      <c r="R633" s="73"/>
      <c r="S633" s="73"/>
      <c r="T633" s="59">
        <f>VLOOKUP(Table2[[#This Row],[Course Title]],'TSD-Data'!$A$1:$E$83,4,FALSE)</f>
        <v>45</v>
      </c>
      <c r="U633" s="59">
        <f>VLOOKUP(Table2[[#This Row],[Course Title]],'TSD-Data'!$A$1:$F$83,6,FALSE)</f>
        <v>24</v>
      </c>
      <c r="V633" s="63">
        <f>VLOOKUP(Table2[[#This Row],[Course Title]],'TSD-Data'!$A$1:$F$83,5,FALSE)</f>
        <v>3</v>
      </c>
      <c r="W633" s="63">
        <v>844</v>
      </c>
      <c r="X633" s="59">
        <f>Table2[[#This Row],[Quotas]]-Table2[[#This Row],[Open Quotas]]</f>
        <v>15</v>
      </c>
      <c r="Y633" s="59">
        <v>0</v>
      </c>
      <c r="Z633" s="63"/>
      <c r="AA633" s="63"/>
      <c r="AB633" s="59"/>
      <c r="AC633" s="59"/>
      <c r="AD633" s="59"/>
      <c r="AE633" s="59"/>
      <c r="AF633" s="149">
        <f ca="1">Table2[[#This Row],[End Date]]+2-TODAY()</f>
        <v>40</v>
      </c>
      <c r="AG633" s="151">
        <f>IF(ISBLANK(Table2[[#This Row],[Roster Received by]]),1,0)</f>
        <v>1</v>
      </c>
      <c r="AH633" s="151">
        <f ca="1">IF(Table2[[#This Row],[Start Date]]&gt;TODAY(),1,)</f>
        <v>1</v>
      </c>
      <c r="AI633" s="151">
        <f>IF(ISBLANK(Table2[[#This Row],[Primary Instructor]]),0,1)</f>
        <v>1</v>
      </c>
      <c r="AJ633" s="151">
        <f>IF(ISBLANK(Table2[[#This Row],[Instructor 2]]),0,1)</f>
        <v>0</v>
      </c>
      <c r="AK633" s="496">
        <f>Table2[[#This Row],[Course Length (Hours)]]/(Table2[[#This Row],[1 Instructor]]+Table2[[#This Row],[2 Instructors]])</f>
        <v>24</v>
      </c>
      <c r="AL633" s="113">
        <v>30</v>
      </c>
      <c r="AM633" s="498">
        <v>4</v>
      </c>
      <c r="AN633" s="151" t="str">
        <f>VLOOKUP(Table2[[#This Row],[Course Title]],'TSD-Data'!$A$1:$G$83,7,FALSE)</f>
        <v>N3</v>
      </c>
      <c r="AO633" s="502">
        <f>Table2[[#This Row],[Quotas]]-Table2[[#This Row],[Graduates]]-Table2[[#This Row],[Fail]]</f>
        <v>45</v>
      </c>
    </row>
    <row r="634" spans="2:41" ht="15" customHeight="1" x14ac:dyDescent="0.25">
      <c r="B634" s="83"/>
      <c r="C634" s="83" t="s">
        <v>45</v>
      </c>
      <c r="D634" s="59" t="str">
        <f>VLOOKUP(Table2[[#This Row],[Course Title]],'TSD-Data'!$A$1:$E$83,2,FALSE)</f>
        <v>A-493-0013</v>
      </c>
      <c r="E634" s="59">
        <f>VLOOKUP(Table2[[#This Row],[Course Title]],'TSD-Data'!$A$1:$E$83,3,FALSE)</f>
        <v>3683</v>
      </c>
      <c r="F634" s="577" t="s">
        <v>116</v>
      </c>
      <c r="G634" s="61">
        <v>46280</v>
      </c>
      <c r="H634" s="61">
        <v>46282</v>
      </c>
      <c r="I634" s="61" t="s">
        <v>42</v>
      </c>
      <c r="J634" s="64">
        <v>0.33333333333333331</v>
      </c>
      <c r="K634" s="64"/>
      <c r="L634" s="61"/>
      <c r="M634" s="61"/>
      <c r="N634" s="61"/>
      <c r="O634" s="61"/>
      <c r="P634" s="61"/>
      <c r="Q634" s="73" t="s">
        <v>450</v>
      </c>
      <c r="R634" s="73"/>
      <c r="S634" s="73"/>
      <c r="T634" s="59">
        <f>VLOOKUP(Table2[[#This Row],[Course Title]],'TSD-Data'!$A$1:$E$83,4,FALSE)</f>
        <v>40</v>
      </c>
      <c r="U634" s="59">
        <f>VLOOKUP(Table2[[#This Row],[Course Title]],'TSD-Data'!$A$1:$F$83,6,FALSE)</f>
        <v>24</v>
      </c>
      <c r="V634" s="63">
        <f>VLOOKUP(Table2[[#This Row],[Course Title]],'TSD-Data'!$A$1:$F$83,5,FALSE)</f>
        <v>3</v>
      </c>
      <c r="W634" s="63"/>
      <c r="X634" s="59">
        <f>Table2[[#This Row],[Quotas]]-Table2[[#This Row],[Open Quotas]]</f>
        <v>0</v>
      </c>
      <c r="Y634" s="59"/>
      <c r="Z634" s="63"/>
      <c r="AA634" s="63"/>
      <c r="AB634" s="59"/>
      <c r="AC634" s="59"/>
      <c r="AD634" s="59"/>
      <c r="AE634" s="59"/>
      <c r="AF634" s="63">
        <f ca="1">Table2[[#This Row],[End Date]]+2-TODAY()</f>
        <v>40</v>
      </c>
      <c r="AG634" s="59">
        <f>IF(ISBLANK(Table2[[#This Row],[Roster Received by]]),1,0)</f>
        <v>1</v>
      </c>
      <c r="AH634" s="59">
        <f ca="1">IF(Table2[[#This Row],[Start Date]]&gt;TODAY(),1,)</f>
        <v>1</v>
      </c>
      <c r="AI634" s="59">
        <f>IF(ISBLANK(Table2[[#This Row],[Primary Instructor]]),0,1)</f>
        <v>1</v>
      </c>
      <c r="AJ634" s="59">
        <f>IF(ISBLANK(Table2[[#This Row],[Instructor 2]]),0,1)</f>
        <v>0</v>
      </c>
      <c r="AK634" s="59">
        <f>AJ990</f>
        <v>0</v>
      </c>
      <c r="AL634" s="113">
        <v>40</v>
      </c>
      <c r="AM634" s="197"/>
      <c r="AN634" s="59" t="str">
        <f>VLOOKUP(Table2[[#This Row],[Course Title]],'TSD-Data'!$A$1:$G$83,7,FALSE)</f>
        <v>N4</v>
      </c>
      <c r="AO634" s="508">
        <f>Table2[[#This Row],[Quotas]]-Table2[[#This Row],[Graduates]]-Table2[[#This Row],[Fail]]</f>
        <v>40</v>
      </c>
    </row>
    <row r="635" spans="2:41" ht="15" customHeight="1" x14ac:dyDescent="0.25">
      <c r="B635" s="83"/>
      <c r="C635" s="83" t="s">
        <v>488</v>
      </c>
      <c r="D635" s="59" t="str">
        <f>VLOOKUP(Table2[[#This Row],[Course Title]],'TSD-Data'!$A$1:$E$83,2,FALSE)</f>
        <v xml:space="preserve">A-493-3019 </v>
      </c>
      <c r="E635" s="59" t="str">
        <f>VLOOKUP(Table2[[#This Row],[Course Title]],'TSD-Data'!$A$1:$E$83,3,FALSE)</f>
        <v>33D9</v>
      </c>
      <c r="F635" s="442" t="s">
        <v>54</v>
      </c>
      <c r="G635" s="61">
        <v>46280</v>
      </c>
      <c r="H635" s="61">
        <v>46280</v>
      </c>
      <c r="I635" s="61" t="s">
        <v>42</v>
      </c>
      <c r="J635" s="64"/>
      <c r="K635" s="64">
        <v>0.33333333333333331</v>
      </c>
      <c r="L635" s="64">
        <v>0.20833333333333334</v>
      </c>
      <c r="M635" s="64">
        <v>0.625</v>
      </c>
      <c r="N635" s="64">
        <v>0.58333333333333337</v>
      </c>
      <c r="O635" s="64">
        <v>0.125</v>
      </c>
      <c r="P635" s="64">
        <v>0.875</v>
      </c>
      <c r="Q635" s="73" t="s">
        <v>445</v>
      </c>
      <c r="R635" s="73" t="s">
        <v>483</v>
      </c>
      <c r="S635" s="73"/>
      <c r="T635" s="59">
        <f>VLOOKUP(Table2[[#This Row],[Course Title]],'TSD-Data'!$A$1:$E$83,4,FALSE)</f>
        <v>1000</v>
      </c>
      <c r="U635" s="59">
        <f>VLOOKUP(Table2[[#This Row],[Course Title]],'TSD-Data'!$A$1:$F$83,6,FALSE)</f>
        <v>2</v>
      </c>
      <c r="V635" s="63">
        <f>VLOOKUP(Table2[[#This Row],[Course Title]],'TSD-Data'!$A$1:$F$83,5,FALSE)</f>
        <v>0.25</v>
      </c>
      <c r="W635" s="63"/>
      <c r="X635" s="59">
        <f>Table2[[#This Row],[Quotas]]-Table2[[#This Row],[Open Quotas]]</f>
        <v>12</v>
      </c>
      <c r="Y635" s="59"/>
      <c r="Z635" s="63"/>
      <c r="AA635" s="63"/>
      <c r="AB635" s="59"/>
      <c r="AC635" s="59"/>
      <c r="AD635" s="59"/>
      <c r="AE635" s="59"/>
      <c r="AF635" s="63">
        <f ca="1">Table2[[#This Row],[End Date]]+2-TODAY()</f>
        <v>38</v>
      </c>
      <c r="AG635" s="59">
        <f>IF(ISBLANK(Table2[[#This Row],[Roster Received by]]),1,0)</f>
        <v>1</v>
      </c>
      <c r="AH635" s="59">
        <f ca="1">IF(Table2[[#This Row],[Start Date]]&gt;TODAY(),1,)</f>
        <v>1</v>
      </c>
      <c r="AI635" s="59">
        <f>IF(ISBLANK(Table2[[#This Row],[Primary Instructor]]),0,1)</f>
        <v>1</v>
      </c>
      <c r="AJ635" s="59">
        <f>IF(ISBLANK(Table2[[#This Row],[Instructor 2]]),0,1)</f>
        <v>1</v>
      </c>
      <c r="AK635" s="59">
        <f>AJ906</f>
        <v>0</v>
      </c>
      <c r="AL635" s="113">
        <v>988</v>
      </c>
      <c r="AM635" s="59"/>
      <c r="AN635" s="59" t="str">
        <f>VLOOKUP(Table2[[#This Row],[Course Title]],'TSD-Data'!$A$1:$G$83,7,FALSE)</f>
        <v>N8-RMI</v>
      </c>
      <c r="AO635" s="508">
        <f>Table2[[#This Row],[Quotas]]-Table2[[#This Row],[Graduates]]-Table2[[#This Row],[Fail]]</f>
        <v>1000</v>
      </c>
    </row>
    <row r="636" spans="2:41" ht="15" customHeight="1" x14ac:dyDescent="0.25">
      <c r="B636" s="83"/>
      <c r="C636" s="83" t="s">
        <v>489</v>
      </c>
      <c r="D636" s="59" t="str">
        <f>VLOOKUP(Table2[[#This Row],[Course Title]],'TSD-Data'!$A$1:$E$83,2,FALSE)</f>
        <v xml:space="preserve">A-493-3020 </v>
      </c>
      <c r="E636" s="59" t="str">
        <f>VLOOKUP(Table2[[#This Row],[Course Title]],'TSD-Data'!$A$1:$E$83,3,FALSE)</f>
        <v>33DA</v>
      </c>
      <c r="F636" s="442" t="s">
        <v>54</v>
      </c>
      <c r="G636" s="61">
        <v>46280</v>
      </c>
      <c r="H636" s="61">
        <v>46280</v>
      </c>
      <c r="I636" s="61" t="s">
        <v>42</v>
      </c>
      <c r="J636" s="64"/>
      <c r="K636" s="64">
        <v>0.5</v>
      </c>
      <c r="L636" s="64">
        <v>0.375</v>
      </c>
      <c r="M636" s="64">
        <v>0.79166666666666663</v>
      </c>
      <c r="N636" s="64">
        <v>0.75</v>
      </c>
      <c r="O636" s="64">
        <v>0.29166666666666669</v>
      </c>
      <c r="P636" s="64">
        <v>4.1666666666666664E-2</v>
      </c>
      <c r="Q636" s="73" t="s">
        <v>445</v>
      </c>
      <c r="R636" s="73" t="s">
        <v>483</v>
      </c>
      <c r="S636" s="73"/>
      <c r="T636" s="59">
        <f>VLOOKUP(Table2[[#This Row],[Course Title]],'TSD-Data'!$A$1:$E$83,4,FALSE)</f>
        <v>1000</v>
      </c>
      <c r="U636" s="59">
        <f>VLOOKUP(Table2[[#This Row],[Course Title]],'TSD-Data'!$A$1:$F$83,6,FALSE)</f>
        <v>2</v>
      </c>
      <c r="V636" s="63">
        <f>VLOOKUP(Table2[[#This Row],[Course Title]],'TSD-Data'!$A$1:$F$83,5,FALSE)</f>
        <v>0.25</v>
      </c>
      <c r="W636" s="63"/>
      <c r="X636" s="59">
        <f>Table2[[#This Row],[Quotas]]-Table2[[#This Row],[Open Quotas]]</f>
        <v>12</v>
      </c>
      <c r="Y636" s="59"/>
      <c r="Z636" s="63"/>
      <c r="AA636" s="63"/>
      <c r="AB636" s="59"/>
      <c r="AC636" s="59"/>
      <c r="AD636" s="59"/>
      <c r="AE636" s="59"/>
      <c r="AF636" s="63">
        <f ca="1">Table2[[#This Row],[End Date]]+2-TODAY()</f>
        <v>38</v>
      </c>
      <c r="AG636" s="59">
        <f>IF(ISBLANK(Table2[[#This Row],[Roster Received by]]),1,0)</f>
        <v>1</v>
      </c>
      <c r="AH636" s="59">
        <f ca="1">IF(Table2[[#This Row],[Start Date]]&gt;TODAY(),1,)</f>
        <v>1</v>
      </c>
      <c r="AI636" s="59">
        <f>IF(ISBLANK(Table2[[#This Row],[Primary Instructor]]),0,1)</f>
        <v>1</v>
      </c>
      <c r="AJ636" s="59">
        <f>IF(ISBLANK(Table2[[#This Row],[Instructor 2]]),0,1)</f>
        <v>1</v>
      </c>
      <c r="AK636" s="59">
        <f>AJ907</f>
        <v>0</v>
      </c>
      <c r="AL636" s="113">
        <v>988</v>
      </c>
      <c r="AM636" s="59"/>
      <c r="AN636" s="59" t="str">
        <f>VLOOKUP(Table2[[#This Row],[Course Title]],'TSD-Data'!$A$1:$G$83,7,FALSE)</f>
        <v>N8-RMI</v>
      </c>
      <c r="AO636" s="508">
        <f>Table2[[#This Row],[Quotas]]-Table2[[#This Row],[Graduates]]-Table2[[#This Row],[Fail]]</f>
        <v>1000</v>
      </c>
    </row>
    <row r="637" spans="2:41" ht="15" customHeight="1" x14ac:dyDescent="0.25">
      <c r="B637" s="83"/>
      <c r="C637" s="83" t="s">
        <v>488</v>
      </c>
      <c r="D637" s="59" t="str">
        <f>VLOOKUP(Table2[[#This Row],[Course Title]],'TSD-Data'!$A$1:$E$83,2,FALSE)</f>
        <v xml:space="preserve">A-493-3019 </v>
      </c>
      <c r="E637" s="59" t="str">
        <f>VLOOKUP(Table2[[#This Row],[Course Title]],'TSD-Data'!$A$1:$E$83,3,FALSE)</f>
        <v>33D9</v>
      </c>
      <c r="F637" s="442" t="s">
        <v>54</v>
      </c>
      <c r="G637" s="61">
        <v>46282</v>
      </c>
      <c r="H637" s="61">
        <v>46282</v>
      </c>
      <c r="I637" s="61" t="s">
        <v>42</v>
      </c>
      <c r="J637" s="64"/>
      <c r="K637" s="64">
        <v>0.45833333333333331</v>
      </c>
      <c r="L637" s="64">
        <v>0.33333333333333331</v>
      </c>
      <c r="M637" s="64">
        <v>0.75</v>
      </c>
      <c r="N637" s="64">
        <v>0.70833333333333337</v>
      </c>
      <c r="O637" s="64">
        <v>0.25</v>
      </c>
      <c r="P637" s="64">
        <v>6.9444444444444447E-4</v>
      </c>
      <c r="Q637" s="73" t="s">
        <v>445</v>
      </c>
      <c r="R637" s="73" t="s">
        <v>483</v>
      </c>
      <c r="S637" s="73"/>
      <c r="T637" s="59">
        <f>VLOOKUP(Table2[[#This Row],[Course Title]],'TSD-Data'!$A$1:$E$83,4,FALSE)</f>
        <v>1000</v>
      </c>
      <c r="U637" s="59">
        <f>VLOOKUP(Table2[[#This Row],[Course Title]],'TSD-Data'!$A$1:$F$83,6,FALSE)</f>
        <v>2</v>
      </c>
      <c r="V637" s="63">
        <f>VLOOKUP(Table2[[#This Row],[Course Title]],'TSD-Data'!$A$1:$F$83,5,FALSE)</f>
        <v>0.25</v>
      </c>
      <c r="W637" s="63"/>
      <c r="X637" s="59">
        <f>Table2[[#This Row],[Quotas]]-Table2[[#This Row],[Open Quotas]]</f>
        <v>12</v>
      </c>
      <c r="Y637" s="59"/>
      <c r="Z637" s="63"/>
      <c r="AA637" s="63"/>
      <c r="AB637" s="59"/>
      <c r="AC637" s="59"/>
      <c r="AD637" s="59"/>
      <c r="AE637" s="59"/>
      <c r="AF637" s="63">
        <f ca="1">Table2[[#This Row],[End Date]]+2-TODAY()</f>
        <v>40</v>
      </c>
      <c r="AG637" s="59">
        <f>IF(ISBLANK(Table2[[#This Row],[Roster Received by]]),1,0)</f>
        <v>1</v>
      </c>
      <c r="AH637" s="59">
        <f ca="1">IF(Table2[[#This Row],[Start Date]]&gt;TODAY(),1,)</f>
        <v>1</v>
      </c>
      <c r="AI637" s="59">
        <f>IF(ISBLANK(Table2[[#This Row],[Primary Instructor]]),0,1)</f>
        <v>1</v>
      </c>
      <c r="AJ637" s="59">
        <f>IF(ISBLANK(Table2[[#This Row],[Instructor 2]]),0,1)</f>
        <v>1</v>
      </c>
      <c r="AK637" s="59">
        <f>AJ908</f>
        <v>0</v>
      </c>
      <c r="AL637" s="113">
        <v>988</v>
      </c>
      <c r="AM637" s="59"/>
      <c r="AN637" s="59" t="str">
        <f>VLOOKUP(Table2[[#This Row],[Course Title]],'TSD-Data'!$A$1:$G$83,7,FALSE)</f>
        <v>N8-RMI</v>
      </c>
      <c r="AO637" s="508">
        <f>Table2[[#This Row],[Quotas]]-Table2[[#This Row],[Graduates]]-Table2[[#This Row],[Fail]]</f>
        <v>1000</v>
      </c>
    </row>
    <row r="638" spans="2:41" ht="15" customHeight="1" x14ac:dyDescent="0.25">
      <c r="B638" s="83"/>
      <c r="C638" s="83" t="s">
        <v>489</v>
      </c>
      <c r="D638" s="59" t="str">
        <f>VLOOKUP(Table2[[#This Row],[Course Title]],'TSD-Data'!$A$1:$E$83,2,FALSE)</f>
        <v xml:space="preserve">A-493-3020 </v>
      </c>
      <c r="E638" s="59" t="str">
        <f>VLOOKUP(Table2[[#This Row],[Course Title]],'TSD-Data'!$A$1:$E$83,3,FALSE)</f>
        <v>33DA</v>
      </c>
      <c r="F638" s="442" t="s">
        <v>54</v>
      </c>
      <c r="G638" s="61">
        <v>46282</v>
      </c>
      <c r="H638" s="61">
        <v>46282</v>
      </c>
      <c r="I638" s="61" t="s">
        <v>42</v>
      </c>
      <c r="J638" s="64"/>
      <c r="K638" s="64">
        <v>0.625</v>
      </c>
      <c r="L638" s="64">
        <v>0.5</v>
      </c>
      <c r="M638" s="64">
        <v>0.91666666666666663</v>
      </c>
      <c r="N638" s="64">
        <v>0.875</v>
      </c>
      <c r="O638" s="64">
        <v>0.41666666666666669</v>
      </c>
      <c r="P638" s="64">
        <v>0.16666666666666666</v>
      </c>
      <c r="Q638" s="73" t="s">
        <v>445</v>
      </c>
      <c r="R638" s="73" t="s">
        <v>483</v>
      </c>
      <c r="S638" s="73"/>
      <c r="T638" s="59">
        <f>VLOOKUP(Table2[[#This Row],[Course Title]],'TSD-Data'!$A$1:$E$83,4,FALSE)</f>
        <v>1000</v>
      </c>
      <c r="U638" s="59">
        <f>VLOOKUP(Table2[[#This Row],[Course Title]],'TSD-Data'!$A$1:$F$83,6,FALSE)</f>
        <v>2</v>
      </c>
      <c r="V638" s="63">
        <f>VLOOKUP(Table2[[#This Row],[Course Title]],'TSD-Data'!$A$1:$F$83,5,FALSE)</f>
        <v>0.25</v>
      </c>
      <c r="W638" s="63"/>
      <c r="X638" s="59">
        <f>Table2[[#This Row],[Quotas]]-Table2[[#This Row],[Open Quotas]]</f>
        <v>12</v>
      </c>
      <c r="Y638" s="59"/>
      <c r="Z638" s="63"/>
      <c r="AA638" s="63"/>
      <c r="AB638" s="59"/>
      <c r="AC638" s="59"/>
      <c r="AD638" s="59"/>
      <c r="AE638" s="59"/>
      <c r="AF638" s="63">
        <f ca="1">Table2[[#This Row],[End Date]]+2-TODAY()</f>
        <v>40</v>
      </c>
      <c r="AG638" s="59">
        <f>IF(ISBLANK(Table2[[#This Row],[Roster Received by]]),1,0)</f>
        <v>1</v>
      </c>
      <c r="AH638" s="59">
        <f ca="1">IF(Table2[[#This Row],[Start Date]]&gt;TODAY(),1,)</f>
        <v>1</v>
      </c>
      <c r="AI638" s="59">
        <f>IF(ISBLANK(Table2[[#This Row],[Primary Instructor]]),0,1)</f>
        <v>1</v>
      </c>
      <c r="AJ638" s="59">
        <f>IF(ISBLANK(Table2[[#This Row],[Instructor 2]]),0,1)</f>
        <v>1</v>
      </c>
      <c r="AK638" s="59">
        <f>AJ909</f>
        <v>0</v>
      </c>
      <c r="AL638" s="113">
        <v>988</v>
      </c>
      <c r="AM638" s="59"/>
      <c r="AN638" s="59" t="str">
        <f>VLOOKUP(Table2[[#This Row],[Course Title]],'TSD-Data'!$A$1:$G$83,7,FALSE)</f>
        <v>N8-RMI</v>
      </c>
      <c r="AO638" s="508">
        <f>Table2[[#This Row],[Quotas]]-Table2[[#This Row],[Graduates]]-Table2[[#This Row],[Fail]]</f>
        <v>1000</v>
      </c>
    </row>
    <row r="639" spans="2:41" ht="15" customHeight="1" x14ac:dyDescent="0.25">
      <c r="B639" s="83"/>
      <c r="C639" s="83" t="s">
        <v>276</v>
      </c>
      <c r="D639" s="59" t="str">
        <f>VLOOKUP(Table2[[#This Row],[Course Title]],'TSD-Data'!$A$1:$E$83,2,FALSE)</f>
        <v>A-493-0103</v>
      </c>
      <c r="E639" s="59" t="str">
        <f>VLOOKUP(Table2[[#This Row],[Course Title]],'TSD-Data'!$A$1:$E$83,3,FALSE)</f>
        <v>12JY</v>
      </c>
      <c r="F639" s="442" t="s">
        <v>51</v>
      </c>
      <c r="G639" s="61">
        <v>46286</v>
      </c>
      <c r="H639" s="61">
        <v>46290</v>
      </c>
      <c r="I639" s="61" t="s">
        <v>42</v>
      </c>
      <c r="J639" s="64">
        <v>0.33333333333333331</v>
      </c>
      <c r="K639" s="64"/>
      <c r="L639" s="61"/>
      <c r="M639" s="61"/>
      <c r="N639" s="61"/>
      <c r="O639" s="61"/>
      <c r="P639" s="61"/>
      <c r="Q639" s="73" t="s">
        <v>280</v>
      </c>
      <c r="R639" s="73"/>
      <c r="S639" s="73"/>
      <c r="T639" s="59">
        <f>VLOOKUP(Table2[[#This Row],[Course Title]],'TSD-Data'!$A$1:$E$83,4,FALSE)</f>
        <v>25</v>
      </c>
      <c r="U639" s="59">
        <f>VLOOKUP(Table2[[#This Row],[Course Title]],'TSD-Data'!$A$1:$F$83,6,FALSE)</f>
        <v>40</v>
      </c>
      <c r="V639" s="63">
        <f>VLOOKUP(Table2[[#This Row],[Course Title]],'TSD-Data'!$A$1:$F$83,5,FALSE)</f>
        <v>5</v>
      </c>
      <c r="W639" s="63">
        <v>107</v>
      </c>
      <c r="X639" s="59">
        <f>Table2[[#This Row],[Quotas]]-Table2[[#This Row],[Open Quotas]]</f>
        <v>5</v>
      </c>
      <c r="Y639" s="59">
        <v>0</v>
      </c>
      <c r="Z639" s="63"/>
      <c r="AA639" s="63"/>
      <c r="AB639" s="59"/>
      <c r="AC639" s="59"/>
      <c r="AD639" s="59"/>
      <c r="AE639" s="59"/>
      <c r="AF639" s="149">
        <f ca="1">Table2[[#This Row],[End Date]]+2-TODAY()</f>
        <v>48</v>
      </c>
      <c r="AG639" s="151">
        <f>IF(ISBLANK(Table2[[#This Row],[Roster Received by]]),1,0)</f>
        <v>1</v>
      </c>
      <c r="AH639" s="151">
        <f ca="1">IF(Table2[[#This Row],[Start Date]]&gt;TODAY(),1,)</f>
        <v>1</v>
      </c>
      <c r="AI639" s="151">
        <f>IF(ISBLANK(Table2[[#This Row],[Primary Instructor]]),0,1)</f>
        <v>1</v>
      </c>
      <c r="AJ639" s="151">
        <f>IF(ISBLANK(Table2[[#This Row],[Instructor 2]]),0,1)</f>
        <v>0</v>
      </c>
      <c r="AK639" s="496">
        <f>Table2[[#This Row],[Course Length (Hours)]]/(Table2[[#This Row],[1 Instructor]]+Table2[[#This Row],[2 Instructors]])</f>
        <v>40</v>
      </c>
      <c r="AL639" s="113">
        <v>20</v>
      </c>
      <c r="AM639" s="498">
        <v>4</v>
      </c>
      <c r="AN639" s="151" t="str">
        <f>VLOOKUP(Table2[[#This Row],[Course Title]],'TSD-Data'!$A$1:$G$83,7,FALSE)</f>
        <v>N5</v>
      </c>
      <c r="AO639" s="502">
        <f>Table2[[#This Row],[Quotas]]-Table2[[#This Row],[Graduates]]-Table2[[#This Row],[Fail]]</f>
        <v>25</v>
      </c>
    </row>
    <row r="640" spans="2:41" ht="15" customHeight="1" x14ac:dyDescent="0.25">
      <c r="B640" s="83"/>
      <c r="C640" s="83" t="s">
        <v>213</v>
      </c>
      <c r="D640" s="59" t="str">
        <f>VLOOKUP(Table2[[#This Row],[Course Title]],'TSD-Data'!$A$1:$E$83,2,FALSE)</f>
        <v>A-322-2604</v>
      </c>
      <c r="E640" s="59" t="str">
        <f>VLOOKUP(Table2[[#This Row],[Course Title]],'TSD-Data'!$A$1:$E$83,3,FALSE)</f>
        <v>10ZZ</v>
      </c>
      <c r="F640" s="442" t="s">
        <v>54</v>
      </c>
      <c r="G640" s="61">
        <v>46286</v>
      </c>
      <c r="H640" s="61">
        <v>46288</v>
      </c>
      <c r="I640" s="61" t="s">
        <v>42</v>
      </c>
      <c r="J640" s="64"/>
      <c r="K640" s="566">
        <v>0.5</v>
      </c>
      <c r="L640" s="570">
        <v>0.375</v>
      </c>
      <c r="M640" s="570">
        <v>0.79166666666666663</v>
      </c>
      <c r="N640" s="570">
        <v>0.75</v>
      </c>
      <c r="O640" s="570">
        <v>0.25</v>
      </c>
      <c r="P640" s="570">
        <v>4.1666666666666664E-2</v>
      </c>
      <c r="Q640" s="73" t="s">
        <v>79</v>
      </c>
      <c r="R640" s="73"/>
      <c r="S640" s="73"/>
      <c r="T640" s="59">
        <f>VLOOKUP(Table2[[#This Row],[Course Title]],'TSD-Data'!$A$1:$E$83,4,FALSE)</f>
        <v>45</v>
      </c>
      <c r="U640" s="59">
        <f>VLOOKUP(Table2[[#This Row],[Course Title]],'TSD-Data'!$A$1:$F$83,6,FALSE)</f>
        <v>24</v>
      </c>
      <c r="V640" s="63">
        <f>VLOOKUP(Table2[[#This Row],[Course Title]],'TSD-Data'!$A$1:$F$83,5,FALSE)</f>
        <v>3</v>
      </c>
      <c r="W640" s="63">
        <v>621</v>
      </c>
      <c r="X640" s="59">
        <f>Table2[[#This Row],[Quotas]]-Table2[[#This Row],[Open Quotas]]</f>
        <v>20</v>
      </c>
      <c r="Y640" s="59">
        <v>0</v>
      </c>
      <c r="Z640" s="63"/>
      <c r="AA640" s="63"/>
      <c r="AB640" s="59"/>
      <c r="AC640" s="59"/>
      <c r="AD640" s="59"/>
      <c r="AE640" s="59"/>
      <c r="AF640" s="149">
        <f ca="1">Table2[[#This Row],[End Date]]+2-TODAY()</f>
        <v>46</v>
      </c>
      <c r="AG640" s="151">
        <f>IF(ISBLANK(Table2[[#This Row],[Roster Received by]]),1,0)</f>
        <v>1</v>
      </c>
      <c r="AH640" s="151">
        <f ca="1">IF(Table2[[#This Row],[Start Date]]&gt;TODAY(),1,)</f>
        <v>1</v>
      </c>
      <c r="AI640" s="151">
        <f>IF(ISBLANK(Table2[[#This Row],[Primary Instructor]]),0,1)</f>
        <v>1</v>
      </c>
      <c r="AJ640" s="151">
        <f>IF(ISBLANK(Table2[[#This Row],[Instructor 2]]),0,1)</f>
        <v>0</v>
      </c>
      <c r="AK640" s="496">
        <f>Table2[[#This Row],[Course Length (Hours)]]/(Table2[[#This Row],[1 Instructor]]+Table2[[#This Row],[2 Instructors]])</f>
        <v>24</v>
      </c>
      <c r="AL640" s="113">
        <v>25</v>
      </c>
      <c r="AM640" s="498">
        <v>4</v>
      </c>
      <c r="AN640" s="151" t="str">
        <f>VLOOKUP(Table2[[#This Row],[Course Title]],'TSD-Data'!$A$1:$G$83,7,FALSE)</f>
        <v>N8</v>
      </c>
      <c r="AO640" s="502">
        <f>Table2[[#This Row],[Quotas]]-Table2[[#This Row],[Graduates]]-Table2[[#This Row],[Fail]]</f>
        <v>45</v>
      </c>
    </row>
    <row r="641" spans="2:41" ht="15" customHeight="1" x14ac:dyDescent="0.25">
      <c r="B641" s="83"/>
      <c r="C641" s="83" t="s">
        <v>53</v>
      </c>
      <c r="D641" s="59" t="str">
        <f>VLOOKUP(Table2[[#This Row],[Course Title]],'TSD-Data'!$A$1:$E$83,2,FALSE)</f>
        <v>A-493-0078</v>
      </c>
      <c r="E641" s="59">
        <f>VLOOKUP(Table2[[#This Row],[Course Title]],'TSD-Data'!$A$1:$E$83,3,FALSE)</f>
        <v>1228</v>
      </c>
      <c r="F641" s="442" t="s">
        <v>54</v>
      </c>
      <c r="G641" s="61">
        <v>46286</v>
      </c>
      <c r="H641" s="61">
        <v>46289</v>
      </c>
      <c r="I641" s="61" t="s">
        <v>42</v>
      </c>
      <c r="J641" s="64"/>
      <c r="K641" s="64">
        <v>0.33333333333333331</v>
      </c>
      <c r="L641" s="64">
        <v>0.20833333333333334</v>
      </c>
      <c r="M641" s="64">
        <v>0.625</v>
      </c>
      <c r="N641" s="64">
        <v>0.54166666666666663</v>
      </c>
      <c r="O641" s="64">
        <v>8.3333333333333329E-2</v>
      </c>
      <c r="P641" s="64">
        <v>0.875</v>
      </c>
      <c r="Q641" s="73" t="s">
        <v>55</v>
      </c>
      <c r="R641" s="73"/>
      <c r="S641" s="73"/>
      <c r="T641" s="59">
        <f>VLOOKUP(Table2[[#This Row],[Course Title]],'TSD-Data'!$A$1:$E$83,4,FALSE)</f>
        <v>45</v>
      </c>
      <c r="U641" s="59">
        <f>VLOOKUP(Table2[[#This Row],[Course Title]],'TSD-Data'!$A$1:$F$83,6,FALSE)</f>
        <v>32</v>
      </c>
      <c r="V641" s="63">
        <f>VLOOKUP(Table2[[#This Row],[Course Title]],'TSD-Data'!$A$1:$F$83,5,FALSE)</f>
        <v>4</v>
      </c>
      <c r="W641" s="63">
        <v>454</v>
      </c>
      <c r="X641" s="59">
        <f>Table2[[#This Row],[Quotas]]-Table2[[#This Row],[Open Quotas]]</f>
        <v>25</v>
      </c>
      <c r="Y641" s="59">
        <v>0</v>
      </c>
      <c r="Z641" s="63"/>
      <c r="AA641" s="63"/>
      <c r="AB641" s="59"/>
      <c r="AC641" s="59"/>
      <c r="AD641" s="59"/>
      <c r="AE641" s="59"/>
      <c r="AF641" s="149">
        <f ca="1">Table2[[#This Row],[End Date]]+2-TODAY()</f>
        <v>47</v>
      </c>
      <c r="AG641" s="151">
        <f>IF(ISBLANK(Table2[[#This Row],[Roster Received by]]),1,0)</f>
        <v>1</v>
      </c>
      <c r="AH641" s="151">
        <f ca="1">IF(Table2[[#This Row],[Start Date]]&gt;TODAY(),1,)</f>
        <v>1</v>
      </c>
      <c r="AI641" s="151">
        <f>IF(ISBLANK(Table2[[#This Row],[Primary Instructor]]),0,1)</f>
        <v>1</v>
      </c>
      <c r="AJ641" s="151">
        <f>IF(ISBLANK(Table2[[#This Row],[Instructor 2]]),0,1)</f>
        <v>0</v>
      </c>
      <c r="AK641" s="496">
        <f>Table2[[#This Row],[Course Length (Hours)]]/(Table2[[#This Row],[1 Instructor]]+Table2[[#This Row],[2 Instructors]])</f>
        <v>32</v>
      </c>
      <c r="AL641" s="113">
        <v>20</v>
      </c>
      <c r="AM641" s="498">
        <v>4</v>
      </c>
      <c r="AN641" s="151" t="str">
        <f>VLOOKUP(Table2[[#This Row],[Course Title]],'TSD-Data'!$A$1:$G$83,7,FALSE)</f>
        <v>N5</v>
      </c>
      <c r="AO641" s="502">
        <f>Table2[[#This Row],[Quotas]]-Table2[[#This Row],[Graduates]]-Table2[[#This Row],[Fail]]</f>
        <v>45</v>
      </c>
    </row>
    <row r="642" spans="2:41" ht="15" customHeight="1" x14ac:dyDescent="0.25">
      <c r="B642" s="83"/>
      <c r="C642" s="83" t="s">
        <v>255</v>
      </c>
      <c r="D642" s="59" t="str">
        <f>VLOOKUP(Table2[[#This Row],[Course Title]],'TSD-Data'!$A$1:$E$83,2,FALSE)</f>
        <v>A-493-0085</v>
      </c>
      <c r="E642" s="59">
        <f>VLOOKUP(Table2[[#This Row],[Course Title]],'TSD-Data'!$A$1:$E$83,3,FALSE)</f>
        <v>3555</v>
      </c>
      <c r="F642" s="442" t="s">
        <v>54</v>
      </c>
      <c r="G642" s="61">
        <v>46286</v>
      </c>
      <c r="H642" s="61">
        <v>46289</v>
      </c>
      <c r="I642" s="61" t="s">
        <v>42</v>
      </c>
      <c r="J642" s="64"/>
      <c r="K642" s="64">
        <v>0.79166666666666663</v>
      </c>
      <c r="L642" s="570">
        <v>0.66666666666666663</v>
      </c>
      <c r="M642" s="570">
        <v>8.3333333333333329E-2</v>
      </c>
      <c r="N642" s="570">
        <v>0</v>
      </c>
      <c r="O642" s="570">
        <v>0.54166666666666663</v>
      </c>
      <c r="P642" s="570">
        <v>0.33333333333333331</v>
      </c>
      <c r="Q642" s="73" t="s">
        <v>62</v>
      </c>
      <c r="R642" s="73"/>
      <c r="S642" s="73"/>
      <c r="T642" s="59">
        <f>VLOOKUP(Table2[[#This Row],[Course Title]],'TSD-Data'!$A$1:$E$83,4,FALSE)</f>
        <v>45</v>
      </c>
      <c r="U642" s="59">
        <f>VLOOKUP(Table2[[#This Row],[Course Title]],'TSD-Data'!$A$1:$F$83,6,FALSE)</f>
        <v>32</v>
      </c>
      <c r="V642" s="63">
        <f>VLOOKUP(Table2[[#This Row],[Course Title]],'TSD-Data'!$A$1:$F$83,5,FALSE)</f>
        <v>4</v>
      </c>
      <c r="W642" s="63">
        <v>166</v>
      </c>
      <c r="X642" s="59">
        <f>Table2[[#This Row],[Quotas]]-Table2[[#This Row],[Open Quotas]]</f>
        <v>7</v>
      </c>
      <c r="Y642" s="59">
        <v>0</v>
      </c>
      <c r="Z642" s="63"/>
      <c r="AA642" s="63"/>
      <c r="AB642" s="59"/>
      <c r="AC642" s="59"/>
      <c r="AD642" s="59"/>
      <c r="AE642" s="59"/>
      <c r="AF642" s="149">
        <f ca="1">Table2[[#This Row],[End Date]]+2-TODAY()</f>
        <v>47</v>
      </c>
      <c r="AG642" s="151">
        <f>IF(ISBLANK(Table2[[#This Row],[Roster Received by]]),1,0)</f>
        <v>1</v>
      </c>
      <c r="AH642" s="151">
        <f ca="1">IF(Table2[[#This Row],[Start Date]]&gt;TODAY(),1,)</f>
        <v>1</v>
      </c>
      <c r="AI642" s="151">
        <f>IF(ISBLANK(Table2[[#This Row],[Primary Instructor]]),0,1)</f>
        <v>1</v>
      </c>
      <c r="AJ642" s="151">
        <f>IF(ISBLANK(Table2[[#This Row],[Instructor 2]]),0,1)</f>
        <v>0</v>
      </c>
      <c r="AK642" s="496">
        <f>Table2[[#This Row],[Course Length (Hours)]]/(Table2[[#This Row],[1 Instructor]]+Table2[[#This Row],[2 Instructors]])</f>
        <v>32</v>
      </c>
      <c r="AL642" s="113">
        <v>38</v>
      </c>
      <c r="AM642" s="498">
        <v>4</v>
      </c>
      <c r="AN642" s="151" t="str">
        <f>VLOOKUP(Table2[[#This Row],[Course Title]],'TSD-Data'!$A$1:$G$83,7,FALSE)</f>
        <v>N3</v>
      </c>
      <c r="AO642" s="502">
        <f>Table2[[#This Row],[Quotas]]-Table2[[#This Row],[Graduates]]-Table2[[#This Row],[Fail]]</f>
        <v>45</v>
      </c>
    </row>
    <row r="643" spans="2:41" ht="15" customHeight="1" x14ac:dyDescent="0.25">
      <c r="B643" s="83"/>
      <c r="C643" s="83" t="s">
        <v>77</v>
      </c>
      <c r="D643" s="59" t="str">
        <f>VLOOKUP(Table2[[#This Row],[Course Title]],'TSD-Data'!$A$1:$E$83,2,FALSE)</f>
        <v>A-493-0072</v>
      </c>
      <c r="E643" s="59" t="str">
        <f>VLOOKUP(Table2[[#This Row],[Course Title]],'TSD-Data'!$A$1:$E$83,3,FALSE)</f>
        <v>713U</v>
      </c>
      <c r="F643" s="442" t="s">
        <v>130</v>
      </c>
      <c r="G643" s="61">
        <v>46286</v>
      </c>
      <c r="H643" s="61">
        <v>46290</v>
      </c>
      <c r="I643" s="61" t="s">
        <v>42</v>
      </c>
      <c r="J643" s="64">
        <v>0.33333333333333331</v>
      </c>
      <c r="K643" s="64"/>
      <c r="L643" s="61"/>
      <c r="M643" s="61"/>
      <c r="N643" s="61"/>
      <c r="O643" s="61"/>
      <c r="P643" s="61"/>
      <c r="Q643" s="73" t="s">
        <v>295</v>
      </c>
      <c r="R643" s="73" t="s">
        <v>111</v>
      </c>
      <c r="S643" s="73"/>
      <c r="T643" s="59">
        <f>VLOOKUP(Table2[[#This Row],[Course Title]],'TSD-Data'!$A$1:$E$83,4,FALSE)</f>
        <v>30</v>
      </c>
      <c r="U643" s="59">
        <f>VLOOKUP(Table2[[#This Row],[Course Title]],'TSD-Data'!$A$1:$F$83,6,FALSE)</f>
        <v>40</v>
      </c>
      <c r="V643" s="63">
        <f>VLOOKUP(Table2[[#This Row],[Course Title]],'TSD-Data'!$A$1:$F$83,5,FALSE)</f>
        <v>5</v>
      </c>
      <c r="W643" s="63">
        <v>178</v>
      </c>
      <c r="X643" s="59">
        <f>Table2[[#This Row],[Quotas]]-Table2[[#This Row],[Open Quotas]]</f>
        <v>27</v>
      </c>
      <c r="Y643" s="59">
        <v>0</v>
      </c>
      <c r="Z643" s="63"/>
      <c r="AA643" s="63"/>
      <c r="AB643" s="59"/>
      <c r="AC643" s="59"/>
      <c r="AD643" s="59"/>
      <c r="AE643" s="59"/>
      <c r="AF643" s="149">
        <f ca="1">Table2[[#This Row],[End Date]]+2-TODAY()</f>
        <v>48</v>
      </c>
      <c r="AG643" s="151">
        <f>IF(ISBLANK(Table2[[#This Row],[Roster Received by]]),1,0)</f>
        <v>1</v>
      </c>
      <c r="AH643" s="151">
        <f ca="1">IF(Table2[[#This Row],[Start Date]]&gt;TODAY(),1,)</f>
        <v>1</v>
      </c>
      <c r="AI643" s="151">
        <f>IF(ISBLANK(Table2[[#This Row],[Primary Instructor]]),0,1)</f>
        <v>1</v>
      </c>
      <c r="AJ643" s="151">
        <f>IF(ISBLANK(Table2[[#This Row],[Instructor 2]]),0,1)</f>
        <v>1</v>
      </c>
      <c r="AK643" s="496">
        <f>Table2[[#This Row],[Course Length (Hours)]]/(Table2[[#This Row],[1 Instructor]]+Table2[[#This Row],[2 Instructors]])</f>
        <v>20</v>
      </c>
      <c r="AL643" s="113">
        <v>3</v>
      </c>
      <c r="AM643" s="498">
        <v>4</v>
      </c>
      <c r="AN643" s="151" t="str">
        <f>VLOOKUP(Table2[[#This Row],[Course Title]],'TSD-Data'!$A$1:$G$83,7,FALSE)</f>
        <v>N3</v>
      </c>
      <c r="AO643" s="502">
        <f>Table2[[#This Row],[Quotas]]-Table2[[#This Row],[Graduates]]-Table2[[#This Row],[Fail]]</f>
        <v>30</v>
      </c>
    </row>
    <row r="644" spans="2:41" ht="15" customHeight="1" x14ac:dyDescent="0.25">
      <c r="B644" s="83"/>
      <c r="C644" s="83" t="s">
        <v>397</v>
      </c>
      <c r="D644" s="59" t="str">
        <f>VLOOKUP(Table2[[#This Row],[Course Title]],'TSD-Data'!$A$1:$E$83,2,FALSE)</f>
        <v>A-493-3005</v>
      </c>
      <c r="E644" s="59" t="str">
        <f>VLOOKUP(Table2[[#This Row],[Course Title]],'TSD-Data'!$A$1:$E$83,3,FALSE)</f>
        <v>31V7</v>
      </c>
      <c r="F644" s="442" t="s">
        <v>54</v>
      </c>
      <c r="G644" s="61">
        <v>46286</v>
      </c>
      <c r="H644" s="61">
        <v>46286</v>
      </c>
      <c r="I644" s="61" t="s">
        <v>42</v>
      </c>
      <c r="J644" s="64"/>
      <c r="K644" s="64">
        <v>0.89583333333333337</v>
      </c>
      <c r="L644" s="64">
        <v>0.77083333333333337</v>
      </c>
      <c r="M644" s="64">
        <v>0.1875</v>
      </c>
      <c r="N644" s="64">
        <v>0.14583333333333334</v>
      </c>
      <c r="O644" s="64">
        <v>0.6875</v>
      </c>
      <c r="P644" s="64">
        <v>0.4375</v>
      </c>
      <c r="Q644" s="73" t="s">
        <v>445</v>
      </c>
      <c r="R644" s="73" t="s">
        <v>483</v>
      </c>
      <c r="S644" s="73"/>
      <c r="T644" s="59">
        <f>VLOOKUP(Table2[[#This Row],[Course Title]],'TSD-Data'!$A$1:$E$83,4,FALSE)</f>
        <v>1000</v>
      </c>
      <c r="U644" s="59">
        <f>VLOOKUP(Table2[[#This Row],[Course Title]],'TSD-Data'!$A$1:$F$83,6,FALSE)</f>
        <v>2</v>
      </c>
      <c r="V644" s="63">
        <f>VLOOKUP(Table2[[#This Row],[Course Title]],'TSD-Data'!$A$1:$F$83,5,FALSE)</f>
        <v>0.25</v>
      </c>
      <c r="W644" s="63"/>
      <c r="X644" s="59">
        <f>Table2[[#This Row],[Quotas]]-Table2[[#This Row],[Open Quotas]]</f>
        <v>12</v>
      </c>
      <c r="Y644" s="59"/>
      <c r="Z644" s="63"/>
      <c r="AA644" s="63"/>
      <c r="AB644" s="59"/>
      <c r="AC644" s="59"/>
      <c r="AD644" s="59"/>
      <c r="AE644" s="59"/>
      <c r="AF644" s="63">
        <f ca="1">Table2[[#This Row],[End Date]]+2-TODAY()</f>
        <v>44</v>
      </c>
      <c r="AG644" s="59">
        <f>IF(ISBLANK(Table2[[#This Row],[Roster Received by]]),1,0)</f>
        <v>1</v>
      </c>
      <c r="AH644" s="59">
        <f ca="1">IF(Table2[[#This Row],[Start Date]]&gt;TODAY(),1,)</f>
        <v>1</v>
      </c>
      <c r="AI644" s="59">
        <f>IF(ISBLANK(Table2[[#This Row],[Primary Instructor]]),0,1)</f>
        <v>1</v>
      </c>
      <c r="AJ644" s="59">
        <f>IF(ISBLANK(Table2[[#This Row],[Instructor 2]]),0,1)</f>
        <v>1</v>
      </c>
      <c r="AK644" s="59">
        <f>AJ915</f>
        <v>0</v>
      </c>
      <c r="AL644" s="113">
        <v>988</v>
      </c>
      <c r="AM644" s="59"/>
      <c r="AN644" s="59" t="str">
        <f>VLOOKUP(Table2[[#This Row],[Course Title]],'TSD-Data'!$A$1:$G$83,7,FALSE)</f>
        <v>N8-RMI</v>
      </c>
      <c r="AO644" s="508">
        <f>Table2[[#This Row],[Quotas]]-Table2[[#This Row],[Graduates]]-Table2[[#This Row],[Fail]]</f>
        <v>1000</v>
      </c>
    </row>
    <row r="645" spans="2:41" ht="15" customHeight="1" x14ac:dyDescent="0.25">
      <c r="B645" s="83"/>
      <c r="C645" s="83" t="s">
        <v>398</v>
      </c>
      <c r="D645" s="59" t="str">
        <f>VLOOKUP(Table2[[#This Row],[Course Title]],'TSD-Data'!$A$1:$E$83,2,FALSE)</f>
        <v>A-493-3004</v>
      </c>
      <c r="E645" s="59" t="str">
        <f>VLOOKUP(Table2[[#This Row],[Course Title]],'TSD-Data'!$A$1:$E$83,3,FALSE)</f>
        <v>31V6</v>
      </c>
      <c r="F645" s="442" t="s">
        <v>54</v>
      </c>
      <c r="G645" s="61">
        <v>46286</v>
      </c>
      <c r="H645" s="61">
        <v>46286</v>
      </c>
      <c r="I645" s="61" t="s">
        <v>42</v>
      </c>
      <c r="J645" s="64"/>
      <c r="K645" s="64">
        <v>0.79166666666666663</v>
      </c>
      <c r="L645" s="64">
        <v>0.66666666666666663</v>
      </c>
      <c r="M645" s="64">
        <v>8.3333333333333329E-2</v>
      </c>
      <c r="N645" s="64">
        <v>4.1666666666666664E-2</v>
      </c>
      <c r="O645" s="64">
        <v>0.58333333333333337</v>
      </c>
      <c r="P645" s="64">
        <v>0.33333333333333331</v>
      </c>
      <c r="Q645" s="73" t="s">
        <v>445</v>
      </c>
      <c r="R645" s="73" t="s">
        <v>483</v>
      </c>
      <c r="S645" s="73"/>
      <c r="T645" s="59">
        <f>VLOOKUP(Table2[[#This Row],[Course Title]],'TSD-Data'!$A$1:$E$83,4,FALSE)</f>
        <v>1000</v>
      </c>
      <c r="U645" s="59">
        <f>VLOOKUP(Table2[[#This Row],[Course Title]],'TSD-Data'!$A$1:$F$83,6,FALSE)</f>
        <v>2</v>
      </c>
      <c r="V645" s="63">
        <f>VLOOKUP(Table2[[#This Row],[Course Title]],'TSD-Data'!$A$1:$F$83,5,FALSE)</f>
        <v>0.25</v>
      </c>
      <c r="W645" s="63"/>
      <c r="X645" s="59">
        <f>Table2[[#This Row],[Quotas]]-Table2[[#This Row],[Open Quotas]]</f>
        <v>12</v>
      </c>
      <c r="Y645" s="59"/>
      <c r="Z645" s="63"/>
      <c r="AA645" s="63"/>
      <c r="AB645" s="59"/>
      <c r="AC645" s="59"/>
      <c r="AD645" s="59"/>
      <c r="AE645" s="59"/>
      <c r="AF645" s="63">
        <f ca="1">Table2[[#This Row],[End Date]]+2-TODAY()</f>
        <v>44</v>
      </c>
      <c r="AG645" s="59">
        <f>IF(ISBLANK(Table2[[#This Row],[Roster Received by]]),1,0)</f>
        <v>1</v>
      </c>
      <c r="AH645" s="59">
        <f ca="1">IF(Table2[[#This Row],[Start Date]]&gt;TODAY(),1,)</f>
        <v>1</v>
      </c>
      <c r="AI645" s="59">
        <f>IF(ISBLANK(Table2[[#This Row],[Primary Instructor]]),0,1)</f>
        <v>1</v>
      </c>
      <c r="AJ645" s="59">
        <f>IF(ISBLANK(Table2[[#This Row],[Instructor 2]]),0,1)</f>
        <v>1</v>
      </c>
      <c r="AK645" s="59">
        <f>AJ916</f>
        <v>0</v>
      </c>
      <c r="AL645" s="113">
        <v>988</v>
      </c>
      <c r="AM645" s="59"/>
      <c r="AN645" s="59" t="str">
        <f>VLOOKUP(Table2[[#This Row],[Course Title]],'TSD-Data'!$A$1:$G$83,7,FALSE)</f>
        <v>N8-RMI</v>
      </c>
      <c r="AO645" s="508">
        <f>Table2[[#This Row],[Quotas]]-Table2[[#This Row],[Graduates]]-Table2[[#This Row],[Fail]]</f>
        <v>1000</v>
      </c>
    </row>
    <row r="646" spans="2:41" ht="15" customHeight="1" x14ac:dyDescent="0.25">
      <c r="B646" s="83"/>
      <c r="C646" s="83" t="s">
        <v>271</v>
      </c>
      <c r="D646" s="59" t="str">
        <f>VLOOKUP(Table2[[#This Row],[Course Title]],'TSD-Data'!$A$1:$E$83,2,FALSE)</f>
        <v>A-493-0061</v>
      </c>
      <c r="E646" s="59" t="str">
        <f>VLOOKUP(Table2[[#This Row],[Course Title]],'TSD-Data'!$A$1:$E$83,3,FALSE)</f>
        <v>288E</v>
      </c>
      <c r="F646" s="442" t="s">
        <v>54</v>
      </c>
      <c r="G646" s="61">
        <v>46287</v>
      </c>
      <c r="H646" s="61">
        <v>46290</v>
      </c>
      <c r="I646" s="61" t="s">
        <v>42</v>
      </c>
      <c r="J646" s="64"/>
      <c r="K646" s="64">
        <v>0.33333333333333331</v>
      </c>
      <c r="L646" s="64">
        <v>0.20833333333333334</v>
      </c>
      <c r="M646" s="64">
        <v>0.625</v>
      </c>
      <c r="N646" s="64">
        <v>0.54166666666666663</v>
      </c>
      <c r="O646" s="64">
        <v>8.3333333333333329E-2</v>
      </c>
      <c r="P646" s="64">
        <v>0.875</v>
      </c>
      <c r="Q646" s="73" t="s">
        <v>148</v>
      </c>
      <c r="R646" s="73"/>
      <c r="S646" s="73"/>
      <c r="T646" s="59">
        <f>VLOOKUP(Table2[[#This Row],[Course Title]],'TSD-Data'!$A$1:$E$83,4,FALSE)</f>
        <v>45</v>
      </c>
      <c r="U646" s="59">
        <f>VLOOKUP(Table2[[#This Row],[Course Title]],'TSD-Data'!$A$1:$F$83,6,FALSE)</f>
        <v>30</v>
      </c>
      <c r="V646" s="63">
        <f>VLOOKUP(Table2[[#This Row],[Course Title]],'TSD-Data'!$A$1:$F$83,5,FALSE)</f>
        <v>4</v>
      </c>
      <c r="W646" s="63">
        <v>366</v>
      </c>
      <c r="X646" s="59">
        <f>Table2[[#This Row],[Quotas]]-Table2[[#This Row],[Open Quotas]]</f>
        <v>14</v>
      </c>
      <c r="Y646" s="59">
        <v>0</v>
      </c>
      <c r="Z646" s="63"/>
      <c r="AA646" s="63"/>
      <c r="AB646" s="59"/>
      <c r="AC646" s="59"/>
      <c r="AD646" s="59"/>
      <c r="AE646" s="59"/>
      <c r="AF646" s="149">
        <f ca="1">Table2[[#This Row],[End Date]]+2-TODAY()</f>
        <v>48</v>
      </c>
      <c r="AG646" s="151">
        <f>IF(ISBLANK(Table2[[#This Row],[Roster Received by]]),1,0)</f>
        <v>1</v>
      </c>
      <c r="AH646" s="151">
        <f ca="1">IF(Table2[[#This Row],[Start Date]]&gt;TODAY(),1,)</f>
        <v>1</v>
      </c>
      <c r="AI646" s="151">
        <f>IF(ISBLANK(Table2[[#This Row],[Primary Instructor]]),0,1)</f>
        <v>1</v>
      </c>
      <c r="AJ646" s="151">
        <f>IF(ISBLANK(Table2[[#This Row],[Instructor 2]]),0,1)</f>
        <v>0</v>
      </c>
      <c r="AK646" s="496">
        <f>Table2[[#This Row],[Course Length (Hours)]]/(Table2[[#This Row],[1 Instructor]]+Table2[[#This Row],[2 Instructors]])</f>
        <v>30</v>
      </c>
      <c r="AL646" s="113">
        <v>31</v>
      </c>
      <c r="AM646" s="498">
        <v>4</v>
      </c>
      <c r="AN646" s="151" t="str">
        <f>VLOOKUP(Table2[[#This Row],[Course Title]],'TSD-Data'!$A$1:$G$83,7,FALSE)</f>
        <v>N5</v>
      </c>
      <c r="AO646" s="502">
        <f>Table2[[#This Row],[Quotas]]-Table2[[#This Row],[Graduates]]-Table2[[#This Row],[Fail]]</f>
        <v>45</v>
      </c>
    </row>
    <row r="647" spans="2:41" ht="15" customHeight="1" x14ac:dyDescent="0.25">
      <c r="B647" s="83"/>
      <c r="C647" s="83" t="s">
        <v>252</v>
      </c>
      <c r="D647" s="59" t="str">
        <f>VLOOKUP(Table2[[#This Row],[Course Title]],'TSD-Data'!$A$1:$E$83,2,FALSE)</f>
        <v>A-493-0335</v>
      </c>
      <c r="E647" s="59" t="str">
        <f>VLOOKUP(Table2[[#This Row],[Course Title]],'TSD-Data'!$A$1:$E$83,3,FALSE)</f>
        <v>09ND</v>
      </c>
      <c r="F647" s="442" t="s">
        <v>54</v>
      </c>
      <c r="G647" s="61">
        <v>46287</v>
      </c>
      <c r="H647" s="61">
        <v>46290</v>
      </c>
      <c r="I647" s="61" t="s">
        <v>42</v>
      </c>
      <c r="J647" s="64"/>
      <c r="K647" s="64">
        <v>0.33333333333333331</v>
      </c>
      <c r="L647" s="64">
        <v>0.20833333333333334</v>
      </c>
      <c r="M647" s="64">
        <v>0.625</v>
      </c>
      <c r="N647" s="64">
        <v>0.54166666666666663</v>
      </c>
      <c r="O647" s="64">
        <v>8.3333333333333329E-2</v>
      </c>
      <c r="P647" s="64">
        <v>0.875</v>
      </c>
      <c r="Q647" s="73" t="s">
        <v>82</v>
      </c>
      <c r="R647" s="73"/>
      <c r="S647" s="73"/>
      <c r="T647" s="59">
        <f>VLOOKUP(Table2[[#This Row],[Course Title]],'TSD-Data'!$A$1:$E$83,4,FALSE)</f>
        <v>45</v>
      </c>
      <c r="U647" s="59">
        <f>VLOOKUP(Table2[[#This Row],[Course Title]],'TSD-Data'!$A$1:$F$83,6,FALSE)</f>
        <v>32</v>
      </c>
      <c r="V647" s="63">
        <f>VLOOKUP(Table2[[#This Row],[Course Title]],'TSD-Data'!$A$1:$F$83,5,FALSE)</f>
        <v>4</v>
      </c>
      <c r="W647" s="63">
        <v>301</v>
      </c>
      <c r="X647" s="59">
        <f>Table2[[#This Row],[Quotas]]-Table2[[#This Row],[Open Quotas]]</f>
        <v>21</v>
      </c>
      <c r="Y647" s="59">
        <v>0</v>
      </c>
      <c r="Z647" s="63"/>
      <c r="AA647" s="63"/>
      <c r="AB647" s="59"/>
      <c r="AC647" s="59"/>
      <c r="AD647" s="59"/>
      <c r="AE647" s="59"/>
      <c r="AF647" s="149">
        <f ca="1">Table2[[#This Row],[End Date]]+2-TODAY()</f>
        <v>48</v>
      </c>
      <c r="AG647" s="151">
        <f>IF(ISBLANK(Table2[[#This Row],[Roster Received by]]),1,0)</f>
        <v>1</v>
      </c>
      <c r="AH647" s="151">
        <f ca="1">IF(Table2[[#This Row],[Start Date]]&gt;TODAY(),1,)</f>
        <v>1</v>
      </c>
      <c r="AI647" s="151">
        <f>IF(ISBLANK(Table2[[#This Row],[Primary Instructor]]),0,1)</f>
        <v>1</v>
      </c>
      <c r="AJ647" s="151">
        <f>IF(ISBLANK(Table2[[#This Row],[Instructor 2]]),0,1)</f>
        <v>0</v>
      </c>
      <c r="AK647" s="496">
        <f>Table2[[#This Row],[Course Length (Hours)]]/(Table2[[#This Row],[1 Instructor]]+Table2[[#This Row],[2 Instructors]])</f>
        <v>32</v>
      </c>
      <c r="AL647" s="113">
        <v>24</v>
      </c>
      <c r="AM647" s="498">
        <v>4</v>
      </c>
      <c r="AN647" s="151" t="str">
        <f>VLOOKUP(Table2[[#This Row],[Course Title]],'TSD-Data'!$A$1:$G$83,7,FALSE)</f>
        <v>N3</v>
      </c>
      <c r="AO647" s="502">
        <f>Table2[[#This Row],[Quotas]]-Table2[[#This Row],[Graduates]]-Table2[[#This Row],[Fail]]</f>
        <v>45</v>
      </c>
    </row>
    <row r="648" spans="2:41" ht="15" customHeight="1" x14ac:dyDescent="0.25">
      <c r="B648" s="83"/>
      <c r="C648" s="83" t="s">
        <v>396</v>
      </c>
      <c r="D648" s="59" t="str">
        <f>VLOOKUP(Table2[[#This Row],[Course Title]],'TSD-Data'!$A$1:$E$83,2,FALSE)</f>
        <v>A-493-3018</v>
      </c>
      <c r="E648" s="59" t="str">
        <f>VLOOKUP(Table2[[#This Row],[Course Title]],'TSD-Data'!$A$1:$E$83,3,FALSE)</f>
        <v>31YM</v>
      </c>
      <c r="F648" s="442" t="s">
        <v>54</v>
      </c>
      <c r="G648" s="61">
        <v>46287</v>
      </c>
      <c r="H648" s="61">
        <v>46287</v>
      </c>
      <c r="I648" s="61" t="s">
        <v>42</v>
      </c>
      <c r="J648" s="64"/>
      <c r="K648" s="64">
        <v>2.0833333333333332E-2</v>
      </c>
      <c r="L648" s="64">
        <v>0.89583333333333337</v>
      </c>
      <c r="M648" s="64">
        <v>0.3125</v>
      </c>
      <c r="N648" s="64">
        <v>0.27083333333333331</v>
      </c>
      <c r="O648" s="64">
        <v>0.8125</v>
      </c>
      <c r="P648" s="64">
        <v>0.5625</v>
      </c>
      <c r="Q648" s="73" t="s">
        <v>445</v>
      </c>
      <c r="R648" s="73" t="s">
        <v>483</v>
      </c>
      <c r="S648" s="73"/>
      <c r="T648" s="59">
        <f>VLOOKUP(Table2[[#This Row],[Course Title]],'TSD-Data'!$A$1:$E$83,4,FALSE)</f>
        <v>1000</v>
      </c>
      <c r="U648" s="59">
        <f>VLOOKUP(Table2[[#This Row],[Course Title]],'TSD-Data'!$A$1:$F$83,6,FALSE)</f>
        <v>2</v>
      </c>
      <c r="V648" s="63">
        <f>VLOOKUP(Table2[[#This Row],[Course Title]],'TSD-Data'!$A$1:$F$83,5,FALSE)</f>
        <v>0.25</v>
      </c>
      <c r="W648" s="63"/>
      <c r="X648" s="59">
        <f>Table2[[#This Row],[Quotas]]-Table2[[#This Row],[Open Quotas]]</f>
        <v>12</v>
      </c>
      <c r="Y648" s="59"/>
      <c r="Z648" s="63"/>
      <c r="AA648" s="63"/>
      <c r="AB648" s="59"/>
      <c r="AC648" s="59"/>
      <c r="AD648" s="59"/>
      <c r="AE648" s="59"/>
      <c r="AF648" s="63">
        <f ca="1">Table2[[#This Row],[End Date]]+2-TODAY()</f>
        <v>45</v>
      </c>
      <c r="AG648" s="59">
        <f>IF(ISBLANK(Table2[[#This Row],[Roster Received by]]),1,0)</f>
        <v>1</v>
      </c>
      <c r="AH648" s="59">
        <f ca="1">IF(Table2[[#This Row],[Start Date]]&gt;TODAY(),1,)</f>
        <v>1</v>
      </c>
      <c r="AI648" s="59">
        <f>IF(ISBLANK(Table2[[#This Row],[Primary Instructor]]),0,1)</f>
        <v>1</v>
      </c>
      <c r="AJ648" s="59">
        <f>IF(ISBLANK(Table2[[#This Row],[Instructor 2]]),0,1)</f>
        <v>1</v>
      </c>
      <c r="AK648" s="59">
        <f t="shared" ref="AK648:AK656" si="5">AJ919</f>
        <v>0</v>
      </c>
      <c r="AL648" s="113">
        <v>988</v>
      </c>
      <c r="AM648" s="59"/>
      <c r="AN648" s="59" t="str">
        <f>VLOOKUP(Table2[[#This Row],[Course Title]],'TSD-Data'!$A$1:$G$83,7,FALSE)</f>
        <v>N8-RMI</v>
      </c>
      <c r="AO648" s="508">
        <f>Table2[[#This Row],[Quotas]]-Table2[[#This Row],[Graduates]]-Table2[[#This Row],[Fail]]</f>
        <v>1000</v>
      </c>
    </row>
    <row r="649" spans="2:41" ht="15" customHeight="1" x14ac:dyDescent="0.25">
      <c r="B649" s="83"/>
      <c r="C649" s="83" t="s">
        <v>403</v>
      </c>
      <c r="D649" s="59" t="str">
        <f>VLOOKUP(Table2[[#This Row],[Course Title]],'TSD-Data'!$A$1:$E$83,2,FALSE)</f>
        <v>A-493-3013</v>
      </c>
      <c r="E649" s="59" t="str">
        <f>VLOOKUP(Table2[[#This Row],[Course Title]],'TSD-Data'!$A$1:$E$83,3,FALSE)</f>
        <v>31YG</v>
      </c>
      <c r="F649" s="442" t="s">
        <v>54</v>
      </c>
      <c r="G649" s="61">
        <v>46287</v>
      </c>
      <c r="H649" s="61">
        <v>46287</v>
      </c>
      <c r="I649" s="61" t="s">
        <v>42</v>
      </c>
      <c r="J649" s="64"/>
      <c r="K649" s="64">
        <v>0.79166666666666663</v>
      </c>
      <c r="L649" s="64">
        <v>0.66666666666666663</v>
      </c>
      <c r="M649" s="64">
        <v>8.3333333333333329E-2</v>
      </c>
      <c r="N649" s="64">
        <v>4.1666666666666664E-2</v>
      </c>
      <c r="O649" s="64">
        <v>0.58333333333333337</v>
      </c>
      <c r="P649" s="64">
        <v>0.33333333333333331</v>
      </c>
      <c r="Q649" s="73" t="s">
        <v>445</v>
      </c>
      <c r="R649" s="73" t="s">
        <v>483</v>
      </c>
      <c r="S649" s="73"/>
      <c r="T649" s="59">
        <f>VLOOKUP(Table2[[#This Row],[Course Title]],'TSD-Data'!$A$1:$E$83,4,FALSE)</f>
        <v>1000</v>
      </c>
      <c r="U649" s="59">
        <f>VLOOKUP(Table2[[#This Row],[Course Title]],'TSD-Data'!$A$1:$F$83,6,FALSE)</f>
        <v>2</v>
      </c>
      <c r="V649" s="63">
        <f>VLOOKUP(Table2[[#This Row],[Course Title]],'TSD-Data'!$A$1:$F$83,5,FALSE)</f>
        <v>0.25</v>
      </c>
      <c r="W649" s="63"/>
      <c r="X649" s="59">
        <f>Table2[[#This Row],[Quotas]]-Table2[[#This Row],[Open Quotas]]</f>
        <v>12</v>
      </c>
      <c r="Y649" s="59"/>
      <c r="Z649" s="63"/>
      <c r="AA649" s="63"/>
      <c r="AB649" s="59"/>
      <c r="AC649" s="59"/>
      <c r="AD649" s="59"/>
      <c r="AE649" s="59"/>
      <c r="AF649" s="63">
        <f ca="1">Table2[[#This Row],[End Date]]+2-TODAY()</f>
        <v>45</v>
      </c>
      <c r="AG649" s="59">
        <f>IF(ISBLANK(Table2[[#This Row],[Roster Received by]]),1,0)</f>
        <v>1</v>
      </c>
      <c r="AH649" s="59">
        <f ca="1">IF(Table2[[#This Row],[Start Date]]&gt;TODAY(),1,)</f>
        <v>1</v>
      </c>
      <c r="AI649" s="59">
        <f>IF(ISBLANK(Table2[[#This Row],[Primary Instructor]]),0,1)</f>
        <v>1</v>
      </c>
      <c r="AJ649" s="59">
        <f>IF(ISBLANK(Table2[[#This Row],[Instructor 2]]),0,1)</f>
        <v>1</v>
      </c>
      <c r="AK649" s="59">
        <f t="shared" si="5"/>
        <v>0</v>
      </c>
      <c r="AL649" s="113">
        <v>988</v>
      </c>
      <c r="AM649" s="59"/>
      <c r="AN649" s="59" t="str">
        <f>VLOOKUP(Table2[[#This Row],[Course Title]],'TSD-Data'!$A$1:$G$83,7,FALSE)</f>
        <v>N8-RMI</v>
      </c>
      <c r="AO649" s="508">
        <f>Table2[[#This Row],[Quotas]]-Table2[[#This Row],[Graduates]]-Table2[[#This Row],[Fail]]</f>
        <v>1000</v>
      </c>
    </row>
    <row r="650" spans="2:41" s="202" customFormat="1" ht="15" customHeight="1" x14ac:dyDescent="0.25">
      <c r="B650" s="83"/>
      <c r="C650" s="83" t="s">
        <v>404</v>
      </c>
      <c r="D650" s="59" t="str">
        <f>VLOOKUP(Table2[[#This Row],[Course Title]],'TSD-Data'!$A$1:$E$83,2,FALSE)</f>
        <v>A-493-3014</v>
      </c>
      <c r="E650" s="59" t="str">
        <f>VLOOKUP(Table2[[#This Row],[Course Title]],'TSD-Data'!$A$1:$E$83,3,FALSE)</f>
        <v>31Yh</v>
      </c>
      <c r="F650" s="442" t="s">
        <v>54</v>
      </c>
      <c r="G650" s="61">
        <v>46287</v>
      </c>
      <c r="H650" s="61">
        <v>46287</v>
      </c>
      <c r="I650" s="61" t="s">
        <v>42</v>
      </c>
      <c r="J650" s="64"/>
      <c r="K650" s="64">
        <v>0.97916666666666663</v>
      </c>
      <c r="L650" s="64">
        <v>0.85416666666666663</v>
      </c>
      <c r="M650" s="64">
        <v>0.27083333333333331</v>
      </c>
      <c r="N650" s="64">
        <v>0.22916666666666666</v>
      </c>
      <c r="O650" s="64">
        <v>0.77083333333333337</v>
      </c>
      <c r="P650" s="64">
        <v>0.52083333333333337</v>
      </c>
      <c r="Q650" s="73" t="s">
        <v>445</v>
      </c>
      <c r="R650" s="73" t="s">
        <v>483</v>
      </c>
      <c r="S650" s="73"/>
      <c r="T650" s="59">
        <f>VLOOKUP(Table2[[#This Row],[Course Title]],'TSD-Data'!$A$1:$E$83,4,FALSE)</f>
        <v>1000</v>
      </c>
      <c r="U650" s="59">
        <f>VLOOKUP(Table2[[#This Row],[Course Title]],'TSD-Data'!$A$1:$F$83,6,FALSE)</f>
        <v>1.5</v>
      </c>
      <c r="V650" s="63">
        <f>VLOOKUP(Table2[[#This Row],[Course Title]],'TSD-Data'!$A$1:$F$83,5,FALSE)</f>
        <v>0.1</v>
      </c>
      <c r="W650" s="63"/>
      <c r="X650" s="59">
        <f>Table2[[#This Row],[Quotas]]-Table2[[#This Row],[Open Quotas]]</f>
        <v>12</v>
      </c>
      <c r="Y650" s="59"/>
      <c r="Z650" s="63"/>
      <c r="AA650" s="63"/>
      <c r="AB650" s="59"/>
      <c r="AC650" s="59"/>
      <c r="AD650" s="59"/>
      <c r="AE650" s="59"/>
      <c r="AF650" s="63">
        <f ca="1">Table2[[#This Row],[End Date]]+2-TODAY()</f>
        <v>45</v>
      </c>
      <c r="AG650" s="59">
        <f>IF(ISBLANK(Table2[[#This Row],[Roster Received by]]),1,0)</f>
        <v>1</v>
      </c>
      <c r="AH650" s="59">
        <f ca="1">IF(Table2[[#This Row],[Start Date]]&gt;TODAY(),1,)</f>
        <v>1</v>
      </c>
      <c r="AI650" s="59">
        <f>IF(ISBLANK(Table2[[#This Row],[Primary Instructor]]),0,1)</f>
        <v>1</v>
      </c>
      <c r="AJ650" s="59">
        <f>IF(ISBLANK(Table2[[#This Row],[Instructor 2]]),0,1)</f>
        <v>1</v>
      </c>
      <c r="AK650" s="59">
        <f t="shared" si="5"/>
        <v>0</v>
      </c>
      <c r="AL650" s="113">
        <v>988</v>
      </c>
      <c r="AM650" s="59"/>
      <c r="AN650" s="59" t="str">
        <f>VLOOKUP(Table2[[#This Row],[Course Title]],'TSD-Data'!$A$1:$G$83,7,FALSE)</f>
        <v>N8-RMI</v>
      </c>
      <c r="AO650" s="508">
        <f>Table2[[#This Row],[Quotas]]-Table2[[#This Row],[Graduates]]-Table2[[#This Row],[Fail]]</f>
        <v>1000</v>
      </c>
    </row>
    <row r="651" spans="2:41" ht="15" customHeight="1" x14ac:dyDescent="0.25">
      <c r="B651" s="83"/>
      <c r="C651" s="83" t="s">
        <v>405</v>
      </c>
      <c r="D651" s="59" t="str">
        <f>VLOOKUP(Table2[[#This Row],[Course Title]],'TSD-Data'!$A$1:$E$83,2,FALSE)</f>
        <v>A-493-3015</v>
      </c>
      <c r="E651" s="59" t="str">
        <f>VLOOKUP(Table2[[#This Row],[Course Title]],'TSD-Data'!$A$1:$E$83,3,FALSE)</f>
        <v>31YJ</v>
      </c>
      <c r="F651" s="442" t="s">
        <v>54</v>
      </c>
      <c r="G651" s="61">
        <v>46287</v>
      </c>
      <c r="H651" s="61">
        <v>46287</v>
      </c>
      <c r="I651" s="61" t="s">
        <v>42</v>
      </c>
      <c r="J651" s="64"/>
      <c r="K651" s="64">
        <v>0.89583333333333337</v>
      </c>
      <c r="L651" s="64">
        <v>0.77083333333333337</v>
      </c>
      <c r="M651" s="64">
        <v>0.1875</v>
      </c>
      <c r="N651" s="64">
        <v>0.14583333333333334</v>
      </c>
      <c r="O651" s="64">
        <v>0.6875</v>
      </c>
      <c r="P651" s="64">
        <v>0.4375</v>
      </c>
      <c r="Q651" s="73" t="s">
        <v>445</v>
      </c>
      <c r="R651" s="73" t="s">
        <v>483</v>
      </c>
      <c r="S651" s="73"/>
      <c r="T651" s="59">
        <f>VLOOKUP(Table2[[#This Row],[Course Title]],'TSD-Data'!$A$1:$E$83,4,FALSE)</f>
        <v>1000</v>
      </c>
      <c r="U651" s="59">
        <f>VLOOKUP(Table2[[#This Row],[Course Title]],'TSD-Data'!$A$1:$F$83,6,FALSE)</f>
        <v>1.5</v>
      </c>
      <c r="V651" s="63">
        <f>VLOOKUP(Table2[[#This Row],[Course Title]],'TSD-Data'!$A$1:$F$83,5,FALSE)</f>
        <v>0.1</v>
      </c>
      <c r="W651" s="63"/>
      <c r="X651" s="59">
        <f>Table2[[#This Row],[Quotas]]-Table2[[#This Row],[Open Quotas]]</f>
        <v>12</v>
      </c>
      <c r="Y651" s="59"/>
      <c r="Z651" s="63"/>
      <c r="AA651" s="63"/>
      <c r="AB651" s="59"/>
      <c r="AC651" s="59"/>
      <c r="AD651" s="59"/>
      <c r="AE651" s="59"/>
      <c r="AF651" s="63">
        <f ca="1">Table2[[#This Row],[End Date]]+2-TODAY()</f>
        <v>45</v>
      </c>
      <c r="AG651" s="59">
        <f>IF(ISBLANK(Table2[[#This Row],[Roster Received by]]),1,0)</f>
        <v>1</v>
      </c>
      <c r="AH651" s="59">
        <f ca="1">IF(Table2[[#This Row],[Start Date]]&gt;TODAY(),1,)</f>
        <v>1</v>
      </c>
      <c r="AI651" s="59">
        <f>IF(ISBLANK(Table2[[#This Row],[Primary Instructor]]),0,1)</f>
        <v>1</v>
      </c>
      <c r="AJ651" s="59">
        <f>IF(ISBLANK(Table2[[#This Row],[Instructor 2]]),0,1)</f>
        <v>1</v>
      </c>
      <c r="AK651" s="59">
        <f t="shared" si="5"/>
        <v>0</v>
      </c>
      <c r="AL651" s="113">
        <v>988</v>
      </c>
      <c r="AM651" s="59"/>
      <c r="AN651" s="59" t="str">
        <f>VLOOKUP(Table2[[#This Row],[Course Title]],'TSD-Data'!$A$1:$G$83,7,FALSE)</f>
        <v>N8-RMI</v>
      </c>
      <c r="AO651" s="508">
        <f>Table2[[#This Row],[Quotas]]-Table2[[#This Row],[Graduates]]-Table2[[#This Row],[Fail]]</f>
        <v>1000</v>
      </c>
    </row>
    <row r="652" spans="2:41" ht="15" customHeight="1" x14ac:dyDescent="0.25">
      <c r="B652" s="83"/>
      <c r="C652" s="83" t="s">
        <v>402</v>
      </c>
      <c r="D652" s="59" t="str">
        <f>VLOOKUP(Table2[[#This Row],[Course Title]],'TSD-Data'!$A$1:$E$83,2,FALSE)</f>
        <v>A-493-3017</v>
      </c>
      <c r="E652" s="59" t="str">
        <f>VLOOKUP(Table2[[#This Row],[Course Title]],'TSD-Data'!$A$1:$E$83,3,FALSE)</f>
        <v>31YL</v>
      </c>
      <c r="F652" s="442" t="s">
        <v>54</v>
      </c>
      <c r="G652" s="61">
        <v>46288</v>
      </c>
      <c r="H652" s="61">
        <v>46288</v>
      </c>
      <c r="I652" s="61" t="s">
        <v>42</v>
      </c>
      <c r="J652" s="64"/>
      <c r="K652" s="64">
        <v>0.97916666666666663</v>
      </c>
      <c r="L652" s="64">
        <v>0.85416666666666663</v>
      </c>
      <c r="M652" s="64">
        <v>0.27083333333333331</v>
      </c>
      <c r="N652" s="64">
        <v>0.22916666666666666</v>
      </c>
      <c r="O652" s="64">
        <v>0.77083333333333337</v>
      </c>
      <c r="P652" s="64">
        <v>0.52083333333333337</v>
      </c>
      <c r="Q652" s="73" t="s">
        <v>445</v>
      </c>
      <c r="R652" s="73" t="s">
        <v>483</v>
      </c>
      <c r="S652" s="73"/>
      <c r="T652" s="59">
        <f>VLOOKUP(Table2[[#This Row],[Course Title]],'TSD-Data'!$A$1:$E$83,4,FALSE)</f>
        <v>1000</v>
      </c>
      <c r="U652" s="59">
        <f>VLOOKUP(Table2[[#This Row],[Course Title]],'TSD-Data'!$A$1:$F$83,6,FALSE)</f>
        <v>1.5</v>
      </c>
      <c r="V652" s="63">
        <f>VLOOKUP(Table2[[#This Row],[Course Title]],'TSD-Data'!$A$1:$F$83,5,FALSE)</f>
        <v>0.1</v>
      </c>
      <c r="W652" s="63"/>
      <c r="X652" s="59">
        <f>Table2[[#This Row],[Quotas]]-Table2[[#This Row],[Open Quotas]]</f>
        <v>12</v>
      </c>
      <c r="Y652" s="59"/>
      <c r="Z652" s="63"/>
      <c r="AA652" s="63"/>
      <c r="AB652" s="59"/>
      <c r="AC652" s="59"/>
      <c r="AD652" s="59"/>
      <c r="AE652" s="59"/>
      <c r="AF652" s="63">
        <f ca="1">Table2[[#This Row],[End Date]]+2-TODAY()</f>
        <v>46</v>
      </c>
      <c r="AG652" s="59">
        <f>IF(ISBLANK(Table2[[#This Row],[Roster Received by]]),1,0)</f>
        <v>1</v>
      </c>
      <c r="AH652" s="59">
        <f ca="1">IF(Table2[[#This Row],[Start Date]]&gt;TODAY(),1,)</f>
        <v>1</v>
      </c>
      <c r="AI652" s="59">
        <f>IF(ISBLANK(Table2[[#This Row],[Primary Instructor]]),0,1)</f>
        <v>1</v>
      </c>
      <c r="AJ652" s="59">
        <f>IF(ISBLANK(Table2[[#This Row],[Instructor 2]]),0,1)</f>
        <v>1</v>
      </c>
      <c r="AK652" s="59">
        <f t="shared" si="5"/>
        <v>0</v>
      </c>
      <c r="AL652" s="113">
        <v>988</v>
      </c>
      <c r="AM652" s="59"/>
      <c r="AN652" s="59" t="str">
        <f>VLOOKUP(Table2[[#This Row],[Course Title]],'TSD-Data'!$A$1:$G$83,7,FALSE)</f>
        <v>N8-RMI</v>
      </c>
      <c r="AO652" s="508">
        <f>Table2[[#This Row],[Quotas]]-Table2[[#This Row],[Graduates]]-Table2[[#This Row],[Fail]]</f>
        <v>1000</v>
      </c>
    </row>
    <row r="653" spans="2:41" ht="15" customHeight="1" x14ac:dyDescent="0.25">
      <c r="B653" s="83"/>
      <c r="C653" s="83" t="s">
        <v>406</v>
      </c>
      <c r="D653" s="59" t="str">
        <f>VLOOKUP(Table2[[#This Row],[Course Title]],'TSD-Data'!$A$1:$E$83,2,FALSE)</f>
        <v>A-493-3016</v>
      </c>
      <c r="E653" s="59" t="str">
        <f>VLOOKUP(Table2[[#This Row],[Course Title]],'TSD-Data'!$A$1:$E$83,3,FALSE)</f>
        <v>31Yk</v>
      </c>
      <c r="F653" s="442" t="s">
        <v>54</v>
      </c>
      <c r="G653" s="61">
        <v>46288</v>
      </c>
      <c r="H653" s="61">
        <v>46288</v>
      </c>
      <c r="I653" s="61" t="s">
        <v>42</v>
      </c>
      <c r="J653" s="64"/>
      <c r="K653" s="64">
        <v>6.25E-2</v>
      </c>
      <c r="L653" s="64">
        <v>0.9375</v>
      </c>
      <c r="M653" s="64">
        <v>0.35416666666666669</v>
      </c>
      <c r="N653" s="64">
        <v>0.3125</v>
      </c>
      <c r="O653" s="64">
        <v>0.85416666666666663</v>
      </c>
      <c r="P653" s="64">
        <v>0.60416666666666663</v>
      </c>
      <c r="Q653" s="73" t="s">
        <v>445</v>
      </c>
      <c r="R653" s="73" t="s">
        <v>483</v>
      </c>
      <c r="S653" s="73"/>
      <c r="T653" s="59">
        <f>VLOOKUP(Table2[[#This Row],[Course Title]],'TSD-Data'!$A$1:$E$83,4,FALSE)</f>
        <v>1000</v>
      </c>
      <c r="U653" s="59">
        <f>VLOOKUP(Table2[[#This Row],[Course Title]],'TSD-Data'!$A$1:$F$83,6,FALSE)</f>
        <v>1.5</v>
      </c>
      <c r="V653" s="63">
        <f>VLOOKUP(Table2[[#This Row],[Course Title]],'TSD-Data'!$A$1:$F$83,5,FALSE)</f>
        <v>0.1</v>
      </c>
      <c r="W653" s="63"/>
      <c r="X653" s="59">
        <f>Table2[[#This Row],[Quotas]]-Table2[[#This Row],[Open Quotas]]</f>
        <v>12</v>
      </c>
      <c r="Y653" s="59"/>
      <c r="Z653" s="63"/>
      <c r="AA653" s="63"/>
      <c r="AB653" s="59"/>
      <c r="AC653" s="59"/>
      <c r="AD653" s="59"/>
      <c r="AE653" s="59"/>
      <c r="AF653" s="63">
        <f ca="1">Table2[[#This Row],[End Date]]+2-TODAY()</f>
        <v>46</v>
      </c>
      <c r="AG653" s="59">
        <f>IF(ISBLANK(Table2[[#This Row],[Roster Received by]]),1,0)</f>
        <v>1</v>
      </c>
      <c r="AH653" s="59">
        <f ca="1">IF(Table2[[#This Row],[Start Date]]&gt;TODAY(),1,)</f>
        <v>1</v>
      </c>
      <c r="AI653" s="59">
        <f>IF(ISBLANK(Table2[[#This Row],[Primary Instructor]]),0,1)</f>
        <v>1</v>
      </c>
      <c r="AJ653" s="59">
        <f>IF(ISBLANK(Table2[[#This Row],[Instructor 2]]),0,1)</f>
        <v>1</v>
      </c>
      <c r="AK653" s="59">
        <f t="shared" si="5"/>
        <v>0</v>
      </c>
      <c r="AL653" s="113">
        <v>988</v>
      </c>
      <c r="AM653" s="59"/>
      <c r="AN653" s="59" t="str">
        <f>VLOOKUP(Table2[[#This Row],[Course Title]],'TSD-Data'!$A$1:$G$83,7,FALSE)</f>
        <v>N8-RMI</v>
      </c>
      <c r="AO653" s="508">
        <f>Table2[[#This Row],[Quotas]]-Table2[[#This Row],[Graduates]]-Table2[[#This Row],[Fail]]</f>
        <v>1000</v>
      </c>
    </row>
    <row r="654" spans="2:41" ht="15" customHeight="1" x14ac:dyDescent="0.25">
      <c r="B654" s="83"/>
      <c r="C654" s="83" t="s">
        <v>408</v>
      </c>
      <c r="D654" s="59" t="str">
        <f>VLOOKUP(Table2[[#This Row],[Course Title]],'TSD-Data'!$A$1:$E$83,2,FALSE)</f>
        <v>A-493-3008</v>
      </c>
      <c r="E654" s="59" t="str">
        <f>VLOOKUP(Table2[[#This Row],[Course Title]],'TSD-Data'!$A$1:$E$83,3,FALSE)</f>
        <v>31VA</v>
      </c>
      <c r="F654" s="442" t="s">
        <v>54</v>
      </c>
      <c r="G654" s="61">
        <v>46288</v>
      </c>
      <c r="H654" s="61">
        <v>46288</v>
      </c>
      <c r="I654" s="61" t="s">
        <v>42</v>
      </c>
      <c r="J654" s="64"/>
      <c r="K654" s="64">
        <v>0.79166666666666663</v>
      </c>
      <c r="L654" s="64">
        <v>0.66666666666666663</v>
      </c>
      <c r="M654" s="64">
        <v>8.3333333333333329E-2</v>
      </c>
      <c r="N654" s="64">
        <v>4.1666666666666664E-2</v>
      </c>
      <c r="O654" s="64">
        <v>0.58333333333333337</v>
      </c>
      <c r="P654" s="64">
        <v>0.33333333333333331</v>
      </c>
      <c r="Q654" s="73" t="s">
        <v>445</v>
      </c>
      <c r="R654" s="73" t="s">
        <v>483</v>
      </c>
      <c r="S654" s="73"/>
      <c r="T654" s="59">
        <f>VLOOKUP(Table2[[#This Row],[Course Title]],'TSD-Data'!$A$1:$E$83,4,FALSE)</f>
        <v>1000</v>
      </c>
      <c r="U654" s="59">
        <f>VLOOKUP(Table2[[#This Row],[Course Title]],'TSD-Data'!$A$1:$F$83,6,FALSE)</f>
        <v>1.5</v>
      </c>
      <c r="V654" s="63">
        <f>VLOOKUP(Table2[[#This Row],[Course Title]],'TSD-Data'!$A$1:$F$83,5,FALSE)</f>
        <v>0.1</v>
      </c>
      <c r="W654" s="63"/>
      <c r="X654" s="59">
        <f>Table2[[#This Row],[Quotas]]-Table2[[#This Row],[Open Quotas]]</f>
        <v>12</v>
      </c>
      <c r="Y654" s="59"/>
      <c r="Z654" s="63"/>
      <c r="AA654" s="63"/>
      <c r="AB654" s="59"/>
      <c r="AC654" s="59"/>
      <c r="AD654" s="59"/>
      <c r="AE654" s="59"/>
      <c r="AF654" s="63">
        <f ca="1">Table2[[#This Row],[End Date]]+2-TODAY()</f>
        <v>46</v>
      </c>
      <c r="AG654" s="59">
        <f>IF(ISBLANK(Table2[[#This Row],[Roster Received by]]),1,0)</f>
        <v>1</v>
      </c>
      <c r="AH654" s="59">
        <f ca="1">IF(Table2[[#This Row],[Start Date]]&gt;TODAY(),1,)</f>
        <v>1</v>
      </c>
      <c r="AI654" s="59">
        <f>IF(ISBLANK(Table2[[#This Row],[Primary Instructor]]),0,1)</f>
        <v>1</v>
      </c>
      <c r="AJ654" s="59">
        <f>IF(ISBLANK(Table2[[#This Row],[Instructor 2]]),0,1)</f>
        <v>1</v>
      </c>
      <c r="AK654" s="59">
        <f t="shared" si="5"/>
        <v>0</v>
      </c>
      <c r="AL654" s="113">
        <v>988</v>
      </c>
      <c r="AM654" s="59"/>
      <c r="AN654" s="59" t="str">
        <f>VLOOKUP(Table2[[#This Row],[Course Title]],'TSD-Data'!$A$1:$G$83,7,FALSE)</f>
        <v>N8-RMI</v>
      </c>
      <c r="AO654" s="508">
        <f>Table2[[#This Row],[Quotas]]-Table2[[#This Row],[Graduates]]-Table2[[#This Row],[Fail]]</f>
        <v>1000</v>
      </c>
    </row>
    <row r="655" spans="2:41" ht="15" customHeight="1" x14ac:dyDescent="0.25">
      <c r="B655" s="83"/>
      <c r="C655" s="83" t="s">
        <v>412</v>
      </c>
      <c r="D655" s="59" t="str">
        <f>VLOOKUP(Table2[[#This Row],[Course Title]],'TSD-Data'!$A$1:$E$83,2,FALSE)</f>
        <v>A-493-3009</v>
      </c>
      <c r="E655" s="59" t="str">
        <f>VLOOKUP(Table2[[#This Row],[Course Title]],'TSD-Data'!$A$1:$E$83,3,FALSE)</f>
        <v>31VB</v>
      </c>
      <c r="F655" s="442" t="s">
        <v>54</v>
      </c>
      <c r="G655" s="61">
        <v>46288</v>
      </c>
      <c r="H655" s="61">
        <v>46288</v>
      </c>
      <c r="I655" s="61" t="s">
        <v>42</v>
      </c>
      <c r="J655" s="64"/>
      <c r="K655" s="64">
        <v>0.875</v>
      </c>
      <c r="L655" s="64">
        <v>0.75</v>
      </c>
      <c r="M655" s="64">
        <v>0.16666666666666666</v>
      </c>
      <c r="N655" s="64">
        <v>0.125</v>
      </c>
      <c r="O655" s="64">
        <v>0.66666666666666663</v>
      </c>
      <c r="P655" s="64">
        <v>0.41666666666666669</v>
      </c>
      <c r="Q655" s="73" t="s">
        <v>445</v>
      </c>
      <c r="R655" s="73" t="s">
        <v>483</v>
      </c>
      <c r="S655" s="73"/>
      <c r="T655" s="59">
        <f>VLOOKUP(Table2[[#This Row],[Course Title]],'TSD-Data'!$A$1:$E$83,4,FALSE)</f>
        <v>1000</v>
      </c>
      <c r="U655" s="59">
        <f>VLOOKUP(Table2[[#This Row],[Course Title]],'TSD-Data'!$A$1:$F$83,6,FALSE)</f>
        <v>1.5</v>
      </c>
      <c r="V655" s="63">
        <f>VLOOKUP(Table2[[#This Row],[Course Title]],'TSD-Data'!$A$1:$F$83,5,FALSE)</f>
        <v>0.1</v>
      </c>
      <c r="W655" s="63"/>
      <c r="X655" s="59">
        <f>Table2[[#This Row],[Quotas]]-Table2[[#This Row],[Open Quotas]]</f>
        <v>12</v>
      </c>
      <c r="Y655" s="59"/>
      <c r="Z655" s="63"/>
      <c r="AA655" s="63"/>
      <c r="AB655" s="59"/>
      <c r="AC655" s="59"/>
      <c r="AD655" s="59"/>
      <c r="AE655" s="59"/>
      <c r="AF655" s="63">
        <f ca="1">Table2[[#This Row],[End Date]]+2-TODAY()</f>
        <v>46</v>
      </c>
      <c r="AG655" s="59">
        <f>IF(ISBLANK(Table2[[#This Row],[Roster Received by]]),1,0)</f>
        <v>1</v>
      </c>
      <c r="AH655" s="59">
        <f ca="1">IF(Table2[[#This Row],[Start Date]]&gt;TODAY(),1,)</f>
        <v>1</v>
      </c>
      <c r="AI655" s="59">
        <f>IF(ISBLANK(Table2[[#This Row],[Primary Instructor]]),0,1)</f>
        <v>1</v>
      </c>
      <c r="AJ655" s="59">
        <f>IF(ISBLANK(Table2[[#This Row],[Instructor 2]]),0,1)</f>
        <v>1</v>
      </c>
      <c r="AK655" s="59">
        <f t="shared" si="5"/>
        <v>0</v>
      </c>
      <c r="AL655" s="113">
        <v>988</v>
      </c>
      <c r="AM655" s="59"/>
      <c r="AN655" s="59" t="str">
        <f>VLOOKUP(Table2[[#This Row],[Course Title]],'TSD-Data'!$A$1:$G$83,7,FALSE)</f>
        <v>N8-RMI</v>
      </c>
      <c r="AO655" s="508">
        <f>Table2[[#This Row],[Quotas]]-Table2[[#This Row],[Graduates]]-Table2[[#This Row],[Fail]]</f>
        <v>1000</v>
      </c>
    </row>
    <row r="656" spans="2:41" ht="15" customHeight="1" x14ac:dyDescent="0.25">
      <c r="B656" s="83"/>
      <c r="C656" s="83" t="s">
        <v>491</v>
      </c>
      <c r="D656" s="59" t="str">
        <f>VLOOKUP(Table2[[#This Row],[Course Title]],'TSD-Data'!$A$1:$E$83,2,FALSE)</f>
        <v xml:space="preserve">A-493-2021 </v>
      </c>
      <c r="E656" s="59" t="str">
        <f>VLOOKUP(Table2[[#This Row],[Course Title]],'TSD-Data'!$A$1:$E$83,3,FALSE)</f>
        <v>33DB</v>
      </c>
      <c r="F656" s="442" t="s">
        <v>54</v>
      </c>
      <c r="G656" s="61">
        <v>46289</v>
      </c>
      <c r="H656" s="61">
        <v>46289</v>
      </c>
      <c r="I656" s="61" t="s">
        <v>42</v>
      </c>
      <c r="J656" s="64"/>
      <c r="K656" s="64">
        <v>8.3333333333333329E-2</v>
      </c>
      <c r="L656" s="64">
        <v>0.95833333333333337</v>
      </c>
      <c r="M656" s="64">
        <v>0.375</v>
      </c>
      <c r="N656" s="64">
        <v>0.33333333333333331</v>
      </c>
      <c r="O656" s="64">
        <v>0.875</v>
      </c>
      <c r="P656" s="64">
        <v>0.625</v>
      </c>
      <c r="Q656" s="73" t="s">
        <v>445</v>
      </c>
      <c r="R656" s="73" t="s">
        <v>483</v>
      </c>
      <c r="S656" s="73"/>
      <c r="T656" s="59">
        <f>VLOOKUP(Table2[[#This Row],[Course Title]],'TSD-Data'!$A$1:$E$83,4,FALSE)</f>
        <v>1000</v>
      </c>
      <c r="U656" s="59">
        <f>VLOOKUP(Table2[[#This Row],[Course Title]],'TSD-Data'!$A$1:$F$83,6,FALSE)</f>
        <v>2</v>
      </c>
      <c r="V656" s="63">
        <f>VLOOKUP(Table2[[#This Row],[Course Title]],'TSD-Data'!$A$1:$F$83,5,FALSE)</f>
        <v>0.25</v>
      </c>
      <c r="W656" s="63"/>
      <c r="X656" s="59">
        <f>Table2[[#This Row],[Quotas]]-Table2[[#This Row],[Open Quotas]]</f>
        <v>12</v>
      </c>
      <c r="Y656" s="59"/>
      <c r="Z656" s="63"/>
      <c r="AA656" s="63"/>
      <c r="AB656" s="59"/>
      <c r="AC656" s="59"/>
      <c r="AD656" s="59"/>
      <c r="AE656" s="59"/>
      <c r="AF656" s="63">
        <f ca="1">Table2[[#This Row],[End Date]]+2-TODAY()</f>
        <v>47</v>
      </c>
      <c r="AG656" s="59">
        <f>IF(ISBLANK(Table2[[#This Row],[Roster Received by]]),1,0)</f>
        <v>1</v>
      </c>
      <c r="AH656" s="59">
        <f ca="1">IF(Table2[[#This Row],[Start Date]]&gt;TODAY(),1,)</f>
        <v>1</v>
      </c>
      <c r="AI656" s="59">
        <f>IF(ISBLANK(Table2[[#This Row],[Primary Instructor]]),0,1)</f>
        <v>1</v>
      </c>
      <c r="AJ656" s="59">
        <f>IF(ISBLANK(Table2[[#This Row],[Instructor 2]]),0,1)</f>
        <v>1</v>
      </c>
      <c r="AK656" s="59">
        <f t="shared" si="5"/>
        <v>0</v>
      </c>
      <c r="AL656" s="113">
        <v>988</v>
      </c>
      <c r="AM656" s="59"/>
      <c r="AN656" s="59" t="str">
        <f>VLOOKUP(Table2[[#This Row],[Course Title]],'TSD-Data'!$A$1:$G$83,7,FALSE)</f>
        <v>N8-RMI</v>
      </c>
      <c r="AO656" s="508">
        <f>Table2[[#This Row],[Quotas]]-Table2[[#This Row],[Graduates]]-Table2[[#This Row],[Fail]]</f>
        <v>1000</v>
      </c>
    </row>
    <row r="657" spans="2:41" ht="15" customHeight="1" x14ac:dyDescent="0.25">
      <c r="B657" s="83"/>
      <c r="C657" s="83" t="s">
        <v>276</v>
      </c>
      <c r="D657" s="59" t="str">
        <f>VLOOKUP(Table2[[#This Row],[Course Title]],'TSD-Data'!$A$1:$E$83,2,FALSE)</f>
        <v>A-493-0103</v>
      </c>
      <c r="E657" s="59" t="str">
        <f>VLOOKUP(Table2[[#This Row],[Course Title]],'TSD-Data'!$A$1:$E$83,3,FALSE)</f>
        <v>12JY</v>
      </c>
      <c r="F657" s="442" t="s">
        <v>121</v>
      </c>
      <c r="G657" s="61">
        <v>46293</v>
      </c>
      <c r="H657" s="61">
        <v>46297</v>
      </c>
      <c r="I657" s="61" t="s">
        <v>42</v>
      </c>
      <c r="J657" s="64">
        <v>0.33333333333333331</v>
      </c>
      <c r="K657" s="64"/>
      <c r="L657" s="61"/>
      <c r="M657" s="61"/>
      <c r="N657" s="61"/>
      <c r="O657" s="61"/>
      <c r="P657" s="61"/>
      <c r="Q657" s="73" t="s">
        <v>280</v>
      </c>
      <c r="R657" s="73"/>
      <c r="S657" s="73"/>
      <c r="T657" s="59">
        <f>VLOOKUP(Table2[[#This Row],[Course Title]],'TSD-Data'!$A$1:$E$83,4,FALSE)</f>
        <v>25</v>
      </c>
      <c r="U657" s="59">
        <f>VLOOKUP(Table2[[#This Row],[Course Title]],'TSD-Data'!$A$1:$F$83,6,FALSE)</f>
        <v>40</v>
      </c>
      <c r="V657" s="63">
        <f>VLOOKUP(Table2[[#This Row],[Course Title]],'TSD-Data'!$A$1:$F$83,5,FALSE)</f>
        <v>5</v>
      </c>
      <c r="W657" s="63">
        <v>225</v>
      </c>
      <c r="X657" s="59">
        <f>Table2[[#This Row],[Quotas]]-Table2[[#This Row],[Open Quotas]]</f>
        <v>16</v>
      </c>
      <c r="Y657" s="59">
        <v>0</v>
      </c>
      <c r="Z657" s="63"/>
      <c r="AA657" s="63"/>
      <c r="AB657" s="59"/>
      <c r="AC657" s="59"/>
      <c r="AD657" s="59"/>
      <c r="AE657" s="59"/>
      <c r="AF657" s="149">
        <f ca="1">Table2[[#This Row],[End Date]]+2-TODAY()</f>
        <v>55</v>
      </c>
      <c r="AG657" s="151">
        <f>IF(ISBLANK(Table2[[#This Row],[Roster Received by]]),1,0)</f>
        <v>1</v>
      </c>
      <c r="AH657" s="151">
        <f ca="1">IF(Table2[[#This Row],[Start Date]]&gt;TODAY(),1,)</f>
        <v>1</v>
      </c>
      <c r="AI657" s="151">
        <f>IF(ISBLANK(Table2[[#This Row],[Primary Instructor]]),0,1)</f>
        <v>1</v>
      </c>
      <c r="AJ657" s="151">
        <f>IF(ISBLANK(Table2[[#This Row],[Instructor 2]]),0,1)</f>
        <v>0</v>
      </c>
      <c r="AK657" s="496">
        <f>Table2[[#This Row],[Course Length (Hours)]]/(Table2[[#This Row],[1 Instructor]]+Table2[[#This Row],[2 Instructors]])</f>
        <v>40</v>
      </c>
      <c r="AL657" s="113">
        <v>9</v>
      </c>
      <c r="AM657" s="498">
        <v>4</v>
      </c>
      <c r="AN657" s="151" t="str">
        <f>VLOOKUP(Table2[[#This Row],[Course Title]],'TSD-Data'!$A$1:$G$83,7,FALSE)</f>
        <v>N5</v>
      </c>
      <c r="AO657" s="502">
        <f>Table2[[#This Row],[Quotas]]-Table2[[#This Row],[Graduates]]-Table2[[#This Row],[Fail]]</f>
        <v>25</v>
      </c>
    </row>
    <row r="658" spans="2:41" ht="15" customHeight="1" x14ac:dyDescent="0.25">
      <c r="B658" s="83"/>
      <c r="C658" s="83" t="s">
        <v>275</v>
      </c>
      <c r="D658" s="59" t="str">
        <f>VLOOKUP(Table2[[#This Row],[Course Title]],'TSD-Data'!$A$1:$E$83,2,FALSE)</f>
        <v>A-493-0099</v>
      </c>
      <c r="E658" s="59" t="str">
        <f>VLOOKUP(Table2[[#This Row],[Course Title]],'TSD-Data'!$A$1:$E$83,3,FALSE)</f>
        <v>12JW</v>
      </c>
      <c r="F658" s="442" t="s">
        <v>54</v>
      </c>
      <c r="G658" s="61">
        <v>46293</v>
      </c>
      <c r="H658" s="61">
        <v>46295</v>
      </c>
      <c r="I658" s="61" t="s">
        <v>42</v>
      </c>
      <c r="J658" s="64"/>
      <c r="K658" s="64">
        <v>0.33333333333333331</v>
      </c>
      <c r="L658" s="64">
        <v>0.20833333333333334</v>
      </c>
      <c r="M658" s="64">
        <v>0.625</v>
      </c>
      <c r="N658" s="64">
        <v>0.54166666666666663</v>
      </c>
      <c r="O658" s="64">
        <v>8.3333333333333329E-2</v>
      </c>
      <c r="P658" s="64">
        <v>0.875</v>
      </c>
      <c r="Q658" s="73" t="s">
        <v>274</v>
      </c>
      <c r="R658" s="73"/>
      <c r="S658" s="73"/>
      <c r="T658" s="59">
        <f>VLOOKUP(Table2[[#This Row],[Course Title]],'TSD-Data'!$A$1:$E$83,4,FALSE)</f>
        <v>45</v>
      </c>
      <c r="U658" s="59">
        <f>VLOOKUP(Table2[[#This Row],[Course Title]],'TSD-Data'!$A$1:$F$83,6,FALSE)</f>
        <v>24</v>
      </c>
      <c r="V658" s="63">
        <f>VLOOKUP(Table2[[#This Row],[Course Title]],'TSD-Data'!$A$1:$F$83,5,FALSE)</f>
        <v>3</v>
      </c>
      <c r="W658" s="63">
        <v>934</v>
      </c>
      <c r="X658" s="59">
        <f>Table2[[#This Row],[Quotas]]-Table2[[#This Row],[Open Quotas]]</f>
        <v>7</v>
      </c>
      <c r="Y658" s="59">
        <v>0</v>
      </c>
      <c r="Z658" s="63"/>
      <c r="AA658" s="63"/>
      <c r="AB658" s="59"/>
      <c r="AC658" s="59"/>
      <c r="AD658" s="59"/>
      <c r="AE658" s="59"/>
      <c r="AF658" s="149">
        <f ca="1">Table2[[#This Row],[End Date]]+2-TODAY()</f>
        <v>53</v>
      </c>
      <c r="AG658" s="151">
        <f>IF(ISBLANK(Table2[[#This Row],[Roster Received by]]),1,0)</f>
        <v>1</v>
      </c>
      <c r="AH658" s="151">
        <f ca="1">IF(Table2[[#This Row],[Start Date]]&gt;TODAY(),1,)</f>
        <v>1</v>
      </c>
      <c r="AI658" s="151">
        <f>IF(ISBLANK(Table2[[#This Row],[Primary Instructor]]),0,1)</f>
        <v>1</v>
      </c>
      <c r="AJ658" s="151">
        <f>IF(ISBLANK(Table2[[#This Row],[Instructor 2]]),0,1)</f>
        <v>0</v>
      </c>
      <c r="AK658" s="496">
        <f>Table2[[#This Row],[Course Length (Hours)]]/(Table2[[#This Row],[1 Instructor]]+Table2[[#This Row],[2 Instructors]])</f>
        <v>24</v>
      </c>
      <c r="AL658" s="113">
        <v>38</v>
      </c>
      <c r="AM658" s="151">
        <v>3</v>
      </c>
      <c r="AN658" s="151" t="str">
        <f>VLOOKUP(Table2[[#This Row],[Course Title]],'TSD-Data'!$A$1:$G$83,7,FALSE)</f>
        <v>N5</v>
      </c>
      <c r="AO658" s="502">
        <f>Table2[[#This Row],[Quotas]]-Table2[[#This Row],[Graduates]]-Table2[[#This Row],[Fail]]</f>
        <v>45</v>
      </c>
    </row>
    <row r="659" spans="2:41" ht="15" customHeight="1" x14ac:dyDescent="0.25">
      <c r="B659" s="83"/>
      <c r="C659" s="573" t="s">
        <v>249</v>
      </c>
      <c r="D659" s="59" t="str">
        <f>VLOOKUP(Table2[[#This Row],[Course Title]],'TSD-Data'!$A$1:$E$83,2,FALSE)</f>
        <v>A-493-0331</v>
      </c>
      <c r="E659" s="59" t="str">
        <f>VLOOKUP(Table2[[#This Row],[Course Title]],'TSD-Data'!$A$1:$E$83,3,FALSE)</f>
        <v>10UG</v>
      </c>
      <c r="F659" s="442" t="s">
        <v>54</v>
      </c>
      <c r="G659" s="61">
        <v>46293</v>
      </c>
      <c r="H659" s="61">
        <v>46295</v>
      </c>
      <c r="I659" s="61" t="s">
        <v>42</v>
      </c>
      <c r="J659" s="64"/>
      <c r="K659" s="64">
        <v>0.5</v>
      </c>
      <c r="L659" s="570">
        <v>0.375</v>
      </c>
      <c r="M659" s="570">
        <v>0.79166666666666663</v>
      </c>
      <c r="N659" s="570">
        <v>0.75</v>
      </c>
      <c r="O659" s="570">
        <v>0.25</v>
      </c>
      <c r="P659" s="570">
        <v>4.1666666666666664E-2</v>
      </c>
      <c r="Q659" s="73" t="s">
        <v>437</v>
      </c>
      <c r="R659" s="73"/>
      <c r="S659" s="73"/>
      <c r="T659" s="59">
        <f>VLOOKUP(Table2[[#This Row],[Course Title]],'TSD-Data'!$A$1:$E$83,4,FALSE)</f>
        <v>45</v>
      </c>
      <c r="U659" s="59">
        <f>VLOOKUP(Table2[[#This Row],[Course Title]],'TSD-Data'!$A$1:$F$83,6,FALSE)</f>
        <v>24</v>
      </c>
      <c r="V659" s="63">
        <f>VLOOKUP(Table2[[#This Row],[Course Title]],'TSD-Data'!$A$1:$F$83,5,FALSE)</f>
        <v>3</v>
      </c>
      <c r="W659" s="63">
        <v>844</v>
      </c>
      <c r="X659" s="59">
        <f>Table2[[#This Row],[Quotas]]-Table2[[#This Row],[Open Quotas]]</f>
        <v>11</v>
      </c>
      <c r="Y659" s="59">
        <v>0</v>
      </c>
      <c r="Z659" s="63"/>
      <c r="AA659" s="63"/>
      <c r="AB659" s="59"/>
      <c r="AC659" s="59"/>
      <c r="AD659" s="59"/>
      <c r="AE659" s="59"/>
      <c r="AF659" s="149">
        <f ca="1">Table2[[#This Row],[End Date]]+2-TODAY()</f>
        <v>53</v>
      </c>
      <c r="AG659" s="151">
        <f>IF(ISBLANK(Table2[[#This Row],[Roster Received by]]),1,0)</f>
        <v>1</v>
      </c>
      <c r="AH659" s="151">
        <f ca="1">IF(Table2[[#This Row],[Start Date]]&gt;TODAY(),1,)</f>
        <v>1</v>
      </c>
      <c r="AI659" s="151">
        <f>IF(ISBLANK(Table2[[#This Row],[Primary Instructor]]),0,1)</f>
        <v>1</v>
      </c>
      <c r="AJ659" s="151">
        <f>IF(ISBLANK(Table2[[#This Row],[Instructor 2]]),0,1)</f>
        <v>0</v>
      </c>
      <c r="AK659" s="496">
        <f>Table2[[#This Row],[Course Length (Hours)]]/(Table2[[#This Row],[1 Instructor]]+Table2[[#This Row],[2 Instructors]])</f>
        <v>24</v>
      </c>
      <c r="AL659" s="113">
        <v>34</v>
      </c>
      <c r="AM659" s="498">
        <v>4</v>
      </c>
      <c r="AN659" s="151" t="str">
        <f>VLOOKUP(Table2[[#This Row],[Course Title]],'TSD-Data'!$A$1:$G$83,7,FALSE)</f>
        <v>N3</v>
      </c>
      <c r="AO659" s="502">
        <f>Table2[[#This Row],[Quotas]]-Table2[[#This Row],[Graduates]]-Table2[[#This Row],[Fail]]</f>
        <v>45</v>
      </c>
    </row>
    <row r="660" spans="2:41" ht="15" customHeight="1" x14ac:dyDescent="0.25">
      <c r="B660" s="83"/>
      <c r="C660" s="83" t="s">
        <v>491</v>
      </c>
      <c r="D660" s="59" t="str">
        <f>VLOOKUP(Table2[[#This Row],[Course Title]],'TSD-Data'!$A$1:$E$83,2,FALSE)</f>
        <v xml:space="preserve">A-493-2021 </v>
      </c>
      <c r="E660" s="59" t="str">
        <f>VLOOKUP(Table2[[#This Row],[Course Title]],'TSD-Data'!$A$1:$E$83,3,FALSE)</f>
        <v>33DB</v>
      </c>
      <c r="F660" s="442" t="s">
        <v>54</v>
      </c>
      <c r="G660" s="61">
        <v>46294</v>
      </c>
      <c r="H660" s="61">
        <v>46294</v>
      </c>
      <c r="I660" s="61" t="s">
        <v>42</v>
      </c>
      <c r="J660" s="64"/>
      <c r="K660" s="64">
        <v>0.33333333333333331</v>
      </c>
      <c r="L660" s="64">
        <v>0.20833333333333334</v>
      </c>
      <c r="M660" s="64">
        <v>0.625</v>
      </c>
      <c r="N660" s="64">
        <v>0.58333333333333337</v>
      </c>
      <c r="O660" s="64">
        <v>0.125</v>
      </c>
      <c r="P660" s="64">
        <v>0.875</v>
      </c>
      <c r="Q660" s="73" t="s">
        <v>445</v>
      </c>
      <c r="R660" s="73" t="s">
        <v>483</v>
      </c>
      <c r="S660" s="73"/>
      <c r="T660" s="59">
        <f>VLOOKUP(Table2[[#This Row],[Course Title]],'TSD-Data'!$A$1:$E$83,4,FALSE)</f>
        <v>1000</v>
      </c>
      <c r="U660" s="59">
        <f>VLOOKUP(Table2[[#This Row],[Course Title]],'TSD-Data'!$A$1:$F$83,6,FALSE)</f>
        <v>2</v>
      </c>
      <c r="V660" s="63">
        <f>VLOOKUP(Table2[[#This Row],[Course Title]],'TSD-Data'!$A$1:$F$83,5,FALSE)</f>
        <v>0.25</v>
      </c>
      <c r="W660" s="63"/>
      <c r="X660" s="59">
        <f>Table2[[#This Row],[Quotas]]-Table2[[#This Row],[Open Quotas]]</f>
        <v>12</v>
      </c>
      <c r="Y660" s="59"/>
      <c r="Z660" s="63"/>
      <c r="AA660" s="63"/>
      <c r="AB660" s="59"/>
      <c r="AC660" s="59"/>
      <c r="AD660" s="59"/>
      <c r="AE660" s="59"/>
      <c r="AF660" s="63">
        <f ca="1">Table2[[#This Row],[End Date]]+2-TODAY()</f>
        <v>52</v>
      </c>
      <c r="AG660" s="59">
        <f>IF(ISBLANK(Table2[[#This Row],[Roster Received by]]),1,0)</f>
        <v>1</v>
      </c>
      <c r="AH660" s="59">
        <f ca="1">IF(Table2[[#This Row],[Start Date]]&gt;TODAY(),1,)</f>
        <v>1</v>
      </c>
      <c r="AI660" s="59">
        <f>IF(ISBLANK(Table2[[#This Row],[Primary Instructor]]),0,1)</f>
        <v>1</v>
      </c>
      <c r="AJ660" s="59">
        <f>IF(ISBLANK(Table2[[#This Row],[Instructor 2]]),0,1)</f>
        <v>1</v>
      </c>
      <c r="AK660" s="59">
        <f>AJ931</f>
        <v>0</v>
      </c>
      <c r="AL660" s="113">
        <v>988</v>
      </c>
      <c r="AM660" s="59"/>
      <c r="AN660" s="59" t="str">
        <f>VLOOKUP(Table2[[#This Row],[Course Title]],'TSD-Data'!$A$1:$G$83,7,FALSE)</f>
        <v>N8-RMI</v>
      </c>
      <c r="AO660" s="508">
        <f>Table2[[#This Row],[Quotas]]-Table2[[#This Row],[Graduates]]-Table2[[#This Row],[Fail]]</f>
        <v>1000</v>
      </c>
    </row>
    <row r="661" spans="2:41" ht="15" customHeight="1" x14ac:dyDescent="0.25">
      <c r="B661" s="83"/>
      <c r="C661" s="83" t="s">
        <v>491</v>
      </c>
      <c r="D661" s="59" t="str">
        <f>VLOOKUP(Table2[[#This Row],[Course Title]],'TSD-Data'!$A$1:$E$83,2,FALSE)</f>
        <v xml:space="preserve">A-493-2021 </v>
      </c>
      <c r="E661" s="59" t="str">
        <f>VLOOKUP(Table2[[#This Row],[Course Title]],'TSD-Data'!$A$1:$E$83,3,FALSE)</f>
        <v>33DB</v>
      </c>
      <c r="F661" s="442" t="s">
        <v>54</v>
      </c>
      <c r="G661" s="61">
        <v>46294</v>
      </c>
      <c r="H661" s="61">
        <v>46294</v>
      </c>
      <c r="I661" s="61" t="s">
        <v>42</v>
      </c>
      <c r="J661" s="64"/>
      <c r="K661" s="64">
        <v>0.45833333333333331</v>
      </c>
      <c r="L661" s="64">
        <v>0.33333333333333331</v>
      </c>
      <c r="M661" s="64">
        <v>0.75</v>
      </c>
      <c r="N661" s="64">
        <v>0.70833333333333337</v>
      </c>
      <c r="O661" s="64">
        <v>0.25</v>
      </c>
      <c r="P661" s="64">
        <v>6.9444444444444447E-4</v>
      </c>
      <c r="Q661" s="73" t="s">
        <v>445</v>
      </c>
      <c r="R661" s="73" t="s">
        <v>483</v>
      </c>
      <c r="S661" s="73"/>
      <c r="T661" s="59">
        <f>VLOOKUP(Table2[[#This Row],[Course Title]],'TSD-Data'!$A$1:$E$83,4,FALSE)</f>
        <v>1000</v>
      </c>
      <c r="U661" s="59">
        <f>VLOOKUP(Table2[[#This Row],[Course Title]],'TSD-Data'!$A$1:$F$83,6,FALSE)</f>
        <v>2</v>
      </c>
      <c r="V661" s="63">
        <f>VLOOKUP(Table2[[#This Row],[Course Title]],'TSD-Data'!$A$1:$F$83,5,FALSE)</f>
        <v>0.25</v>
      </c>
      <c r="W661" s="63"/>
      <c r="X661" s="59">
        <f>Table2[[#This Row],[Quotas]]-Table2[[#This Row],[Open Quotas]]</f>
        <v>12</v>
      </c>
      <c r="Y661" s="59"/>
      <c r="Z661" s="63"/>
      <c r="AA661" s="63"/>
      <c r="AB661" s="59"/>
      <c r="AC661" s="59"/>
      <c r="AD661" s="59"/>
      <c r="AE661" s="59"/>
      <c r="AF661" s="63">
        <f ca="1">Table2[[#This Row],[End Date]]+2-TODAY()</f>
        <v>52</v>
      </c>
      <c r="AG661" s="59">
        <f>IF(ISBLANK(Table2[[#This Row],[Roster Received by]]),1,0)</f>
        <v>1</v>
      </c>
      <c r="AH661" s="59">
        <f ca="1">IF(Table2[[#This Row],[Start Date]]&gt;TODAY(),1,)</f>
        <v>1</v>
      </c>
      <c r="AI661" s="59">
        <f>IF(ISBLANK(Table2[[#This Row],[Primary Instructor]]),0,1)</f>
        <v>1</v>
      </c>
      <c r="AJ661" s="59">
        <f>IF(ISBLANK(Table2[[#This Row],[Instructor 2]]),0,1)</f>
        <v>1</v>
      </c>
      <c r="AK661" s="59">
        <f>AJ932</f>
        <v>0</v>
      </c>
      <c r="AL661" s="113">
        <v>988</v>
      </c>
      <c r="AM661" s="59"/>
      <c r="AN661" s="59" t="str">
        <f>VLOOKUP(Table2[[#This Row],[Course Title]],'TSD-Data'!$A$1:$G$83,7,FALSE)</f>
        <v>N8-RMI</v>
      </c>
      <c r="AO661" s="508">
        <f>Table2[[#This Row],[Quotas]]-Table2[[#This Row],[Graduates]]-Table2[[#This Row],[Fail]]</f>
        <v>1000</v>
      </c>
    </row>
    <row r="662" spans="2:41" ht="15" customHeight="1" x14ac:dyDescent="0.25">
      <c r="B662" s="83"/>
      <c r="C662" s="83" t="s">
        <v>491</v>
      </c>
      <c r="D662" s="59" t="str">
        <f>VLOOKUP(Table2[[#This Row],[Course Title]],'TSD-Data'!$A$1:$E$83,2,FALSE)</f>
        <v xml:space="preserve">A-493-2021 </v>
      </c>
      <c r="E662" s="59" t="str">
        <f>VLOOKUP(Table2[[#This Row],[Course Title]],'TSD-Data'!$A$1:$E$83,3,FALSE)</f>
        <v>33DB</v>
      </c>
      <c r="F662" s="442" t="s">
        <v>54</v>
      </c>
      <c r="G662" s="61">
        <v>46294</v>
      </c>
      <c r="H662" s="61">
        <v>46294</v>
      </c>
      <c r="I662" s="61" t="s">
        <v>42</v>
      </c>
      <c r="J662" s="64"/>
      <c r="K662" s="64">
        <v>0.58333333333333337</v>
      </c>
      <c r="L662" s="64">
        <v>0.45833333333333331</v>
      </c>
      <c r="M662" s="64">
        <v>0.875</v>
      </c>
      <c r="N662" s="64">
        <v>0.83333333333333337</v>
      </c>
      <c r="O662" s="64">
        <v>0.375</v>
      </c>
      <c r="P662" s="64">
        <v>0.125</v>
      </c>
      <c r="Q662" s="73" t="s">
        <v>445</v>
      </c>
      <c r="R662" s="73" t="s">
        <v>483</v>
      </c>
      <c r="S662" s="73"/>
      <c r="T662" s="59">
        <f>VLOOKUP(Table2[[#This Row],[Course Title]],'TSD-Data'!$A$1:$E$83,4,FALSE)</f>
        <v>1000</v>
      </c>
      <c r="U662" s="59">
        <f>VLOOKUP(Table2[[#This Row],[Course Title]],'TSD-Data'!$A$1:$F$83,6,FALSE)</f>
        <v>2</v>
      </c>
      <c r="V662" s="63">
        <f>VLOOKUP(Table2[[#This Row],[Course Title]],'TSD-Data'!$A$1:$F$83,5,FALSE)</f>
        <v>0.25</v>
      </c>
      <c r="W662" s="63"/>
      <c r="X662" s="59">
        <f>Table2[[#This Row],[Quotas]]-Table2[[#This Row],[Open Quotas]]</f>
        <v>12</v>
      </c>
      <c r="Y662" s="59"/>
      <c r="Z662" s="63"/>
      <c r="AA662" s="63"/>
      <c r="AB662" s="59"/>
      <c r="AC662" s="59"/>
      <c r="AD662" s="59"/>
      <c r="AE662" s="59"/>
      <c r="AF662" s="63">
        <f ca="1">Table2[[#This Row],[End Date]]+2-TODAY()</f>
        <v>52</v>
      </c>
      <c r="AG662" s="59">
        <f>IF(ISBLANK(Table2[[#This Row],[Roster Received by]]),1,0)</f>
        <v>1</v>
      </c>
      <c r="AH662" s="59">
        <f ca="1">IF(Table2[[#This Row],[Start Date]]&gt;TODAY(),1,)</f>
        <v>1</v>
      </c>
      <c r="AI662" s="59">
        <f>IF(ISBLANK(Table2[[#This Row],[Primary Instructor]]),0,1)</f>
        <v>1</v>
      </c>
      <c r="AJ662" s="59">
        <f>IF(ISBLANK(Table2[[#This Row],[Instructor 2]]),0,1)</f>
        <v>1</v>
      </c>
      <c r="AK662" s="59">
        <f>AJ918</f>
        <v>0</v>
      </c>
      <c r="AL662" s="113">
        <v>988</v>
      </c>
      <c r="AM662" s="59"/>
      <c r="AN662" s="59" t="str">
        <f>VLOOKUP(Table2[[#This Row],[Course Title]],'TSD-Data'!$A$1:$G$83,7,FALSE)</f>
        <v>N8-RMI</v>
      </c>
      <c r="AO662" s="508">
        <f>Table2[[#This Row],[Quotas]]-Table2[[#This Row],[Graduates]]-Table2[[#This Row],[Fail]]</f>
        <v>1000</v>
      </c>
    </row>
    <row r="663" spans="2:41" ht="15" customHeight="1" thickBot="1" x14ac:dyDescent="0.3">
      <c r="B663" s="83"/>
      <c r="C663" s="83" t="s">
        <v>84</v>
      </c>
      <c r="D663" s="59" t="str">
        <f>VLOOKUP(Table2[[#This Row],[Course Title]],'TSD-Data'!$A$1:$E$83,2,FALSE)</f>
        <v>A-493-0083</v>
      </c>
      <c r="E663" s="59" t="str">
        <f>VLOOKUP(Table2[[#This Row],[Course Title]],'TSD-Data'!$A$1:$E$83,3,FALSE)</f>
        <v>339E</v>
      </c>
      <c r="F663" s="527" t="s">
        <v>54</v>
      </c>
      <c r="G663" s="61">
        <v>46295</v>
      </c>
      <c r="H663" s="61">
        <v>46295</v>
      </c>
      <c r="I663" s="10" t="s">
        <v>42</v>
      </c>
      <c r="J663" s="64"/>
      <c r="K663" s="64">
        <v>0.33333333333333331</v>
      </c>
      <c r="L663" s="64">
        <v>0.20833333333333334</v>
      </c>
      <c r="M663" s="64">
        <v>0.625</v>
      </c>
      <c r="N663" s="64">
        <v>0.58333333333333337</v>
      </c>
      <c r="O663" s="64">
        <v>0.125</v>
      </c>
      <c r="P663" s="64">
        <v>0.875</v>
      </c>
      <c r="Q663" s="73" t="s">
        <v>48</v>
      </c>
      <c r="R663" s="73"/>
      <c r="S663" s="73"/>
      <c r="T663" s="59">
        <f>VLOOKUP(Table2[[#This Row],[Course Title]],'TSD-Data'!$A$1:$E$83,4,FALSE)</f>
        <v>30</v>
      </c>
      <c r="U663" s="59">
        <f>VLOOKUP(Table2[[#This Row],[Course Title]],'TSD-Data'!$A$1:$F$83,6,FALSE)</f>
        <v>8</v>
      </c>
      <c r="V663" s="63">
        <f>VLOOKUP(Table2[[#This Row],[Course Title]],'TSD-Data'!$A$1:$F$83,5,FALSE)</f>
        <v>1</v>
      </c>
      <c r="W663" s="63"/>
      <c r="X663" s="59">
        <f>Table2[[#This Row],[Quotas]]-Table2[[#This Row],[Open Quotas]]</f>
        <v>18</v>
      </c>
      <c r="Y663" s="59"/>
      <c r="Z663" s="63"/>
      <c r="AA663" s="63"/>
      <c r="AB663" s="59"/>
      <c r="AC663" s="59"/>
      <c r="AD663" s="59"/>
      <c r="AE663" s="59"/>
      <c r="AF663" s="63">
        <f ca="1">Table2[[#This Row],[End Date]]+2-TODAY()</f>
        <v>53</v>
      </c>
      <c r="AG663" s="59">
        <f>IF(ISBLANK(Table2[[#This Row],[Roster Received by]]),1,0)</f>
        <v>1</v>
      </c>
      <c r="AH663" s="59">
        <f ca="1">IF(Table2[[#This Row],[Start Date]]&gt;TODAY(),1,)</f>
        <v>1</v>
      </c>
      <c r="AI663" s="59">
        <f>IF(ISBLANK(Table2[[#This Row],[Primary Instructor]]),0,1)</f>
        <v>1</v>
      </c>
      <c r="AJ663" s="59">
        <f>IF(ISBLANK(Table2[[#This Row],[Instructor 2]]),0,1)</f>
        <v>0</v>
      </c>
      <c r="AK663" s="59">
        <f>AJ934</f>
        <v>0</v>
      </c>
      <c r="AL663" s="113">
        <v>12</v>
      </c>
      <c r="AM663" s="59"/>
      <c r="AN663" s="59" t="str">
        <f>VLOOKUP(Table2[[#This Row],[Course Title]],'TSD-Data'!$A$1:$G$83,7,FALSE)</f>
        <v>N4</v>
      </c>
      <c r="AO663" s="508">
        <f>Table2[[#This Row],[Quotas]]-Table2[[#This Row],[Graduates]]-Table2[[#This Row],[Fail]]</f>
        <v>30</v>
      </c>
    </row>
    <row r="664" spans="2:41" ht="15.75" thickTop="1" x14ac:dyDescent="0.25">
      <c r="B664" s="128" t="s">
        <v>243</v>
      </c>
      <c r="C664" s="128">
        <f>SUBTOTAL(103,Table2[Course Title])</f>
        <v>660</v>
      </c>
      <c r="D664" s="128"/>
      <c r="E664" s="128"/>
      <c r="F664" s="128"/>
      <c r="G664" s="128"/>
      <c r="H664" s="128"/>
      <c r="I664" s="128"/>
      <c r="J664" s="128"/>
      <c r="K664" s="128"/>
      <c r="L664" s="128"/>
      <c r="M664" s="128"/>
      <c r="N664" s="128"/>
      <c r="O664" s="128"/>
      <c r="P664" s="128"/>
      <c r="Q664" s="155"/>
      <c r="R664" s="155"/>
      <c r="S664" s="155"/>
      <c r="T664" s="128">
        <f>SUBTOTAL(109,Table2[Quotas])</f>
        <v>264540</v>
      </c>
      <c r="U664" s="128">
        <f>SUBTOTAL(109,Table2[Course Length (Hours)])</f>
        <v>11306</v>
      </c>
      <c r="V664" s="128">
        <f>SUBTOTAL(109,Table2[Course Length (Days)])</f>
        <v>1405.0499999999984</v>
      </c>
      <c r="W664" s="128"/>
      <c r="X664" s="128">
        <f>SUBTOTAL(109,Table2[Registered])</f>
        <v>26782</v>
      </c>
      <c r="Y664" s="128">
        <f>SUBTOTAL(109,Table2[Waitlisted])</f>
        <v>163</v>
      </c>
      <c r="Z664" s="128">
        <f>SUBTOTAL(109,Table2[Graduates])</f>
        <v>11887</v>
      </c>
      <c r="AA664" s="128">
        <f>SUBTOTAL(109,Table2[Fail])</f>
        <v>168</v>
      </c>
      <c r="AB664" s="128">
        <f>SUBTOTAL(109,Table2[No Shows])</f>
        <v>1492</v>
      </c>
      <c r="AC664" s="128">
        <f>SUBTOTAL(109,Table2[Walk-ins])</f>
        <v>555</v>
      </c>
      <c r="AD664" s="128">
        <f>SUBTOTAL(109,Table2[Foreign Grads])</f>
        <v>292</v>
      </c>
      <c r="AE664" s="128"/>
      <c r="AG664" s="128"/>
      <c r="AH664" s="128"/>
      <c r="AI664" s="128"/>
      <c r="AJ664" s="128"/>
      <c r="AK664" s="128"/>
      <c r="AL664" s="128"/>
      <c r="AM664" s="128"/>
      <c r="AN664" s="128"/>
      <c r="AO664" s="128"/>
    </row>
    <row r="666" spans="2:41" x14ac:dyDescent="0.25">
      <c r="B666" s="3"/>
    </row>
    <row r="697" spans="4:4" x14ac:dyDescent="0.25">
      <c r="D697" s="2" t="s">
        <v>494</v>
      </c>
    </row>
  </sheetData>
  <protectedRanges>
    <protectedRange algorithmName="SHA-512" hashValue="n6K25g9uzAcpntxjqTQaPVdKX1eij75CLB1gBuUNBybVL5B3VaxVW/Tcen54TXijIel0fCN9KO3xZiLZCJMSZw==" saltValue="89UdTK4UUElaUoKBccfOYw==" spinCount="100000" sqref="D3:E3" name="CIN CDP"/>
    <protectedRange algorithmName="SHA-512" hashValue="n6K25g9uzAcpntxjqTQaPVdKX1eij75CLB1gBuUNBybVL5B3VaxVW/Tcen54TXijIel0fCN9KO3xZiLZCJMSZw==" saltValue="89UdTK4UUElaUoKBccfOYw==" spinCount="100000" sqref="D25:D38 D4:E24 E25:E277 E551:E663 E279:E549" name="CIN CDP_1_1"/>
  </protectedRanges>
  <phoneticPr fontId="4" type="noConversion"/>
  <conditionalFormatting sqref="B424:B425 B428:B438 B440:B443">
    <cfRule type="expression" dxfId="777" priority="312">
      <formula>$AA424="McQueen, Jennifer"</formula>
    </cfRule>
    <cfRule type="expression" dxfId="776" priority="310">
      <formula>$AA424="Benzick, Sue"</formula>
    </cfRule>
    <cfRule type="expression" dxfId="775" priority="311">
      <formula>$AA424="Jenne, Richard"</formula>
    </cfRule>
  </conditionalFormatting>
  <conditionalFormatting sqref="B487">
    <cfRule type="expression" dxfId="774" priority="2386">
      <formula>$AA439="Jenne, Richard"</formula>
    </cfRule>
    <cfRule type="expression" dxfId="773" priority="2385">
      <formula>$AA439="Benzick, Sue"</formula>
    </cfRule>
    <cfRule type="expression" dxfId="772" priority="2387">
      <formula>$AA439="McQueen, Jennifer"</formula>
    </cfRule>
  </conditionalFormatting>
  <conditionalFormatting sqref="C23:C26">
    <cfRule type="expression" dxfId="771" priority="1708">
      <formula>$AB23="Benzick, Sue"</formula>
    </cfRule>
    <cfRule type="expression" dxfId="770" priority="1710">
      <formula>$AB23="McQueen, Jennifer"</formula>
    </cfRule>
    <cfRule type="expression" dxfId="769" priority="1709">
      <formula>$AB23="Jenne, Richard"</formula>
    </cfRule>
  </conditionalFormatting>
  <conditionalFormatting sqref="G4:H4 F4:F10 Z4:AA10 AA11:AA37 N203:P203 N212:P212 N219:P220 N222:P222 N228:P228 N234:P235 N241:P241 N251:P251 N253:P253 N256:P256 N261:P261 N263:P264 N272:P277 N279:P279 N282:P282 N289:P289 N293:P293 N299:P299 N309:P310 N313:P313 N318:P320 N322:P322 N324:P324 N328:P328 N351:P351 N358:P359 N365:P365 N369:P369 N371:P371 N385:P385 N400:P401 N423:P423">
    <cfRule type="expression" dxfId="768" priority="2381">
      <formula>$Z4="Jenne, Richard"</formula>
    </cfRule>
    <cfRule type="expression" dxfId="767" priority="2380">
      <formula>$Z4="Benzick, Sue"</formula>
    </cfRule>
  </conditionalFormatting>
  <conditionalFormatting sqref="G23:H25 K87:K120 L99:P100 L105:P106 L118:P120 K138:K183 L140:P183 K199:K208 L200:P202 K221:K252 M282 J428:J443 K431:K444 P432">
    <cfRule type="expression" dxfId="766" priority="1569">
      <formula>#REF!="McQueen, Jennifer"</formula>
    </cfRule>
    <cfRule type="expression" dxfId="765" priority="1568">
      <formula>#REF!="Jenne, Richard"</formula>
    </cfRule>
    <cfRule type="expression" dxfId="764" priority="1567">
      <formula>#REF!="Benzick, Sue"</formula>
    </cfRule>
  </conditionalFormatting>
  <conditionalFormatting sqref="G49:H50">
    <cfRule type="expression" dxfId="763" priority="1689">
      <formula>#REF!="McQueen, Jennifer"</formula>
    </cfRule>
    <cfRule type="expression" dxfId="762" priority="1688">
      <formula>#REF!="Jenne, Richard"</formula>
    </cfRule>
    <cfRule type="expression" dxfId="761" priority="1687">
      <formula>#REF!="Benzick, Sue"</formula>
    </cfRule>
  </conditionalFormatting>
  <conditionalFormatting sqref="G532:H532">
    <cfRule type="expression" dxfId="760" priority="247">
      <formula>#REF!="Benzick, Sue"</formula>
    </cfRule>
    <cfRule type="expression" dxfId="759" priority="249">
      <formula>#REF!="McQueen, Jennifer"</formula>
    </cfRule>
    <cfRule type="expression" dxfId="758" priority="248">
      <formula>#REF!="Jenne, Richard"</formula>
    </cfRule>
  </conditionalFormatting>
  <conditionalFormatting sqref="H26:H28">
    <cfRule type="expression" dxfId="757" priority="1690">
      <formula>#REF!="Benzick, Sue"</formula>
    </cfRule>
    <cfRule type="expression" dxfId="756" priority="1692">
      <formula>#REF!="McQueen, Jennifer"</formula>
    </cfRule>
    <cfRule type="expression" dxfId="755" priority="1691">
      <formula>#REF!="Jenne, Richard"</formula>
    </cfRule>
  </conditionalFormatting>
  <conditionalFormatting sqref="H41:H44">
    <cfRule type="expression" dxfId="754" priority="153">
      <formula>#REF!="McQueen, Jennifer"</formula>
    </cfRule>
    <cfRule type="expression" dxfId="753" priority="152">
      <formula>#REF!="Jenne, Richard"</formula>
    </cfRule>
    <cfRule type="expression" dxfId="752" priority="151">
      <formula>#REF!="Benzick, Sue"</formula>
    </cfRule>
  </conditionalFormatting>
  <conditionalFormatting sqref="H52 H54">
    <cfRule type="expression" dxfId="751" priority="1685">
      <formula>#REF!="Jenne, Richard"</formula>
    </cfRule>
    <cfRule type="expression" dxfId="750" priority="1684">
      <formula>#REF!="Benzick, Sue"</formula>
    </cfRule>
    <cfRule type="expression" dxfId="749" priority="1686">
      <formula>#REF!="McQueen, Jennifer"</formula>
    </cfRule>
  </conditionalFormatting>
  <conditionalFormatting sqref="I4:I663">
    <cfRule type="containsText" dxfId="748" priority="251" operator="containsText" text="Funded">
      <formula>NOT(ISERROR(SEARCH("Funded",I4)))</formula>
    </cfRule>
    <cfRule type="containsText" dxfId="747" priority="250" operator="containsText" text="Unfunded">
      <formula>NOT(ISERROR(SEARCH("Unfunded",I4)))</formula>
    </cfRule>
  </conditionalFormatting>
  <conditionalFormatting sqref="J4:J5 G17:H19 G38:H47 G40:G48 K43:P43 K44 K48:K49 K54:K68 K71:K74 J84:J88 K124:K130 K190:K194 L191:P194 L352:P353">
    <cfRule type="expression" dxfId="746" priority="1571">
      <formula>#REF!="Jenne, Richard"</formula>
    </cfRule>
    <cfRule type="expression" dxfId="745" priority="1570">
      <formula>#REF!="Benzick, Sue"</formula>
    </cfRule>
    <cfRule type="expression" dxfId="744" priority="1572">
      <formula>#REF!="McQueen, Jennifer"</formula>
    </cfRule>
  </conditionalFormatting>
  <conditionalFormatting sqref="J8:J15 K13 N13 L113:P114">
    <cfRule type="expression" dxfId="743" priority="1707">
      <formula>#REF!="McQueen, Jennifer"</formula>
    </cfRule>
    <cfRule type="expression" dxfId="742" priority="1706">
      <formula>#REF!="Jenne, Richard"</formula>
    </cfRule>
    <cfRule type="expression" dxfId="741" priority="1705">
      <formula>#REF!="Benzick, Sue"</formula>
    </cfRule>
  </conditionalFormatting>
  <conditionalFormatting sqref="J17">
    <cfRule type="expression" dxfId="740" priority="2186">
      <formula>#REF!="Jenne, Richard"</formula>
    </cfRule>
    <cfRule type="expression" dxfId="739" priority="2185">
      <formula>#REF!="Benzick, Sue"</formula>
    </cfRule>
    <cfRule type="expression" dxfId="738" priority="2187">
      <formula>#REF!="McQueen, Jennifer"</formula>
    </cfRule>
  </conditionalFormatting>
  <conditionalFormatting sqref="J38">
    <cfRule type="expression" dxfId="737" priority="1633">
      <formula>#REF!="Benzick, Sue"</formula>
    </cfRule>
    <cfRule type="expression" dxfId="736" priority="1634">
      <formula>#REF!="Jenne, Richard"</formula>
    </cfRule>
    <cfRule type="expression" dxfId="735" priority="1635">
      <formula>#REF!="McQueen, Jennifer"</formula>
    </cfRule>
  </conditionalFormatting>
  <conditionalFormatting sqref="J39:J47">
    <cfRule type="expression" dxfId="734" priority="1674">
      <formula>$W39="McQueen, Jennifer"</formula>
    </cfRule>
    <cfRule type="expression" dxfId="733" priority="1673">
      <formula>$W39="Jenne, Richard"</formula>
    </cfRule>
    <cfRule type="expression" dxfId="732" priority="1672">
      <formula>$W39="Benzick, Sue"</formula>
    </cfRule>
  </conditionalFormatting>
  <conditionalFormatting sqref="J48:J50">
    <cfRule type="expression" dxfId="731" priority="1636">
      <formula>#REF!="Benzick, Sue"</formula>
    </cfRule>
    <cfRule type="expression" dxfId="730" priority="1638">
      <formula>#REF!="McQueen, Jennifer"</formula>
    </cfRule>
    <cfRule type="expression" dxfId="729" priority="1637">
      <formula>#REF!="Jenne, Richard"</formula>
    </cfRule>
  </conditionalFormatting>
  <conditionalFormatting sqref="J52:J56">
    <cfRule type="expression" dxfId="728" priority="1639">
      <formula>#REF!="Benzick, Sue"</formula>
    </cfRule>
    <cfRule type="expression" dxfId="727" priority="1640">
      <formula>#REF!="Jenne, Richard"</formula>
    </cfRule>
    <cfRule type="expression" dxfId="726" priority="1641">
      <formula>#REF!="McQueen, Jennifer"</formula>
    </cfRule>
  </conditionalFormatting>
  <conditionalFormatting sqref="J58:J62">
    <cfRule type="expression" dxfId="725" priority="1647">
      <formula>#REF!="McQueen, Jennifer"</formula>
    </cfRule>
    <cfRule type="expression" dxfId="724" priority="1645">
      <formula>#REF!="Benzick, Sue"</formula>
    </cfRule>
    <cfRule type="expression" dxfId="723" priority="1646">
      <formula>#REF!="Jenne, Richard"</formula>
    </cfRule>
  </conditionalFormatting>
  <conditionalFormatting sqref="J67:J73">
    <cfRule type="expression" dxfId="722" priority="1653">
      <formula>#REF!="McQueen, Jennifer"</formula>
    </cfRule>
    <cfRule type="expression" dxfId="721" priority="1652">
      <formula>#REF!="Jenne, Richard"</formula>
    </cfRule>
    <cfRule type="expression" dxfId="720" priority="1651">
      <formula>#REF!="Benzick, Sue"</formula>
    </cfRule>
  </conditionalFormatting>
  <conditionalFormatting sqref="J205">
    <cfRule type="expression" dxfId="719" priority="1617">
      <formula>#REF!="McQueen, Jennifer"</formula>
    </cfRule>
    <cfRule type="expression" dxfId="718" priority="1616">
      <formula>#REF!="Jenne, Richard"</formula>
    </cfRule>
    <cfRule type="expression" dxfId="717" priority="1615">
      <formula>#REF!="Benzick, Sue"</formula>
    </cfRule>
  </conditionalFormatting>
  <conditionalFormatting sqref="J229">
    <cfRule type="expression" dxfId="716" priority="1574">
      <formula>#REF!="Jenne, Richard"</formula>
    </cfRule>
    <cfRule type="expression" dxfId="715" priority="1575">
      <formula>#REF!="McQueen, Jennifer"</formula>
    </cfRule>
    <cfRule type="expression" dxfId="714" priority="1573">
      <formula>#REF!="Benzick, Sue"</formula>
    </cfRule>
  </conditionalFormatting>
  <conditionalFormatting sqref="J256">
    <cfRule type="expression" dxfId="713" priority="1614">
      <formula>#REF!="McQueen, Jennifer"</formula>
    </cfRule>
    <cfRule type="expression" dxfId="712" priority="1612">
      <formula>#REF!="Benzick, Sue"</formula>
    </cfRule>
    <cfRule type="expression" dxfId="711" priority="1613">
      <formula>#REF!="Jenne, Richard"</formula>
    </cfRule>
  </conditionalFormatting>
  <conditionalFormatting sqref="J272:J276">
    <cfRule type="expression" dxfId="710" priority="1661">
      <formula>#REF!="Jenne, Richard"</formula>
    </cfRule>
    <cfRule type="expression" dxfId="709" priority="1660">
      <formula>#REF!="Benzick, Sue"</formula>
    </cfRule>
    <cfRule type="expression" dxfId="708" priority="1662">
      <formula>#REF!="McQueen, Jennifer"</formula>
    </cfRule>
  </conditionalFormatting>
  <conditionalFormatting sqref="J362:J364">
    <cfRule type="expression" dxfId="707" priority="1611">
      <formula>#REF!="McQueen, Jennifer"</formula>
    </cfRule>
    <cfRule type="expression" dxfId="706" priority="1610">
      <formula>#REF!="Jenne, Richard"</formula>
    </cfRule>
    <cfRule type="expression" dxfId="705" priority="1609">
      <formula>#REF!="Benzick, Sue"</formula>
    </cfRule>
  </conditionalFormatting>
  <conditionalFormatting sqref="J499">
    <cfRule type="expression" dxfId="704" priority="276">
      <formula>#REF!="McQueen, Jennifer"</formula>
    </cfRule>
    <cfRule type="expression" dxfId="703" priority="275">
      <formula>#REF!="Jenne, Richard"</formula>
    </cfRule>
    <cfRule type="expression" dxfId="702" priority="274">
      <formula>#REF!="Benzick, Sue"</formula>
    </cfRule>
  </conditionalFormatting>
  <conditionalFormatting sqref="J511">
    <cfRule type="expression" dxfId="701" priority="270">
      <formula>#REF!="McQueen, Jennifer"</formula>
    </cfRule>
    <cfRule type="expression" dxfId="700" priority="269">
      <formula>#REF!="Jenne, Richard"</formula>
    </cfRule>
    <cfRule type="expression" dxfId="699" priority="268">
      <formula>#REF!="Benzick, Sue"</formula>
    </cfRule>
  </conditionalFormatting>
  <conditionalFormatting sqref="J532">
    <cfRule type="expression" dxfId="698" priority="246">
      <formula>#REF!="McQueen, Jennifer"</formula>
    </cfRule>
    <cfRule type="expression" dxfId="697" priority="245">
      <formula>#REF!="Jenne, Richard"</formula>
    </cfRule>
    <cfRule type="expression" dxfId="696" priority="244">
      <formula>#REF!="Benzick, Sue"</formula>
    </cfRule>
  </conditionalFormatting>
  <conditionalFormatting sqref="J534">
    <cfRule type="expression" dxfId="695" priority="242">
      <formula>#REF!="Jenne, Richard"</formula>
    </cfRule>
    <cfRule type="expression" dxfId="694" priority="241">
      <formula>#REF!="Benzick, Sue"</formula>
    </cfRule>
    <cfRule type="expression" dxfId="693" priority="243">
      <formula>#REF!="McQueen, Jennifer"</formula>
    </cfRule>
  </conditionalFormatting>
  <conditionalFormatting sqref="J537">
    <cfRule type="expression" dxfId="692" priority="239">
      <formula>#REF!="Jenne, Richard"</formula>
    </cfRule>
    <cfRule type="expression" dxfId="691" priority="240">
      <formula>#REF!="McQueen, Jennifer"</formula>
    </cfRule>
    <cfRule type="expression" dxfId="690" priority="238">
      <formula>#REF!="Benzick, Sue"</formula>
    </cfRule>
  </conditionalFormatting>
  <conditionalFormatting sqref="K10:K11 K21 K23:K25 K28">
    <cfRule type="expression" dxfId="689" priority="1626">
      <formula>#REF!="McQueen, Jennifer"</formula>
    </cfRule>
    <cfRule type="expression" dxfId="688" priority="1625">
      <formula>#REF!="Jenne, Richard"</formula>
    </cfRule>
    <cfRule type="expression" dxfId="687" priority="1624">
      <formula>#REF!="Benzick, Sue"</formula>
    </cfRule>
  </conditionalFormatting>
  <conditionalFormatting sqref="K30:K42">
    <cfRule type="expression" dxfId="686" priority="206">
      <formula>#REF!="Jenne, Richard"</formula>
    </cfRule>
    <cfRule type="expression" dxfId="685" priority="207">
      <formula>#REF!="McQueen, Jennifer"</formula>
    </cfRule>
    <cfRule type="expression" dxfId="684" priority="205">
      <formula>#REF!="Benzick, Sue"</formula>
    </cfRule>
  </conditionalFormatting>
  <conditionalFormatting sqref="K51:K52">
    <cfRule type="expression" dxfId="683" priority="1390">
      <formula>#REF!="Benzick, Sue"</formula>
    </cfRule>
    <cfRule type="expression" dxfId="682" priority="1392">
      <formula>#REF!="McQueen, Jennifer"</formula>
    </cfRule>
    <cfRule type="expression" dxfId="681" priority="1391">
      <formula>#REF!="Jenne, Richard"</formula>
    </cfRule>
  </conditionalFormatting>
  <conditionalFormatting sqref="K76">
    <cfRule type="expression" dxfId="680" priority="117">
      <formula>#REF!="McQueen, Jennifer"</formula>
    </cfRule>
    <cfRule type="expression" dxfId="679" priority="116">
      <formula>#REF!="Jenne, Richard"</formula>
    </cfRule>
    <cfRule type="expression" dxfId="678" priority="115">
      <formula>#REF!="Benzick, Sue"</formula>
    </cfRule>
  </conditionalFormatting>
  <conditionalFormatting sqref="K78:K81">
    <cfRule type="expression" dxfId="677" priority="89">
      <formula>#REF!="Jenne, Richard"</formula>
    </cfRule>
    <cfRule type="expression" dxfId="676" priority="90">
      <formula>#REF!="McQueen, Jennifer"</formula>
    </cfRule>
    <cfRule type="expression" dxfId="675" priority="88">
      <formula>#REF!="Benzick, Sue"</formula>
    </cfRule>
  </conditionalFormatting>
  <conditionalFormatting sqref="K83:K85">
    <cfRule type="expression" dxfId="674" priority="85">
      <formula>#REF!="Benzick, Sue"</formula>
    </cfRule>
    <cfRule type="expression" dxfId="673" priority="87">
      <formula>#REF!="McQueen, Jennifer"</formula>
    </cfRule>
    <cfRule type="expression" dxfId="672" priority="86">
      <formula>#REF!="Jenne, Richard"</formula>
    </cfRule>
  </conditionalFormatting>
  <conditionalFormatting sqref="K135:K136">
    <cfRule type="expression" dxfId="671" priority="1284">
      <formula>#REF!="McQueen, Jennifer"</formula>
    </cfRule>
    <cfRule type="expression" dxfId="670" priority="1283">
      <formula>#REF!="Jenne, Richard"</formula>
    </cfRule>
    <cfRule type="expression" dxfId="669" priority="1282">
      <formula>#REF!="Benzick, Sue"</formula>
    </cfRule>
  </conditionalFormatting>
  <conditionalFormatting sqref="K185:K186">
    <cfRule type="expression" dxfId="668" priority="49">
      <formula>#REF!="Benzick, Sue"</formula>
    </cfRule>
    <cfRule type="expression" dxfId="667" priority="50">
      <formula>#REF!="Jenne, Richard"</formula>
    </cfRule>
    <cfRule type="expression" dxfId="666" priority="51">
      <formula>#REF!="McQueen, Jennifer"</formula>
    </cfRule>
  </conditionalFormatting>
  <conditionalFormatting sqref="K196:K197">
    <cfRule type="expression" dxfId="665" priority="1063">
      <formula>#REF!="Benzick, Sue"</formula>
    </cfRule>
    <cfRule type="expression" dxfId="664" priority="1064">
      <formula>#REF!="Jenne, Richard"</formula>
    </cfRule>
    <cfRule type="expression" dxfId="663" priority="1065">
      <formula>#REF!="McQueen, Jennifer"</formula>
    </cfRule>
  </conditionalFormatting>
  <conditionalFormatting sqref="K210:K219">
    <cfRule type="expression" dxfId="662" priority="376">
      <formula>#REF!="Benzick, Sue"</formula>
    </cfRule>
    <cfRule type="expression" dxfId="661" priority="378">
      <formula>#REF!="McQueen, Jennifer"</formula>
    </cfRule>
    <cfRule type="expression" dxfId="660" priority="377">
      <formula>#REF!="Jenne, Richard"</formula>
    </cfRule>
  </conditionalFormatting>
  <conditionalFormatting sqref="K254:K255">
    <cfRule type="expression" dxfId="659" priority="1006">
      <formula>#REF!="Benzick, Sue"</formula>
    </cfRule>
    <cfRule type="expression" dxfId="658" priority="1007">
      <formula>#REF!="Jenne, Richard"</formula>
    </cfRule>
    <cfRule type="expression" dxfId="657" priority="1008">
      <formula>#REF!="McQueen, Jennifer"</formula>
    </cfRule>
  </conditionalFormatting>
  <conditionalFormatting sqref="K257:K271">
    <cfRule type="expression" dxfId="656" priority="995">
      <formula>#REF!="Jenne, Richard"</formula>
    </cfRule>
    <cfRule type="expression" dxfId="655" priority="996">
      <formula>#REF!="McQueen, Jennifer"</formula>
    </cfRule>
    <cfRule type="expression" dxfId="654" priority="994">
      <formula>#REF!="Benzick, Sue"</formula>
    </cfRule>
  </conditionalFormatting>
  <conditionalFormatting sqref="K281">
    <cfRule type="expression" dxfId="653" priority="988">
      <formula>#REF!="Benzick, Sue"</formula>
    </cfRule>
    <cfRule type="expression" dxfId="652" priority="989">
      <formula>#REF!="Jenne, Richard"</formula>
    </cfRule>
    <cfRule type="expression" dxfId="651" priority="990">
      <formula>#REF!="McQueen, Jennifer"</formula>
    </cfRule>
  </conditionalFormatting>
  <conditionalFormatting sqref="K287">
    <cfRule type="expression" dxfId="650" priority="984">
      <formula>#REF!="McQueen, Jennifer"</formula>
    </cfRule>
    <cfRule type="expression" dxfId="649" priority="983">
      <formula>#REF!="Jenne, Richard"</formula>
    </cfRule>
    <cfRule type="expression" dxfId="648" priority="982">
      <formula>#REF!="Benzick, Sue"</formula>
    </cfRule>
  </conditionalFormatting>
  <conditionalFormatting sqref="K294">
    <cfRule type="expression" dxfId="647" priority="223">
      <formula>#REF!="Benzick, Sue"</formula>
    </cfRule>
    <cfRule type="expression" dxfId="646" priority="224">
      <formula>#REF!="Jenne, Richard"</formula>
    </cfRule>
    <cfRule type="expression" dxfId="645" priority="225">
      <formula>#REF!="McQueen, Jennifer"</formula>
    </cfRule>
  </conditionalFormatting>
  <conditionalFormatting sqref="K296">
    <cfRule type="expression" dxfId="644" priority="355">
      <formula>#REF!="Benzick, Sue"</formula>
    </cfRule>
    <cfRule type="expression" dxfId="643" priority="356">
      <formula>#REF!="Jenne, Richard"</formula>
    </cfRule>
    <cfRule type="expression" dxfId="642" priority="357">
      <formula>#REF!="McQueen, Jennifer"</formula>
    </cfRule>
  </conditionalFormatting>
  <conditionalFormatting sqref="K300">
    <cfRule type="expression" dxfId="641" priority="214">
      <formula>#REF!="Benzick, Sue"</formula>
    </cfRule>
    <cfRule type="expression" dxfId="640" priority="215">
      <formula>#REF!="Jenne, Richard"</formula>
    </cfRule>
    <cfRule type="expression" dxfId="639" priority="216">
      <formula>#REF!="McQueen, Jennifer"</formula>
    </cfRule>
  </conditionalFormatting>
  <conditionalFormatting sqref="K302">
    <cfRule type="expression" dxfId="638" priority="1502">
      <formula>#REF!="Jenne, Richard"</formula>
    </cfRule>
    <cfRule type="expression" dxfId="637" priority="1503">
      <formula>#REF!="McQueen, Jennifer"</formula>
    </cfRule>
    <cfRule type="expression" dxfId="636" priority="1501">
      <formula>#REF!="Benzick, Sue"</formula>
    </cfRule>
  </conditionalFormatting>
  <conditionalFormatting sqref="K305:K306">
    <cfRule type="expression" dxfId="635" priority="972">
      <formula>#REF!="McQueen, Jennifer"</formula>
    </cfRule>
    <cfRule type="expression" dxfId="634" priority="971">
      <formula>#REF!="Jenne, Richard"</formula>
    </cfRule>
    <cfRule type="expression" dxfId="633" priority="970">
      <formula>#REF!="Benzick, Sue"</formula>
    </cfRule>
  </conditionalFormatting>
  <conditionalFormatting sqref="K308">
    <cfRule type="expression" dxfId="632" priority="965">
      <formula>#REF!="Jenne, Richard"</formula>
    </cfRule>
    <cfRule type="expression" dxfId="631" priority="964">
      <formula>#REF!="Benzick, Sue"</formula>
    </cfRule>
    <cfRule type="expression" dxfId="630" priority="966">
      <formula>#REF!="McQueen, Jennifer"</formula>
    </cfRule>
  </conditionalFormatting>
  <conditionalFormatting sqref="K312">
    <cfRule type="expression" dxfId="629" priority="367">
      <formula>#REF!="Benzick, Sue"</formula>
    </cfRule>
    <cfRule type="expression" dxfId="628" priority="369">
      <formula>#REF!="McQueen, Jennifer"</formula>
    </cfRule>
    <cfRule type="expression" dxfId="627" priority="368">
      <formula>#REF!="Jenne, Richard"</formula>
    </cfRule>
  </conditionalFormatting>
  <conditionalFormatting sqref="K314:K315">
    <cfRule type="expression" dxfId="626" priority="952">
      <formula>#REF!="Benzick, Sue"</formula>
    </cfRule>
    <cfRule type="expression" dxfId="625" priority="954">
      <formula>#REF!="McQueen, Jennifer"</formula>
    </cfRule>
    <cfRule type="expression" dxfId="624" priority="953">
      <formula>#REF!="Jenne, Richard"</formula>
    </cfRule>
  </conditionalFormatting>
  <conditionalFormatting sqref="K322">
    <cfRule type="expression" dxfId="623" priority="1585">
      <formula>#REF!="Benzick, Sue"</formula>
    </cfRule>
    <cfRule type="expression" dxfId="622" priority="1586">
      <formula>#REF!="Jenne, Richard"</formula>
    </cfRule>
    <cfRule type="expression" dxfId="621" priority="1587">
      <formula>#REF!="McQueen, Jennifer"</formula>
    </cfRule>
  </conditionalFormatting>
  <conditionalFormatting sqref="K332">
    <cfRule type="expression" dxfId="620" priority="929">
      <formula>#REF!="Jenne, Richard"</formula>
    </cfRule>
    <cfRule type="expression" dxfId="619" priority="928">
      <formula>#REF!="Benzick, Sue"</formula>
    </cfRule>
    <cfRule type="expression" dxfId="618" priority="930">
      <formula>#REF!="McQueen, Jennifer"</formula>
    </cfRule>
  </conditionalFormatting>
  <conditionalFormatting sqref="K334">
    <cfRule type="expression" dxfId="617" priority="922">
      <formula>#REF!="Benzick, Sue"</formula>
    </cfRule>
    <cfRule type="expression" dxfId="616" priority="924">
      <formula>#REF!="McQueen, Jennifer"</formula>
    </cfRule>
    <cfRule type="expression" dxfId="615" priority="923">
      <formula>#REF!="Jenne, Richard"</formula>
    </cfRule>
  </conditionalFormatting>
  <conditionalFormatting sqref="K337">
    <cfRule type="expression" dxfId="614" priority="9">
      <formula>#REF!="McQueen, Jennifer"</formula>
    </cfRule>
    <cfRule type="expression" dxfId="613" priority="7">
      <formula>#REF!="Benzick, Sue"</formula>
    </cfRule>
    <cfRule type="expression" dxfId="612" priority="8">
      <formula>#REF!="Jenne, Richard"</formula>
    </cfRule>
  </conditionalFormatting>
  <conditionalFormatting sqref="K340:K341">
    <cfRule type="expression" dxfId="611" priority="345">
      <formula>#REF!="McQueen, Jennifer"</formula>
    </cfRule>
    <cfRule type="expression" dxfId="610" priority="343">
      <formula>#REF!="Benzick, Sue"</formula>
    </cfRule>
    <cfRule type="expression" dxfId="609" priority="344">
      <formula>#REF!="Jenne, Richard"</formula>
    </cfRule>
  </conditionalFormatting>
  <conditionalFormatting sqref="K345:K346">
    <cfRule type="expression" dxfId="608" priority="906">
      <formula>#REF!="McQueen, Jennifer"</formula>
    </cfRule>
    <cfRule type="expression" dxfId="607" priority="904">
      <formula>#REF!="Benzick, Sue"</formula>
    </cfRule>
    <cfRule type="expression" dxfId="606" priority="905">
      <formula>#REF!="Jenne, Richard"</formula>
    </cfRule>
  </conditionalFormatting>
  <conditionalFormatting sqref="K354 K356:K357">
    <cfRule type="expression" dxfId="605" priority="1584">
      <formula>#REF!="McQueen, Jennifer"</formula>
    </cfRule>
    <cfRule type="expression" dxfId="604" priority="1583">
      <formula>#REF!="Jenne, Richard"</formula>
    </cfRule>
    <cfRule type="expression" dxfId="603" priority="1582">
      <formula>#REF!="Benzick, Sue"</formula>
    </cfRule>
  </conditionalFormatting>
  <conditionalFormatting sqref="K363">
    <cfRule type="expression" dxfId="602" priority="237">
      <formula>#REF!="McQueen, Jennifer"</formula>
    </cfRule>
    <cfRule type="expression" dxfId="601" priority="235">
      <formula>#REF!="Benzick, Sue"</formula>
    </cfRule>
    <cfRule type="expression" dxfId="600" priority="236">
      <formula>#REF!="Jenne, Richard"</formula>
    </cfRule>
  </conditionalFormatting>
  <conditionalFormatting sqref="K372:K373">
    <cfRule type="expression" dxfId="599" priority="899">
      <formula>#REF!="Jenne, Richard"</formula>
    </cfRule>
    <cfRule type="expression" dxfId="598" priority="900">
      <formula>#REF!="McQueen, Jennifer"</formula>
    </cfRule>
    <cfRule type="expression" dxfId="597" priority="898">
      <formula>#REF!="Benzick, Sue"</formula>
    </cfRule>
  </conditionalFormatting>
  <conditionalFormatting sqref="K375:K379">
    <cfRule type="expression" dxfId="596" priority="894">
      <formula>#REF!="McQueen, Jennifer"</formula>
    </cfRule>
    <cfRule type="expression" dxfId="595" priority="893">
      <formula>#REF!="Jenne, Richard"</formula>
    </cfRule>
    <cfRule type="expression" dxfId="594" priority="892">
      <formula>#REF!="Benzick, Sue"</formula>
    </cfRule>
  </conditionalFormatting>
  <conditionalFormatting sqref="K388">
    <cfRule type="expression" dxfId="593" priority="888">
      <formula>#REF!="McQueen, Jennifer"</formula>
    </cfRule>
    <cfRule type="expression" dxfId="592" priority="887">
      <formula>#REF!="Jenne, Richard"</formula>
    </cfRule>
    <cfRule type="expression" dxfId="591" priority="886">
      <formula>#REF!="Benzick, Sue"</formula>
    </cfRule>
  </conditionalFormatting>
  <conditionalFormatting sqref="K393:K394">
    <cfRule type="expression" dxfId="590" priority="874">
      <formula>#REF!="Benzick, Sue"</formula>
    </cfRule>
    <cfRule type="expression" dxfId="589" priority="875">
      <formula>#REF!="Jenne, Richard"</formula>
    </cfRule>
    <cfRule type="expression" dxfId="588" priority="876">
      <formula>#REF!="McQueen, Jennifer"</formula>
    </cfRule>
  </conditionalFormatting>
  <conditionalFormatting sqref="K398:K399">
    <cfRule type="expression" dxfId="587" priority="862">
      <formula>#REF!="Benzick, Sue"</formula>
    </cfRule>
    <cfRule type="expression" dxfId="586" priority="864">
      <formula>#REF!="McQueen, Jennifer"</formula>
    </cfRule>
    <cfRule type="expression" dxfId="585" priority="863">
      <formula>#REF!="Jenne, Richard"</formula>
    </cfRule>
  </conditionalFormatting>
  <conditionalFormatting sqref="K424:K428">
    <cfRule type="expression" dxfId="584" priority="306">
      <formula>#REF!="McQueen, Jennifer"</formula>
    </cfRule>
    <cfRule type="expression" dxfId="583" priority="305">
      <formula>#REF!="Jenne, Richard"</formula>
    </cfRule>
    <cfRule type="expression" dxfId="582" priority="304">
      <formula>#REF!="Benzick, Sue"</formula>
    </cfRule>
  </conditionalFormatting>
  <conditionalFormatting sqref="K452">
    <cfRule type="expression" dxfId="581" priority="5">
      <formula>#REF!="Jenne, Richard"</formula>
    </cfRule>
    <cfRule type="expression" dxfId="580" priority="6">
      <formula>#REF!="McQueen, Jennifer"</formula>
    </cfRule>
    <cfRule type="expression" dxfId="579" priority="4">
      <formula>#REF!="Benzick, Sue"</formula>
    </cfRule>
  </conditionalFormatting>
  <conditionalFormatting sqref="K471">
    <cfRule type="expression" dxfId="578" priority="36">
      <formula>#REF!="McQueen, Jennifer"</formula>
    </cfRule>
    <cfRule type="expression" dxfId="577" priority="35">
      <formula>#REF!="Jenne, Richard"</formula>
    </cfRule>
    <cfRule type="expression" dxfId="576" priority="34">
      <formula>#REF!="Benzick, Sue"</formula>
    </cfRule>
  </conditionalFormatting>
  <conditionalFormatting sqref="K494:K495">
    <cfRule type="expression" dxfId="575" priority="217">
      <formula>#REF!="Benzick, Sue"</formula>
    </cfRule>
    <cfRule type="expression" dxfId="574" priority="219">
      <formula>#REF!="McQueen, Jennifer"</formula>
    </cfRule>
    <cfRule type="expression" dxfId="573" priority="218">
      <formula>#REF!="Jenne, Richard"</formula>
    </cfRule>
  </conditionalFormatting>
  <conditionalFormatting sqref="K547">
    <cfRule type="expression" dxfId="572" priority="2">
      <formula>#REF!="Jenne, Richard"</formula>
    </cfRule>
    <cfRule type="expression" dxfId="571" priority="3">
      <formula>#REF!="McQueen, Jennifer"</formula>
    </cfRule>
    <cfRule type="expression" dxfId="570" priority="1">
      <formula>#REF!="Benzick, Sue"</formula>
    </cfRule>
  </conditionalFormatting>
  <conditionalFormatting sqref="K15:P18 J19:J36">
    <cfRule type="expression" dxfId="569" priority="1696">
      <formula>#REF!="Benzick, Sue"</formula>
    </cfRule>
    <cfRule type="expression" dxfId="568" priority="1697">
      <formula>#REF!="Jenne, Richard"</formula>
    </cfRule>
    <cfRule type="expression" dxfId="567" priority="1698">
      <formula>#REF!="McQueen, Jennifer"</formula>
    </cfRule>
  </conditionalFormatting>
  <conditionalFormatting sqref="K77:P77">
    <cfRule type="expression" dxfId="566" priority="114">
      <formula>#REF!="McQueen, Jennifer"</formula>
    </cfRule>
    <cfRule type="expression" dxfId="565" priority="113">
      <formula>#REF!="Jenne, Richard"</formula>
    </cfRule>
    <cfRule type="expression" dxfId="564" priority="112">
      <formula>#REF!="Benzick, Sue"</formula>
    </cfRule>
  </conditionalFormatting>
  <conditionalFormatting sqref="K132:P133">
    <cfRule type="expression" dxfId="563" priority="64">
      <formula>#REF!="Benzick, Sue"</formula>
    </cfRule>
    <cfRule type="expression" dxfId="562" priority="65">
      <formula>#REF!="Jenne, Richard"</formula>
    </cfRule>
    <cfRule type="expression" dxfId="561" priority="66">
      <formula>#REF!="McQueen, Jennifer"</formula>
    </cfRule>
  </conditionalFormatting>
  <conditionalFormatting sqref="K184:P184">
    <cfRule type="expression" dxfId="560" priority="58">
      <formula>#REF!="Benzick, Sue"</formula>
    </cfRule>
    <cfRule type="expression" dxfId="559" priority="60">
      <formula>#REF!="McQueen, Jennifer"</formula>
    </cfRule>
    <cfRule type="expression" dxfId="558" priority="59">
      <formula>#REF!="Jenne, Richard"</formula>
    </cfRule>
  </conditionalFormatting>
  <conditionalFormatting sqref="K187:P189">
    <cfRule type="expression" dxfId="557" priority="44">
      <formula>#REF!="Jenne, Richard"</formula>
    </cfRule>
    <cfRule type="expression" dxfId="556" priority="45">
      <formula>#REF!="McQueen, Jennifer"</formula>
    </cfRule>
    <cfRule type="expression" dxfId="555" priority="43">
      <formula>#REF!="Benzick, Sue"</formula>
    </cfRule>
  </conditionalFormatting>
  <conditionalFormatting sqref="K470:P470">
    <cfRule type="expression" dxfId="554" priority="41">
      <formula>#REF!="Jenne, Richard"</formula>
    </cfRule>
    <cfRule type="expression" dxfId="553" priority="40">
      <formula>#REF!="Benzick, Sue"</formula>
    </cfRule>
    <cfRule type="expression" dxfId="552" priority="42">
      <formula>#REF!="McQueen, Jennifer"</formula>
    </cfRule>
  </conditionalFormatting>
  <conditionalFormatting sqref="K472:P472">
    <cfRule type="expression" dxfId="551" priority="32">
      <formula>#REF!="Jenne, Richard"</formula>
    </cfRule>
    <cfRule type="expression" dxfId="550" priority="31">
      <formula>#REF!="Benzick, Sue"</formula>
    </cfRule>
    <cfRule type="expression" dxfId="549" priority="33">
      <formula>#REF!="McQueen, Jennifer"</formula>
    </cfRule>
  </conditionalFormatting>
  <conditionalFormatting sqref="L30:L32">
    <cfRule type="expression" dxfId="548" priority="187">
      <formula>#REF!="Benzick, Sue"</formula>
    </cfRule>
    <cfRule type="expression" dxfId="547" priority="189">
      <formula>#REF!="McQueen, Jennifer"</formula>
    </cfRule>
    <cfRule type="expression" dxfId="546" priority="188">
      <formula>#REF!="Jenne, Richard"</formula>
    </cfRule>
  </conditionalFormatting>
  <conditionalFormatting sqref="L38">
    <cfRule type="expression" dxfId="545" priority="1233">
      <formula>#REF!="McQueen, Jennifer"</formula>
    </cfRule>
    <cfRule type="expression" dxfId="544" priority="1232">
      <formula>#REF!="Jenne, Richard"</formula>
    </cfRule>
    <cfRule type="expression" dxfId="543" priority="1231">
      <formula>#REF!="Benzick, Sue"</formula>
    </cfRule>
  </conditionalFormatting>
  <conditionalFormatting sqref="L40">
    <cfRule type="expression" dxfId="542" priority="181">
      <formula>#REF!="Benzick, Sue"</formula>
    </cfRule>
    <cfRule type="expression" dxfId="541" priority="183">
      <formula>#REF!="McQueen, Jennifer"</formula>
    </cfRule>
    <cfRule type="expression" dxfId="540" priority="182">
      <formula>#REF!="Jenne, Richard"</formula>
    </cfRule>
  </conditionalFormatting>
  <conditionalFormatting sqref="L44">
    <cfRule type="expression" dxfId="539" priority="139">
      <formula>#REF!="Benzick, Sue"</formula>
    </cfRule>
    <cfRule type="expression" dxfId="538" priority="141">
      <formula>#REF!="McQueen, Jennifer"</formula>
    </cfRule>
    <cfRule type="expression" dxfId="537" priority="140">
      <formula>#REF!="Jenne, Richard"</formula>
    </cfRule>
  </conditionalFormatting>
  <conditionalFormatting sqref="L49">
    <cfRule type="expression" dxfId="536" priority="1222">
      <formula>#REF!="Benzick, Sue"</formula>
    </cfRule>
    <cfRule type="expression" dxfId="535" priority="1224">
      <formula>#REF!="McQueen, Jennifer"</formula>
    </cfRule>
    <cfRule type="expression" dxfId="534" priority="1223">
      <formula>#REF!="Jenne, Richard"</formula>
    </cfRule>
  </conditionalFormatting>
  <conditionalFormatting sqref="L54">
    <cfRule type="expression" dxfId="533" priority="1214">
      <formula>#REF!="Jenne, Richard"</formula>
    </cfRule>
    <cfRule type="expression" dxfId="532" priority="1215">
      <formula>#REF!="McQueen, Jennifer"</formula>
    </cfRule>
    <cfRule type="expression" dxfId="531" priority="1213">
      <formula>#REF!="Benzick, Sue"</formula>
    </cfRule>
  </conditionalFormatting>
  <conditionalFormatting sqref="L56">
    <cfRule type="expression" dxfId="530" priority="1205">
      <formula>#REF!="Jenne, Richard"</formula>
    </cfRule>
    <cfRule type="expression" dxfId="529" priority="1206">
      <formula>#REF!="McQueen, Jennifer"</formula>
    </cfRule>
    <cfRule type="expression" dxfId="528" priority="1204">
      <formula>#REF!="Benzick, Sue"</formula>
    </cfRule>
  </conditionalFormatting>
  <conditionalFormatting sqref="L60">
    <cfRule type="expression" dxfId="527" priority="1197">
      <formula>#REF!="McQueen, Jennifer"</formula>
    </cfRule>
    <cfRule type="expression" dxfId="526" priority="1196">
      <formula>#REF!="Jenne, Richard"</formula>
    </cfRule>
    <cfRule type="expression" dxfId="525" priority="1195">
      <formula>#REF!="Benzick, Sue"</formula>
    </cfRule>
  </conditionalFormatting>
  <conditionalFormatting sqref="L66">
    <cfRule type="expression" dxfId="524" priority="121">
      <formula>#REF!="Benzick, Sue"</formula>
    </cfRule>
    <cfRule type="expression" dxfId="523" priority="122">
      <formula>#REF!="Jenne, Richard"</formula>
    </cfRule>
    <cfRule type="expression" dxfId="522" priority="123">
      <formula>#REF!="McQueen, Jennifer"</formula>
    </cfRule>
  </conditionalFormatting>
  <conditionalFormatting sqref="L68">
    <cfRule type="expression" dxfId="521" priority="1188">
      <formula>#REF!="McQueen, Jennifer"</formula>
    </cfRule>
    <cfRule type="expression" dxfId="520" priority="1186">
      <formula>#REF!="Benzick, Sue"</formula>
    </cfRule>
    <cfRule type="expression" dxfId="519" priority="1187">
      <formula>#REF!="Jenne, Richard"</formula>
    </cfRule>
  </conditionalFormatting>
  <conditionalFormatting sqref="L74">
    <cfRule type="expression" dxfId="518" priority="1179">
      <formula>#REF!="McQueen, Jennifer"</formula>
    </cfRule>
    <cfRule type="expression" dxfId="517" priority="1178">
      <formula>#REF!="Jenne, Richard"</formula>
    </cfRule>
    <cfRule type="expression" dxfId="516" priority="1177">
      <formula>#REF!="Benzick, Sue"</formula>
    </cfRule>
  </conditionalFormatting>
  <conditionalFormatting sqref="L78:L79">
    <cfRule type="expression" dxfId="515" priority="98">
      <formula>#REF!="Jenne, Richard"</formula>
    </cfRule>
    <cfRule type="expression" dxfId="514" priority="99">
      <formula>#REF!="McQueen, Jennifer"</formula>
    </cfRule>
    <cfRule type="expression" dxfId="513" priority="97">
      <formula>#REF!="Benzick, Sue"</formula>
    </cfRule>
  </conditionalFormatting>
  <conditionalFormatting sqref="L83:L84">
    <cfRule type="expression" dxfId="512" priority="75">
      <formula>#REF!="McQueen, Jennifer"</formula>
    </cfRule>
    <cfRule type="expression" dxfId="511" priority="73">
      <formula>#REF!="Benzick, Sue"</formula>
    </cfRule>
    <cfRule type="expression" dxfId="510" priority="74">
      <formula>#REF!="Jenne, Richard"</formula>
    </cfRule>
  </conditionalFormatting>
  <conditionalFormatting sqref="L87">
    <cfRule type="expression" dxfId="509" priority="1161">
      <formula>#REF!="McQueen, Jennifer"</formula>
    </cfRule>
    <cfRule type="expression" dxfId="508" priority="1160">
      <formula>#REF!="Jenne, Richard"</formula>
    </cfRule>
    <cfRule type="expression" dxfId="507" priority="1159">
      <formula>#REF!="Benzick, Sue"</formula>
    </cfRule>
  </conditionalFormatting>
  <conditionalFormatting sqref="L97">
    <cfRule type="expression" dxfId="506" priority="1152">
      <formula>#REF!="McQueen, Jennifer"</formula>
    </cfRule>
    <cfRule type="expression" dxfId="505" priority="1151">
      <formula>#REF!="Jenne, Richard"</formula>
    </cfRule>
    <cfRule type="expression" dxfId="504" priority="1150">
      <formula>#REF!="Benzick, Sue"</formula>
    </cfRule>
  </conditionalFormatting>
  <conditionalFormatting sqref="L103">
    <cfRule type="expression" dxfId="503" priority="1132">
      <formula>#REF!="Benzick, Sue"</formula>
    </cfRule>
    <cfRule type="expression" dxfId="502" priority="1134">
      <formula>#REF!="McQueen, Jennifer"</formula>
    </cfRule>
    <cfRule type="expression" dxfId="501" priority="1133">
      <formula>#REF!="Jenne, Richard"</formula>
    </cfRule>
  </conditionalFormatting>
  <conditionalFormatting sqref="L107">
    <cfRule type="expression" dxfId="500" priority="1124">
      <formula>#REF!="Jenne, Richard"</formula>
    </cfRule>
    <cfRule type="expression" dxfId="499" priority="1125">
      <formula>#REF!="McQueen, Jennifer"</formula>
    </cfRule>
    <cfRule type="expression" dxfId="498" priority="1123">
      <formula>#REF!="Benzick, Sue"</formula>
    </cfRule>
  </conditionalFormatting>
  <conditionalFormatting sqref="L109">
    <cfRule type="expression" dxfId="497" priority="1115">
      <formula>#REF!="Jenne, Richard"</formula>
    </cfRule>
    <cfRule type="expression" dxfId="496" priority="1114">
      <formula>#REF!="Benzick, Sue"</formula>
    </cfRule>
    <cfRule type="expression" dxfId="495" priority="1116">
      <formula>#REF!="McQueen, Jennifer"</formula>
    </cfRule>
  </conditionalFormatting>
  <conditionalFormatting sqref="L116:L117">
    <cfRule type="expression" dxfId="494" priority="1078">
      <formula>#REF!="Benzick, Sue"</formula>
    </cfRule>
    <cfRule type="expression" dxfId="493" priority="1079">
      <formula>#REF!="Jenne, Richard"</formula>
    </cfRule>
    <cfRule type="expression" dxfId="492" priority="1080">
      <formula>#REF!="McQueen, Jennifer"</formula>
    </cfRule>
  </conditionalFormatting>
  <conditionalFormatting sqref="L138">
    <cfRule type="expression" dxfId="491" priority="383">
      <formula>#REF!="Jenne, Richard"</formula>
    </cfRule>
    <cfRule type="expression" dxfId="490" priority="384">
      <formula>#REF!="McQueen, Jennifer"</formula>
    </cfRule>
    <cfRule type="expression" dxfId="489" priority="382">
      <formula>#REF!="Benzick, Sue"</formula>
    </cfRule>
  </conditionalFormatting>
  <conditionalFormatting sqref="L190">
    <cfRule type="expression" dxfId="488" priority="1071">
      <formula>#REF!="McQueen, Jennifer"</formula>
    </cfRule>
    <cfRule type="expression" dxfId="487" priority="1070">
      <formula>#REF!="Jenne, Richard"</formula>
    </cfRule>
    <cfRule type="expression" dxfId="486" priority="1069">
      <formula>#REF!="Benzick, Sue"</formula>
    </cfRule>
  </conditionalFormatting>
  <conditionalFormatting sqref="L197">
    <cfRule type="expression" dxfId="485" priority="1060">
      <formula>#REF!="Benzick, Sue"</formula>
    </cfRule>
    <cfRule type="expression" dxfId="484" priority="1062">
      <formula>#REF!="McQueen, Jennifer"</formula>
    </cfRule>
    <cfRule type="expression" dxfId="483" priority="1061">
      <formula>#REF!="Jenne, Richard"</formula>
    </cfRule>
  </conditionalFormatting>
  <conditionalFormatting sqref="L203 L212 L219:L220 L222 L228 L234:L235 L241 L251 L253 L256 L261 L263:L264 L272:L277 L279 L282 L289 L293 L299 L309:L310 L313 L318:L320 L322 L324 L328 L351 L358:L359 L365 L369 L371 L385 L400:L401 L423 F424:F425">
    <cfRule type="expression" dxfId="482" priority="309">
      <formula>$Z203="McQueen, Jennifer"</formula>
    </cfRule>
    <cfRule type="expression" dxfId="481" priority="307">
      <formula>$Z203="Benzick, Sue"</formula>
    </cfRule>
    <cfRule type="expression" dxfId="480" priority="308">
      <formula>$Z203="Jenne, Richard"</formula>
    </cfRule>
  </conditionalFormatting>
  <conditionalFormatting sqref="L435">
    <cfRule type="expression" dxfId="479" priority="299">
      <formula>#REF!="Jenne, Richard"</formula>
    </cfRule>
    <cfRule type="expression" dxfId="478" priority="298">
      <formula>#REF!="Benzick, Sue"</formula>
    </cfRule>
    <cfRule type="expression" dxfId="477" priority="300">
      <formula>#REF!="McQueen, Jennifer"</formula>
    </cfRule>
  </conditionalFormatting>
  <conditionalFormatting sqref="L218:M218 O218:P218">
    <cfRule type="expression" dxfId="476" priority="511">
      <formula>#REF!="Benzick, Sue"</formula>
    </cfRule>
    <cfRule type="expression" dxfId="475" priority="512">
      <formula>#REF!="Jenne, Richard"</formula>
    </cfRule>
    <cfRule type="expression" dxfId="474" priority="513">
      <formula>#REF!="McQueen, Jennifer"</formula>
    </cfRule>
  </conditionalFormatting>
  <conditionalFormatting sqref="L221:M221 O221:P221 L224:M224 O224:P224">
    <cfRule type="expression" dxfId="473" priority="499">
      <formula>#REF!="Benzick, Sue"</formula>
    </cfRule>
    <cfRule type="expression" dxfId="472" priority="500">
      <formula>#REF!="Jenne, Richard"</formula>
    </cfRule>
    <cfRule type="expression" dxfId="471" priority="501">
      <formula>#REF!="McQueen, Jennifer"</formula>
    </cfRule>
  </conditionalFormatting>
  <conditionalFormatting sqref="L230:M230 O230:P230">
    <cfRule type="expression" dxfId="470" priority="493">
      <formula>#REF!="Benzick, Sue"</formula>
    </cfRule>
    <cfRule type="expression" dxfId="469" priority="494">
      <formula>#REF!="Jenne, Richard"</formula>
    </cfRule>
    <cfRule type="expression" dxfId="468" priority="495">
      <formula>#REF!="McQueen, Jennifer"</formula>
    </cfRule>
  </conditionalFormatting>
  <conditionalFormatting sqref="L269:M269 O269:P269">
    <cfRule type="expression" dxfId="467" priority="482">
      <formula>#REF!="Jenne, Richard"</formula>
    </cfRule>
    <cfRule type="expression" dxfId="466" priority="481">
      <formula>#REF!="Benzick, Sue"</formula>
    </cfRule>
    <cfRule type="expression" dxfId="465" priority="483">
      <formula>#REF!="McQueen, Jennifer"</formula>
    </cfRule>
  </conditionalFormatting>
  <conditionalFormatting sqref="L285:M286 O285:P286">
    <cfRule type="expression" dxfId="464" priority="469">
      <formula>#REF!="Benzick, Sue"</formula>
    </cfRule>
    <cfRule type="expression" dxfId="463" priority="470">
      <formula>#REF!="Jenne, Richard"</formula>
    </cfRule>
    <cfRule type="expression" dxfId="462" priority="471">
      <formula>#REF!="McQueen, Jennifer"</formula>
    </cfRule>
  </conditionalFormatting>
  <conditionalFormatting sqref="L288:M288 O288:P288">
    <cfRule type="expression" dxfId="461" priority="21">
      <formula>#REF!="McQueen, Jennifer"</formula>
    </cfRule>
    <cfRule type="expression" dxfId="460" priority="20">
      <formula>#REF!="Jenne, Richard"</formula>
    </cfRule>
    <cfRule type="expression" dxfId="459" priority="19">
      <formula>#REF!="Benzick, Sue"</formula>
    </cfRule>
  </conditionalFormatting>
  <conditionalFormatting sqref="L290:M290 O290:P290">
    <cfRule type="expression" dxfId="458" priority="464">
      <formula>#REF!="Jenne, Richard"</formula>
    </cfRule>
    <cfRule type="expression" dxfId="457" priority="465">
      <formula>#REF!="McQueen, Jennifer"</formula>
    </cfRule>
    <cfRule type="expression" dxfId="456" priority="463">
      <formula>#REF!="Benzick, Sue"</formula>
    </cfRule>
  </conditionalFormatting>
  <conditionalFormatting sqref="L301:M302 O301:P302">
    <cfRule type="expression" dxfId="455" priority="451">
      <formula>#REF!="Benzick, Sue"</formula>
    </cfRule>
    <cfRule type="expression" dxfId="454" priority="452">
      <formula>#REF!="Jenne, Richard"</formula>
    </cfRule>
    <cfRule type="expression" dxfId="453" priority="453">
      <formula>#REF!="McQueen, Jennifer"</formula>
    </cfRule>
  </conditionalFormatting>
  <conditionalFormatting sqref="L321:M321 O321:P321">
    <cfRule type="expression" dxfId="452" priority="346">
      <formula>#REF!="Benzick, Sue"</formula>
    </cfRule>
    <cfRule type="expression" dxfId="451" priority="347">
      <formula>#REF!="Jenne, Richard"</formula>
    </cfRule>
    <cfRule type="expression" dxfId="450" priority="348">
      <formula>#REF!="McQueen, Jennifer"</formula>
    </cfRule>
  </conditionalFormatting>
  <conditionalFormatting sqref="L347:M347 O347:P347">
    <cfRule type="expression" dxfId="449" priority="439">
      <formula>#REF!="Benzick, Sue"</formula>
    </cfRule>
    <cfRule type="expression" dxfId="448" priority="440">
      <formula>#REF!="Jenne, Richard"</formula>
    </cfRule>
    <cfRule type="expression" dxfId="447" priority="441">
      <formula>#REF!="McQueen, Jennifer"</formula>
    </cfRule>
  </conditionalFormatting>
  <conditionalFormatting sqref="L373:M373 O373:P373">
    <cfRule type="expression" dxfId="446" priority="433">
      <formula>#REF!="Benzick, Sue"</formula>
    </cfRule>
    <cfRule type="expression" dxfId="445" priority="434">
      <formula>#REF!="Jenne, Richard"</formula>
    </cfRule>
    <cfRule type="expression" dxfId="444" priority="435">
      <formula>#REF!="McQueen, Jennifer"</formula>
    </cfRule>
  </conditionalFormatting>
  <conditionalFormatting sqref="L381:M382 O381:P382">
    <cfRule type="expression" dxfId="443" priority="421">
      <formula>#REF!="Benzick, Sue"</formula>
    </cfRule>
    <cfRule type="expression" dxfId="442" priority="422">
      <formula>#REF!="Jenne, Richard"</formula>
    </cfRule>
    <cfRule type="expression" dxfId="441" priority="423">
      <formula>#REF!="McQueen, Jennifer"</formula>
    </cfRule>
  </conditionalFormatting>
  <conditionalFormatting sqref="L392:M392 O392:P392">
    <cfRule type="expression" dxfId="440" priority="410">
      <formula>#REF!="Jenne, Richard"</formula>
    </cfRule>
    <cfRule type="expression" dxfId="439" priority="411">
      <formula>#REF!="McQueen, Jennifer"</formula>
    </cfRule>
    <cfRule type="expression" dxfId="438" priority="409">
      <formula>#REF!="Benzick, Sue"</formula>
    </cfRule>
  </conditionalFormatting>
  <conditionalFormatting sqref="L402:M402 O402:P402">
    <cfRule type="expression" dxfId="437" priority="398">
      <formula>#REF!="Jenne, Richard"</formula>
    </cfRule>
    <cfRule type="expression" dxfId="436" priority="399">
      <formula>#REF!="McQueen, Jennifer"</formula>
    </cfRule>
    <cfRule type="expression" dxfId="435" priority="397">
      <formula>#REF!="Benzick, Sue"</formula>
    </cfRule>
  </conditionalFormatting>
  <conditionalFormatting sqref="L11:O11">
    <cfRule type="expression" dxfId="434" priority="2297">
      <formula>#REF!="Jenne, Richard"</formula>
    </cfRule>
    <cfRule type="expression" dxfId="433" priority="2296">
      <formula>#REF!="Benzick, Sue"</formula>
    </cfRule>
    <cfRule type="expression" dxfId="432" priority="2298">
      <formula>#REF!="McQueen, Jennifer"</formula>
    </cfRule>
  </conditionalFormatting>
  <conditionalFormatting sqref="L21:P21 L23:P25 L28:P28">
    <cfRule type="expression" dxfId="431" priority="2347">
      <formula>#REF!="Benzick, Sue"</formula>
    </cfRule>
    <cfRule type="expression" dxfId="430" priority="2348">
      <formula>#REF!="Jenne, Richard"</formula>
    </cfRule>
    <cfRule type="expression" dxfId="429" priority="2349">
      <formula>#REF!="McQueen, Jennifer"</formula>
    </cfRule>
  </conditionalFormatting>
  <conditionalFormatting sqref="L33:P37">
    <cfRule type="expression" dxfId="428" priority="1413">
      <formula>#REF!="McQueen, Jennifer"</formula>
    </cfRule>
    <cfRule type="expression" dxfId="427" priority="1412">
      <formula>#REF!="Jenne, Richard"</formula>
    </cfRule>
    <cfRule type="expression" dxfId="426" priority="1411">
      <formula>#REF!="Benzick, Sue"</formula>
    </cfRule>
  </conditionalFormatting>
  <conditionalFormatting sqref="L39:P39 L48:P48">
    <cfRule type="expression" dxfId="425" priority="1401">
      <formula>#REF!="McQueen, Jennifer"</formula>
    </cfRule>
    <cfRule type="expression" dxfId="424" priority="1400">
      <formula>#REF!="Jenne, Richard"</formula>
    </cfRule>
    <cfRule type="expression" dxfId="423" priority="1399">
      <formula>#REF!="Benzick, Sue"</formula>
    </cfRule>
  </conditionalFormatting>
  <conditionalFormatting sqref="L41:P42">
    <cfRule type="expression" dxfId="422" priority="159">
      <formula>#REF!="McQueen, Jennifer"</formula>
    </cfRule>
    <cfRule type="expression" dxfId="421" priority="158">
      <formula>#REF!="Jenne, Richard"</formula>
    </cfRule>
    <cfRule type="expression" dxfId="420" priority="157">
      <formula>#REF!="Benzick, Sue"</formula>
    </cfRule>
  </conditionalFormatting>
  <conditionalFormatting sqref="L52:P52">
    <cfRule type="expression" dxfId="419" priority="1395">
      <formula>#REF!="McQueen, Jennifer"</formula>
    </cfRule>
    <cfRule type="expression" dxfId="418" priority="1394">
      <formula>#REF!="Jenne, Richard"</formula>
    </cfRule>
    <cfRule type="expression" dxfId="417" priority="1393">
      <formula>#REF!="Benzick, Sue"</formula>
    </cfRule>
  </conditionalFormatting>
  <conditionalFormatting sqref="L55:P55">
    <cfRule type="expression" dxfId="416" priority="1497">
      <formula>#REF!="McQueen, Jennifer"</formula>
    </cfRule>
    <cfRule type="expression" dxfId="415" priority="1496">
      <formula>#REF!="Jenne, Richard"</formula>
    </cfRule>
    <cfRule type="expression" dxfId="414" priority="1495">
      <formula>#REF!="Benzick, Sue"</formula>
    </cfRule>
  </conditionalFormatting>
  <conditionalFormatting sqref="L57:P59">
    <cfRule type="expression" dxfId="413" priority="1381">
      <formula>#REF!="Benzick, Sue"</formula>
    </cfRule>
    <cfRule type="expression" dxfId="412" priority="1382">
      <formula>#REF!="Jenne, Richard"</formula>
    </cfRule>
    <cfRule type="expression" dxfId="411" priority="1383">
      <formula>#REF!="McQueen, Jennifer"</formula>
    </cfRule>
  </conditionalFormatting>
  <conditionalFormatting sqref="L61:P62">
    <cfRule type="expression" dxfId="410" priority="1377">
      <formula>#REF!="McQueen, Jennifer"</formula>
    </cfRule>
    <cfRule type="expression" dxfId="409" priority="1376">
      <formula>#REF!="Jenne, Richard"</formula>
    </cfRule>
    <cfRule type="expression" dxfId="408" priority="1375">
      <formula>#REF!="Benzick, Sue"</formula>
    </cfRule>
  </conditionalFormatting>
  <conditionalFormatting sqref="L71:P73">
    <cfRule type="expression" dxfId="407" priority="1365">
      <formula>#REF!="McQueen, Jennifer"</formula>
    </cfRule>
    <cfRule type="expression" dxfId="406" priority="1364">
      <formula>#REF!="Jenne, Richard"</formula>
    </cfRule>
    <cfRule type="expression" dxfId="405" priority="1363">
      <formula>#REF!="Benzick, Sue"</formula>
    </cfRule>
  </conditionalFormatting>
  <conditionalFormatting sqref="L85:P85">
    <cfRule type="expression" dxfId="404" priority="1359">
      <formula>#REF!="McQueen, Jennifer"</formula>
    </cfRule>
    <cfRule type="expression" dxfId="403" priority="1358">
      <formula>#REF!="Jenne, Richard"</formula>
    </cfRule>
    <cfRule type="expression" dxfId="402" priority="1357">
      <formula>#REF!="Benzick, Sue"</formula>
    </cfRule>
  </conditionalFormatting>
  <conditionalFormatting sqref="L88:P92">
    <cfRule type="expression" dxfId="401" priority="1335">
      <formula>#REF!="McQueen, Jennifer"</formula>
    </cfRule>
    <cfRule type="expression" dxfId="400" priority="1334">
      <formula>#REF!="Jenne, Richard"</formula>
    </cfRule>
    <cfRule type="expression" dxfId="399" priority="1333">
      <formula>#REF!="Benzick, Sue"</formula>
    </cfRule>
  </conditionalFormatting>
  <conditionalFormatting sqref="L110:P110">
    <cfRule type="expression" dxfId="398" priority="1305">
      <formula>#REF!="McQueen, Jennifer"</formula>
    </cfRule>
    <cfRule type="expression" dxfId="397" priority="1304">
      <formula>#REF!="Jenne, Richard"</formula>
    </cfRule>
    <cfRule type="expression" dxfId="396" priority="1303">
      <formula>#REF!="Benzick, Sue"</formula>
    </cfRule>
  </conditionalFormatting>
  <conditionalFormatting sqref="L128:P130">
    <cfRule type="expression" dxfId="395" priority="394">
      <formula>#REF!="Benzick, Sue"</formula>
    </cfRule>
    <cfRule type="expression" dxfId="394" priority="395">
      <formula>#REF!="Jenne, Richard"</formula>
    </cfRule>
    <cfRule type="expression" dxfId="393" priority="396">
      <formula>#REF!="McQueen, Jennifer"</formula>
    </cfRule>
  </conditionalFormatting>
  <conditionalFormatting sqref="L135:P136">
    <cfRule type="expression" dxfId="392" priority="1287">
      <formula>#REF!="McQueen, Jennifer"</formula>
    </cfRule>
    <cfRule type="expression" dxfId="391" priority="1286">
      <formula>#REF!="Jenne, Richard"</formula>
    </cfRule>
    <cfRule type="expression" dxfId="390" priority="1285">
      <formula>#REF!="Benzick, Sue"</formula>
    </cfRule>
  </conditionalFormatting>
  <conditionalFormatting sqref="L186:P186">
    <cfRule type="expression" dxfId="389" priority="53">
      <formula>#REF!="Jenne, Richard"</formula>
    </cfRule>
    <cfRule type="expression" dxfId="388" priority="54">
      <formula>#REF!="McQueen, Jennifer"</formula>
    </cfRule>
    <cfRule type="expression" dxfId="387" priority="52">
      <formula>#REF!="Benzick, Sue"</formula>
    </cfRule>
  </conditionalFormatting>
  <conditionalFormatting sqref="L196:P196">
    <cfRule type="expression" dxfId="386" priority="1273">
      <formula>#REF!="Benzick, Sue"</formula>
    </cfRule>
    <cfRule type="expression" dxfId="385" priority="1274">
      <formula>#REF!="Jenne, Richard"</formula>
    </cfRule>
    <cfRule type="expression" dxfId="384" priority="1275">
      <formula>#REF!="McQueen, Jennifer"</formula>
    </cfRule>
  </conditionalFormatting>
  <conditionalFormatting sqref="L205:P207">
    <cfRule type="expression" dxfId="383" priority="14">
      <formula>#REF!="Jenne, Richard"</formula>
    </cfRule>
    <cfRule type="expression" dxfId="382" priority="15">
      <formula>#REF!="McQueen, Jennifer"</formula>
    </cfRule>
    <cfRule type="expression" dxfId="381" priority="13">
      <formula>#REF!="Benzick, Sue"</formula>
    </cfRule>
  </conditionalFormatting>
  <conditionalFormatting sqref="L214:P214">
    <cfRule type="expression" dxfId="380" priority="381">
      <formula>#REF!="McQueen, Jennifer"</formula>
    </cfRule>
    <cfRule type="expression" dxfId="379" priority="380">
      <formula>#REF!="Jenne, Richard"</formula>
    </cfRule>
    <cfRule type="expression" dxfId="378" priority="379">
      <formula>#REF!="Benzick, Sue"</formula>
    </cfRule>
  </conditionalFormatting>
  <conditionalFormatting sqref="L233:P233">
    <cfRule type="expression" dxfId="377" priority="1045">
      <formula>#REF!="Benzick, Sue"</formula>
    </cfRule>
    <cfRule type="expression" dxfId="376" priority="1047">
      <formula>#REF!="McQueen, Jennifer"</formula>
    </cfRule>
    <cfRule type="expression" dxfId="375" priority="1046">
      <formula>#REF!="Jenne, Richard"</formula>
    </cfRule>
  </conditionalFormatting>
  <conditionalFormatting sqref="L236:P237">
    <cfRule type="expression" dxfId="374" priority="1028">
      <formula>#REF!="Jenne, Richard"</formula>
    </cfRule>
    <cfRule type="expression" dxfId="373" priority="1029">
      <formula>#REF!="McQueen, Jennifer"</formula>
    </cfRule>
    <cfRule type="expression" dxfId="372" priority="1027">
      <formula>#REF!="Benzick, Sue"</formula>
    </cfRule>
  </conditionalFormatting>
  <conditionalFormatting sqref="L240:P240">
    <cfRule type="expression" dxfId="371" priority="372">
      <formula>#REF!="McQueen, Jennifer"</formula>
    </cfRule>
    <cfRule type="expression" dxfId="370" priority="371">
      <formula>#REF!="Jenne, Richard"</formula>
    </cfRule>
    <cfRule type="expression" dxfId="369" priority="370">
      <formula>#REF!="Benzick, Sue"</formula>
    </cfRule>
  </conditionalFormatting>
  <conditionalFormatting sqref="L243:P244">
    <cfRule type="expression" dxfId="368" priority="1015">
      <formula>#REF!="Benzick, Sue"</formula>
    </cfRule>
    <cfRule type="expression" dxfId="367" priority="1016">
      <formula>#REF!="Jenne, Richard"</formula>
    </cfRule>
    <cfRule type="expression" dxfId="366" priority="1017">
      <formula>#REF!="McQueen, Jennifer"</formula>
    </cfRule>
  </conditionalFormatting>
  <conditionalFormatting sqref="L252:P252">
    <cfRule type="expression" dxfId="365" priority="1011">
      <formula>#REF!="McQueen, Jennifer"</formula>
    </cfRule>
    <cfRule type="expression" dxfId="364" priority="1009">
      <formula>#REF!="Benzick, Sue"</formula>
    </cfRule>
    <cfRule type="expression" dxfId="363" priority="1010">
      <formula>#REF!="Jenne, Richard"</formula>
    </cfRule>
  </conditionalFormatting>
  <conditionalFormatting sqref="L255:P255">
    <cfRule type="expression" dxfId="362" priority="1003">
      <formula>#REF!="Benzick, Sue"</formula>
    </cfRule>
    <cfRule type="expression" dxfId="361" priority="1005">
      <formula>#REF!="McQueen, Jennifer"</formula>
    </cfRule>
    <cfRule type="expression" dxfId="360" priority="1004">
      <formula>#REF!="Jenne, Richard"</formula>
    </cfRule>
  </conditionalFormatting>
  <conditionalFormatting sqref="L265:P265">
    <cfRule type="expression" dxfId="359" priority="999">
      <formula>#REF!="McQueen, Jennifer"</formula>
    </cfRule>
    <cfRule type="expression" dxfId="358" priority="998">
      <formula>#REF!="Jenne, Richard"</formula>
    </cfRule>
    <cfRule type="expression" dxfId="357" priority="997">
      <formula>#REF!="Benzick, Sue"</formula>
    </cfRule>
  </conditionalFormatting>
  <conditionalFormatting sqref="L268:P268">
    <cfRule type="expression" dxfId="356" priority="992">
      <formula>#REF!="Jenne, Richard"</formula>
    </cfRule>
    <cfRule type="expression" dxfId="355" priority="993">
      <formula>#REF!="McQueen, Jennifer"</formula>
    </cfRule>
    <cfRule type="expression" dxfId="354" priority="991">
      <formula>#REF!="Benzick, Sue"</formula>
    </cfRule>
  </conditionalFormatting>
  <conditionalFormatting sqref="L281:P281">
    <cfRule type="expression" dxfId="353" priority="985">
      <formula>#REF!="Benzick, Sue"</formula>
    </cfRule>
    <cfRule type="expression" dxfId="352" priority="986">
      <formula>#REF!="Jenne, Richard"</formula>
    </cfRule>
    <cfRule type="expression" dxfId="351" priority="987">
      <formula>#REF!="McQueen, Jennifer"</formula>
    </cfRule>
  </conditionalFormatting>
  <conditionalFormatting sqref="L287:P287">
    <cfRule type="expression" dxfId="350" priority="979">
      <formula>#REF!="Benzick, Sue"</formula>
    </cfRule>
    <cfRule type="expression" dxfId="349" priority="981">
      <formula>#REF!="McQueen, Jennifer"</formula>
    </cfRule>
    <cfRule type="expression" dxfId="348" priority="980">
      <formula>#REF!="Jenne, Richard"</formula>
    </cfRule>
  </conditionalFormatting>
  <conditionalFormatting sqref="L294:P294">
    <cfRule type="expression" dxfId="347" priority="220">
      <formula>#REF!="Benzick, Sue"</formula>
    </cfRule>
    <cfRule type="expression" dxfId="346" priority="221">
      <formula>#REF!="Jenne, Richard"</formula>
    </cfRule>
    <cfRule type="expression" dxfId="345" priority="222">
      <formula>#REF!="McQueen, Jennifer"</formula>
    </cfRule>
  </conditionalFormatting>
  <conditionalFormatting sqref="L296:P298">
    <cfRule type="expression" dxfId="344" priority="353">
      <formula>#REF!="Jenne, Richard"</formula>
    </cfRule>
    <cfRule type="expression" dxfId="343" priority="354">
      <formula>#REF!="McQueen, Jennifer"</formula>
    </cfRule>
    <cfRule type="expression" dxfId="342" priority="352">
      <formula>#REF!="Benzick, Sue"</formula>
    </cfRule>
  </conditionalFormatting>
  <conditionalFormatting sqref="L305:P305">
    <cfRule type="expression" dxfId="341" priority="969">
      <formula>#REF!="McQueen, Jennifer"</formula>
    </cfRule>
    <cfRule type="expression" dxfId="340" priority="968">
      <formula>#REF!="Jenne, Richard"</formula>
    </cfRule>
    <cfRule type="expression" dxfId="339" priority="967">
      <formula>#REF!="Benzick, Sue"</formula>
    </cfRule>
  </conditionalFormatting>
  <conditionalFormatting sqref="L308:P308">
    <cfRule type="expression" dxfId="338" priority="961">
      <formula>#REF!="Benzick, Sue"</formula>
    </cfRule>
    <cfRule type="expression" dxfId="337" priority="962">
      <formula>#REF!="Jenne, Richard"</formula>
    </cfRule>
    <cfRule type="expression" dxfId="336" priority="963">
      <formula>#REF!="McQueen, Jennifer"</formula>
    </cfRule>
  </conditionalFormatting>
  <conditionalFormatting sqref="L312:P312">
    <cfRule type="expression" dxfId="335" priority="365">
      <formula>#REF!="Jenne, Richard"</formula>
    </cfRule>
    <cfRule type="expression" dxfId="334" priority="366">
      <formula>#REF!="McQueen, Jennifer"</formula>
    </cfRule>
    <cfRule type="expression" dxfId="333" priority="364">
      <formula>#REF!="Benzick, Sue"</formula>
    </cfRule>
  </conditionalFormatting>
  <conditionalFormatting sqref="L314:P315">
    <cfRule type="expression" dxfId="332" priority="950">
      <formula>#REF!="Jenne, Richard"</formula>
    </cfRule>
    <cfRule type="expression" dxfId="331" priority="949">
      <formula>#REF!="Benzick, Sue"</formula>
    </cfRule>
    <cfRule type="expression" dxfId="330" priority="951">
      <formula>#REF!="McQueen, Jennifer"</formula>
    </cfRule>
  </conditionalFormatting>
  <conditionalFormatting sqref="L334:P334">
    <cfRule type="expression" dxfId="329" priority="921">
      <formula>#REF!="McQueen, Jennifer"</formula>
    </cfRule>
    <cfRule type="expression" dxfId="328" priority="919">
      <formula>#REF!="Benzick, Sue"</formula>
    </cfRule>
    <cfRule type="expression" dxfId="327" priority="920">
      <formula>#REF!="Jenne, Richard"</formula>
    </cfRule>
  </conditionalFormatting>
  <conditionalFormatting sqref="L340:P341">
    <cfRule type="expression" dxfId="326" priority="341">
      <formula>#REF!="Jenne, Richard"</formula>
    </cfRule>
    <cfRule type="expression" dxfId="325" priority="342">
      <formula>#REF!="McQueen, Jennifer"</formula>
    </cfRule>
    <cfRule type="expression" dxfId="324" priority="340">
      <formula>#REF!="Benzick, Sue"</formula>
    </cfRule>
  </conditionalFormatting>
  <conditionalFormatting sqref="L343:P343">
    <cfRule type="expression" dxfId="323" priority="332">
      <formula>#REF!="Jenne, Richard"</formula>
    </cfRule>
    <cfRule type="expression" dxfId="322" priority="333">
      <formula>#REF!="McQueen, Jennifer"</formula>
    </cfRule>
    <cfRule type="expression" dxfId="321" priority="331">
      <formula>#REF!="Benzick, Sue"</formula>
    </cfRule>
  </conditionalFormatting>
  <conditionalFormatting sqref="L345:P346">
    <cfRule type="expression" dxfId="320" priority="901">
      <formula>#REF!="Benzick, Sue"</formula>
    </cfRule>
    <cfRule type="expression" dxfId="319" priority="902">
      <formula>#REF!="Jenne, Richard"</formula>
    </cfRule>
    <cfRule type="expression" dxfId="318" priority="903">
      <formula>#REF!="McQueen, Jennifer"</formula>
    </cfRule>
  </conditionalFormatting>
  <conditionalFormatting sqref="L363:P363">
    <cfRule type="expression" dxfId="317" priority="232">
      <formula>#REF!="Benzick, Sue"</formula>
    </cfRule>
    <cfRule type="expression" dxfId="316" priority="233">
      <formula>#REF!="Jenne, Richard"</formula>
    </cfRule>
    <cfRule type="expression" dxfId="315" priority="234">
      <formula>#REF!="McQueen, Jennifer"</formula>
    </cfRule>
  </conditionalFormatting>
  <conditionalFormatting sqref="L372:P372">
    <cfRule type="expression" dxfId="314" priority="897">
      <formula>#REF!="McQueen, Jennifer"</formula>
    </cfRule>
    <cfRule type="expression" dxfId="313" priority="896">
      <formula>#REF!="Jenne, Richard"</formula>
    </cfRule>
    <cfRule type="expression" dxfId="312" priority="895">
      <formula>#REF!="Benzick, Sue"</formula>
    </cfRule>
  </conditionalFormatting>
  <conditionalFormatting sqref="L375:P379">
    <cfRule type="expression" dxfId="311" priority="891">
      <formula>#REF!="McQueen, Jennifer"</formula>
    </cfRule>
    <cfRule type="expression" dxfId="310" priority="889">
      <formula>#REF!="Benzick, Sue"</formula>
    </cfRule>
    <cfRule type="expression" dxfId="309" priority="890">
      <formula>#REF!="Jenne, Richard"</formula>
    </cfRule>
  </conditionalFormatting>
  <conditionalFormatting sqref="L388:P388">
    <cfRule type="expression" dxfId="308" priority="885">
      <formula>#REF!="McQueen, Jennifer"</formula>
    </cfRule>
    <cfRule type="expression" dxfId="307" priority="883">
      <formula>#REF!="Benzick, Sue"</formula>
    </cfRule>
    <cfRule type="expression" dxfId="306" priority="884">
      <formula>#REF!="Jenne, Richard"</formula>
    </cfRule>
  </conditionalFormatting>
  <conditionalFormatting sqref="L393:P394">
    <cfRule type="expression" dxfId="305" priority="871">
      <formula>#REF!="Benzick, Sue"</formula>
    </cfRule>
    <cfRule type="expression" dxfId="304" priority="873">
      <formula>#REF!="McQueen, Jennifer"</formula>
    </cfRule>
    <cfRule type="expression" dxfId="303" priority="872">
      <formula>#REF!="Jenne, Richard"</formula>
    </cfRule>
  </conditionalFormatting>
  <conditionalFormatting sqref="L398:P399">
    <cfRule type="expression" dxfId="302" priority="859">
      <formula>#REF!="Benzick, Sue"</formula>
    </cfRule>
    <cfRule type="expression" dxfId="301" priority="860">
      <formula>#REF!="Jenne, Richard"</formula>
    </cfRule>
    <cfRule type="expression" dxfId="300" priority="861">
      <formula>#REF!="McQueen, Jennifer"</formula>
    </cfRule>
  </conditionalFormatting>
  <conditionalFormatting sqref="L410:P410">
    <cfRule type="expression" dxfId="299" priority="323">
      <formula>#REF!="Jenne, Richard"</formula>
    </cfRule>
    <cfRule type="expression" dxfId="298" priority="324">
      <formula>#REF!="McQueen, Jennifer"</formula>
    </cfRule>
    <cfRule type="expression" dxfId="297" priority="322">
      <formula>#REF!="Benzick, Sue"</formula>
    </cfRule>
  </conditionalFormatting>
  <conditionalFormatting sqref="L444:P444">
    <cfRule type="expression" dxfId="296" priority="226">
      <formula>#REF!="Benzick, Sue"</formula>
    </cfRule>
    <cfRule type="expression" dxfId="295" priority="227">
      <formula>#REF!="Jenne, Richard"</formula>
    </cfRule>
    <cfRule type="expression" dxfId="294" priority="228">
      <formula>#REF!="McQueen, Jennifer"</formula>
    </cfRule>
  </conditionalFormatting>
  <conditionalFormatting sqref="L471:P471">
    <cfRule type="expression" dxfId="293" priority="39">
      <formula>#REF!="McQueen, Jennifer"</formula>
    </cfRule>
    <cfRule type="expression" dxfId="292" priority="37">
      <formula>#REF!="Benzick, Sue"</formula>
    </cfRule>
    <cfRule type="expression" dxfId="291" priority="38">
      <formula>#REF!="Jenne, Richard"</formula>
    </cfRule>
  </conditionalFormatting>
  <conditionalFormatting sqref="M10">
    <cfRule type="expression" dxfId="290" priority="1716">
      <formula>#REF!="McQueen, Jennifer"</formula>
    </cfRule>
    <cfRule type="expression" dxfId="289" priority="1714">
      <formula>#REF!="Benzick, Sue"</formula>
    </cfRule>
    <cfRule type="expression" dxfId="288" priority="1715">
      <formula>#REF!="Jenne, Richard"</formula>
    </cfRule>
  </conditionalFormatting>
  <conditionalFormatting sqref="M13">
    <cfRule type="expression" dxfId="287" priority="211">
      <formula>#REF!="Benzick, Sue"</formula>
    </cfRule>
    <cfRule type="expression" dxfId="286" priority="213">
      <formula>#REF!="McQueen, Jennifer"</formula>
    </cfRule>
    <cfRule type="expression" dxfId="285" priority="212">
      <formula>#REF!="Jenne, Richard"</formula>
    </cfRule>
  </conditionalFormatting>
  <conditionalFormatting sqref="M30:M32">
    <cfRule type="expression" dxfId="284" priority="184">
      <formula>#REF!="Benzick, Sue"</formula>
    </cfRule>
    <cfRule type="expression" dxfId="283" priority="185">
      <formula>#REF!="Jenne, Richard"</formula>
    </cfRule>
    <cfRule type="expression" dxfId="282" priority="186">
      <formula>#REF!="McQueen, Jennifer"</formula>
    </cfRule>
  </conditionalFormatting>
  <conditionalFormatting sqref="M40">
    <cfRule type="expression" dxfId="281" priority="178">
      <formula>#REF!="Benzick, Sue"</formula>
    </cfRule>
    <cfRule type="expression" dxfId="280" priority="180">
      <formula>#REF!="McQueen, Jennifer"</formula>
    </cfRule>
    <cfRule type="expression" dxfId="279" priority="179">
      <formula>#REF!="Jenne, Richard"</formula>
    </cfRule>
  </conditionalFormatting>
  <conditionalFormatting sqref="M44">
    <cfRule type="expression" dxfId="278" priority="136">
      <formula>#REF!="Benzick, Sue"</formula>
    </cfRule>
    <cfRule type="expression" dxfId="277" priority="138">
      <formula>#REF!="McQueen, Jennifer"</formula>
    </cfRule>
    <cfRule type="expression" dxfId="276" priority="137">
      <formula>#REF!="Jenne, Richard"</formula>
    </cfRule>
  </conditionalFormatting>
  <conditionalFormatting sqref="M66">
    <cfRule type="expression" dxfId="275" priority="118">
      <formula>#REF!="Benzick, Sue"</formula>
    </cfRule>
    <cfRule type="expression" dxfId="274" priority="119">
      <formula>#REF!="Jenne, Richard"</formula>
    </cfRule>
    <cfRule type="expression" dxfId="273" priority="120">
      <formula>#REF!="McQueen, Jennifer"</formula>
    </cfRule>
  </conditionalFormatting>
  <conditionalFormatting sqref="M78:M79">
    <cfRule type="expression" dxfId="272" priority="95">
      <formula>#REF!="Jenne, Richard"</formula>
    </cfRule>
    <cfRule type="expression" dxfId="271" priority="96">
      <formula>#REF!="McQueen, Jennifer"</formula>
    </cfRule>
    <cfRule type="expression" dxfId="270" priority="94">
      <formula>#REF!="Benzick, Sue"</formula>
    </cfRule>
  </conditionalFormatting>
  <conditionalFormatting sqref="M83">
    <cfRule type="expression" dxfId="269" priority="70">
      <formula>#REF!="Benzick, Sue"</formula>
    </cfRule>
    <cfRule type="expression" dxfId="268" priority="71">
      <formula>#REF!="Jenne, Richard"</formula>
    </cfRule>
    <cfRule type="expression" dxfId="267" priority="72">
      <formula>#REF!="McQueen, Jennifer"</formula>
    </cfRule>
  </conditionalFormatting>
  <conditionalFormatting sqref="M203">
    <cfRule type="expression" dxfId="266" priority="853">
      <formula>#REF!="Benzick, Sue"</formula>
    </cfRule>
    <cfRule type="expression" dxfId="265" priority="855">
      <formula>#REF!="McQueen, Jennifer"</formula>
    </cfRule>
    <cfRule type="expression" dxfId="264" priority="854">
      <formula>#REF!="Jenne, Richard"</formula>
    </cfRule>
  </conditionalFormatting>
  <conditionalFormatting sqref="M212">
    <cfRule type="expression" dxfId="263" priority="849">
      <formula>#REF!="McQueen, Jennifer"</formula>
    </cfRule>
    <cfRule type="expression" dxfId="262" priority="848">
      <formula>#REF!="Jenne, Richard"</formula>
    </cfRule>
    <cfRule type="expression" dxfId="261" priority="847">
      <formula>#REF!="Benzick, Sue"</formula>
    </cfRule>
  </conditionalFormatting>
  <conditionalFormatting sqref="M219:M220">
    <cfRule type="expression" dxfId="260" priority="835">
      <formula>#REF!="Benzick, Sue"</formula>
    </cfRule>
    <cfRule type="expression" dxfId="259" priority="837">
      <formula>#REF!="McQueen, Jennifer"</formula>
    </cfRule>
    <cfRule type="expression" dxfId="258" priority="836">
      <formula>#REF!="Jenne, Richard"</formula>
    </cfRule>
  </conditionalFormatting>
  <conditionalFormatting sqref="M222">
    <cfRule type="expression" dxfId="257" priority="830">
      <formula>#REF!="Jenne, Richard"</formula>
    </cfRule>
    <cfRule type="expression" dxfId="256" priority="831">
      <formula>#REF!="McQueen, Jennifer"</formula>
    </cfRule>
    <cfRule type="expression" dxfId="255" priority="829">
      <formula>#REF!="Benzick, Sue"</formula>
    </cfRule>
  </conditionalFormatting>
  <conditionalFormatting sqref="M228">
    <cfRule type="expression" dxfId="254" priority="823">
      <formula>#REF!="Benzick, Sue"</formula>
    </cfRule>
    <cfRule type="expression" dxfId="253" priority="824">
      <formula>#REF!="Jenne, Richard"</formula>
    </cfRule>
    <cfRule type="expression" dxfId="252" priority="825">
      <formula>#REF!="McQueen, Jennifer"</formula>
    </cfRule>
  </conditionalFormatting>
  <conditionalFormatting sqref="M234:M235">
    <cfRule type="expression" dxfId="251" priority="811">
      <formula>#REF!="Benzick, Sue"</formula>
    </cfRule>
    <cfRule type="expression" dxfId="250" priority="812">
      <formula>#REF!="Jenne, Richard"</formula>
    </cfRule>
    <cfRule type="expression" dxfId="249" priority="813">
      <formula>#REF!="McQueen, Jennifer"</formula>
    </cfRule>
  </conditionalFormatting>
  <conditionalFormatting sqref="M241">
    <cfRule type="expression" dxfId="248" priority="799">
      <formula>#REF!="Benzick, Sue"</formula>
    </cfRule>
    <cfRule type="expression" dxfId="247" priority="800">
      <formula>#REF!="Jenne, Richard"</formula>
    </cfRule>
    <cfRule type="expression" dxfId="246" priority="801">
      <formula>#REF!="McQueen, Jennifer"</formula>
    </cfRule>
  </conditionalFormatting>
  <conditionalFormatting sqref="M251">
    <cfRule type="expression" dxfId="245" priority="794">
      <formula>#REF!="Jenne, Richard"</formula>
    </cfRule>
    <cfRule type="expression" dxfId="244" priority="795">
      <formula>#REF!="McQueen, Jennifer"</formula>
    </cfRule>
    <cfRule type="expression" dxfId="243" priority="793">
      <formula>#REF!="Benzick, Sue"</formula>
    </cfRule>
  </conditionalFormatting>
  <conditionalFormatting sqref="M253">
    <cfRule type="expression" dxfId="242" priority="789">
      <formula>#REF!="McQueen, Jennifer"</formula>
    </cfRule>
    <cfRule type="expression" dxfId="241" priority="787">
      <formula>#REF!="Benzick, Sue"</formula>
    </cfRule>
    <cfRule type="expression" dxfId="240" priority="788">
      <formula>#REF!="Jenne, Richard"</formula>
    </cfRule>
  </conditionalFormatting>
  <conditionalFormatting sqref="M256">
    <cfRule type="expression" dxfId="239" priority="783">
      <formula>#REF!="McQueen, Jennifer"</formula>
    </cfRule>
    <cfRule type="expression" dxfId="238" priority="782">
      <formula>#REF!="Jenne, Richard"</formula>
    </cfRule>
    <cfRule type="expression" dxfId="237" priority="781">
      <formula>#REF!="Benzick, Sue"</formula>
    </cfRule>
  </conditionalFormatting>
  <conditionalFormatting sqref="M261">
    <cfRule type="expression" dxfId="236" priority="777">
      <formula>#REF!="McQueen, Jennifer"</formula>
    </cfRule>
    <cfRule type="expression" dxfId="235" priority="776">
      <formula>#REF!="Jenne, Richard"</formula>
    </cfRule>
    <cfRule type="expression" dxfId="234" priority="775">
      <formula>#REF!="Benzick, Sue"</formula>
    </cfRule>
  </conditionalFormatting>
  <conditionalFormatting sqref="M263:M264">
    <cfRule type="expression" dxfId="233" priority="771">
      <formula>#REF!="McQueen, Jennifer"</formula>
    </cfRule>
    <cfRule type="expression" dxfId="232" priority="769">
      <formula>#REF!="Benzick, Sue"</formula>
    </cfRule>
    <cfRule type="expression" dxfId="231" priority="770">
      <formula>#REF!="Jenne, Richard"</formula>
    </cfRule>
  </conditionalFormatting>
  <conditionalFormatting sqref="M272:M277 M279">
    <cfRule type="expression" dxfId="230" priority="358">
      <formula>#REF!="Benzick, Sue"</formula>
    </cfRule>
    <cfRule type="expression" dxfId="229" priority="360">
      <formula>#REF!="McQueen, Jennifer"</formula>
    </cfRule>
    <cfRule type="expression" dxfId="228" priority="359">
      <formula>#REF!="Jenne, Richard"</formula>
    </cfRule>
  </conditionalFormatting>
  <conditionalFormatting sqref="M289">
    <cfRule type="expression" dxfId="227" priority="697">
      <formula>#REF!="Benzick, Sue"</formula>
    </cfRule>
    <cfRule type="expression" dxfId="226" priority="698">
      <formula>#REF!="Jenne, Richard"</formula>
    </cfRule>
    <cfRule type="expression" dxfId="225" priority="699">
      <formula>#REF!="McQueen, Jennifer"</formula>
    </cfRule>
  </conditionalFormatting>
  <conditionalFormatting sqref="M293">
    <cfRule type="expression" dxfId="224" priority="691">
      <formula>#REF!="Benzick, Sue"</formula>
    </cfRule>
    <cfRule type="expression" dxfId="223" priority="693">
      <formula>#REF!="McQueen, Jennifer"</formula>
    </cfRule>
    <cfRule type="expression" dxfId="222" priority="692">
      <formula>#REF!="Jenne, Richard"</formula>
    </cfRule>
  </conditionalFormatting>
  <conditionalFormatting sqref="M299">
    <cfRule type="expression" dxfId="221" priority="685">
      <formula>#REF!="Benzick, Sue"</formula>
    </cfRule>
    <cfRule type="expression" dxfId="220" priority="686">
      <formula>#REF!="Jenne, Richard"</formula>
    </cfRule>
    <cfRule type="expression" dxfId="219" priority="687">
      <formula>#REF!="McQueen, Jennifer"</formula>
    </cfRule>
  </conditionalFormatting>
  <conditionalFormatting sqref="M309:M310">
    <cfRule type="expression" dxfId="218" priority="673">
      <formula>#REF!="Benzick, Sue"</formula>
    </cfRule>
    <cfRule type="expression" dxfId="217" priority="674">
      <formula>#REF!="Jenne, Richard"</formula>
    </cfRule>
    <cfRule type="expression" dxfId="216" priority="675">
      <formula>#REF!="McQueen, Jennifer"</formula>
    </cfRule>
  </conditionalFormatting>
  <conditionalFormatting sqref="M313">
    <cfRule type="expression" dxfId="215" priority="669">
      <formula>#REF!="McQueen, Jennifer"</formula>
    </cfRule>
    <cfRule type="expression" dxfId="214" priority="668">
      <formula>#REF!="Jenne, Richard"</formula>
    </cfRule>
    <cfRule type="expression" dxfId="213" priority="667">
      <formula>#REF!="Benzick, Sue"</formula>
    </cfRule>
  </conditionalFormatting>
  <conditionalFormatting sqref="M318:M320">
    <cfRule type="expression" dxfId="212" priority="651">
      <formula>#REF!="McQueen, Jennifer"</formula>
    </cfRule>
    <cfRule type="expression" dxfId="211" priority="650">
      <formula>#REF!="Jenne, Richard"</formula>
    </cfRule>
    <cfRule type="expression" dxfId="210" priority="649">
      <formula>#REF!="Benzick, Sue"</formula>
    </cfRule>
  </conditionalFormatting>
  <conditionalFormatting sqref="M322">
    <cfRule type="expression" dxfId="209" priority="645">
      <formula>#REF!="McQueen, Jennifer"</formula>
    </cfRule>
    <cfRule type="expression" dxfId="208" priority="644">
      <formula>#REF!="Jenne, Richard"</formula>
    </cfRule>
    <cfRule type="expression" dxfId="207" priority="643">
      <formula>#REF!="Benzick, Sue"</formula>
    </cfRule>
  </conditionalFormatting>
  <conditionalFormatting sqref="M324">
    <cfRule type="expression" dxfId="206" priority="632">
      <formula>#REF!="Jenne, Richard"</formula>
    </cfRule>
    <cfRule type="expression" dxfId="205" priority="633">
      <formula>#REF!="McQueen, Jennifer"</formula>
    </cfRule>
    <cfRule type="expression" dxfId="204" priority="631">
      <formula>#REF!="Benzick, Sue"</formula>
    </cfRule>
  </conditionalFormatting>
  <conditionalFormatting sqref="M328">
    <cfRule type="expression" dxfId="203" priority="625">
      <formula>#REF!="Benzick, Sue"</formula>
    </cfRule>
    <cfRule type="expression" dxfId="202" priority="627">
      <formula>#REF!="McQueen, Jennifer"</formula>
    </cfRule>
    <cfRule type="expression" dxfId="201" priority="626">
      <formula>#REF!="Jenne, Richard"</formula>
    </cfRule>
  </conditionalFormatting>
  <conditionalFormatting sqref="M351">
    <cfRule type="expression" dxfId="200" priority="597">
      <formula>#REF!="McQueen, Jennifer"</formula>
    </cfRule>
    <cfRule type="expression" dxfId="199" priority="596">
      <formula>#REF!="Jenne, Richard"</formula>
    </cfRule>
    <cfRule type="expression" dxfId="198" priority="595">
      <formula>#REF!="Benzick, Sue"</formula>
    </cfRule>
  </conditionalFormatting>
  <conditionalFormatting sqref="M358:M359">
    <cfRule type="expression" dxfId="197" priority="591">
      <formula>#REF!="McQueen, Jennifer"</formula>
    </cfRule>
    <cfRule type="expression" dxfId="196" priority="590">
      <formula>#REF!="Jenne, Richard"</formula>
    </cfRule>
    <cfRule type="expression" dxfId="195" priority="589">
      <formula>#REF!="Benzick, Sue"</formula>
    </cfRule>
  </conditionalFormatting>
  <conditionalFormatting sqref="M365">
    <cfRule type="expression" dxfId="194" priority="585">
      <formula>#REF!="McQueen, Jennifer"</formula>
    </cfRule>
    <cfRule type="expression" dxfId="193" priority="584">
      <formula>#REF!="Jenne, Richard"</formula>
    </cfRule>
    <cfRule type="expression" dxfId="192" priority="583">
      <formula>#REF!="Benzick, Sue"</formula>
    </cfRule>
  </conditionalFormatting>
  <conditionalFormatting sqref="M369">
    <cfRule type="expression" dxfId="191" priority="335">
      <formula>#REF!="Jenne, Richard"</formula>
    </cfRule>
    <cfRule type="expression" dxfId="190" priority="334">
      <formula>#REF!="Benzick, Sue"</formula>
    </cfRule>
    <cfRule type="expression" dxfId="189" priority="336">
      <formula>#REF!="McQueen, Jennifer"</formula>
    </cfRule>
  </conditionalFormatting>
  <conditionalFormatting sqref="M371">
    <cfRule type="expression" dxfId="188" priority="579">
      <formula>#REF!="McQueen, Jennifer"</formula>
    </cfRule>
    <cfRule type="expression" dxfId="187" priority="577">
      <formula>#REF!="Benzick, Sue"</formula>
    </cfRule>
    <cfRule type="expression" dxfId="186" priority="578">
      <formula>#REF!="Jenne, Richard"</formula>
    </cfRule>
  </conditionalFormatting>
  <conditionalFormatting sqref="M385">
    <cfRule type="expression" dxfId="185" priority="559">
      <formula>#REF!="Benzick, Sue"</formula>
    </cfRule>
    <cfRule type="expression" dxfId="184" priority="560">
      <formula>#REF!="Jenne, Richard"</formula>
    </cfRule>
    <cfRule type="expression" dxfId="183" priority="561">
      <formula>#REF!="McQueen, Jennifer"</formula>
    </cfRule>
  </conditionalFormatting>
  <conditionalFormatting sqref="M400:M401">
    <cfRule type="expression" dxfId="182" priority="523">
      <formula>#REF!="Benzick, Sue"</formula>
    </cfRule>
    <cfRule type="expression" dxfId="181" priority="524">
      <formula>#REF!="Jenne, Richard"</formula>
    </cfRule>
    <cfRule type="expression" dxfId="180" priority="525">
      <formula>#REF!="McQueen, Jennifer"</formula>
    </cfRule>
  </conditionalFormatting>
  <conditionalFormatting sqref="M423">
    <cfRule type="expression" dxfId="179" priority="517">
      <formula>#REF!="Benzick, Sue"</formula>
    </cfRule>
    <cfRule type="expression" dxfId="178" priority="518">
      <formula>#REF!="Jenne, Richard"</formula>
    </cfRule>
    <cfRule type="expression" dxfId="177" priority="519">
      <formula>#REF!="McQueen, Jennifer"</formula>
    </cfRule>
  </conditionalFormatting>
  <conditionalFormatting sqref="M38:P38">
    <cfRule type="expression" dxfId="176" priority="1237">
      <formula>#REF!="Benzick, Sue"</formula>
    </cfRule>
    <cfRule type="expression" dxfId="175" priority="1239">
      <formula>#REF!="McQueen, Jennifer"</formula>
    </cfRule>
    <cfRule type="expression" dxfId="174" priority="1238">
      <formula>#REF!="Jenne, Richard"</formula>
    </cfRule>
  </conditionalFormatting>
  <conditionalFormatting sqref="M49:P49">
    <cfRule type="expression" dxfId="173" priority="1228">
      <formula>#REF!="Benzick, Sue"</formula>
    </cfRule>
    <cfRule type="expression" dxfId="172" priority="1229">
      <formula>#REF!="Jenne, Richard"</formula>
    </cfRule>
    <cfRule type="expression" dxfId="171" priority="1230">
      <formula>#REF!="McQueen, Jennifer"</formula>
    </cfRule>
  </conditionalFormatting>
  <conditionalFormatting sqref="M54:P54">
    <cfRule type="expression" dxfId="170" priority="1219">
      <formula>#REF!="Benzick, Sue"</formula>
    </cfRule>
    <cfRule type="expression" dxfId="169" priority="1220">
      <formula>#REF!="Jenne, Richard"</formula>
    </cfRule>
    <cfRule type="expression" dxfId="168" priority="1221">
      <formula>#REF!="McQueen, Jennifer"</formula>
    </cfRule>
  </conditionalFormatting>
  <conditionalFormatting sqref="M56:P56">
    <cfRule type="expression" dxfId="167" priority="1212">
      <formula>#REF!="McQueen, Jennifer"</formula>
    </cfRule>
    <cfRule type="expression" dxfId="166" priority="1210">
      <formula>#REF!="Benzick, Sue"</formula>
    </cfRule>
    <cfRule type="expression" dxfId="165" priority="1211">
      <formula>#REF!="Jenne, Richard"</formula>
    </cfRule>
  </conditionalFormatting>
  <conditionalFormatting sqref="M60:P60">
    <cfRule type="expression" dxfId="164" priority="1203">
      <formula>#REF!="McQueen, Jennifer"</formula>
    </cfRule>
    <cfRule type="expression" dxfId="163" priority="1202">
      <formula>#REF!="Jenne, Richard"</formula>
    </cfRule>
    <cfRule type="expression" dxfId="162" priority="1201">
      <formula>#REF!="Benzick, Sue"</formula>
    </cfRule>
  </conditionalFormatting>
  <conditionalFormatting sqref="M68:P68">
    <cfRule type="expression" dxfId="161" priority="1192">
      <formula>#REF!="Benzick, Sue"</formula>
    </cfRule>
    <cfRule type="expression" dxfId="160" priority="1194">
      <formula>#REF!="McQueen, Jennifer"</formula>
    </cfRule>
    <cfRule type="expression" dxfId="159" priority="1193">
      <formula>#REF!="Jenne, Richard"</formula>
    </cfRule>
  </conditionalFormatting>
  <conditionalFormatting sqref="M74:P74">
    <cfRule type="expression" dxfId="158" priority="1185">
      <formula>#REF!="McQueen, Jennifer"</formula>
    </cfRule>
    <cfRule type="expression" dxfId="157" priority="1184">
      <formula>#REF!="Jenne, Richard"</formula>
    </cfRule>
    <cfRule type="expression" dxfId="156" priority="1183">
      <formula>#REF!="Benzick, Sue"</formula>
    </cfRule>
  </conditionalFormatting>
  <conditionalFormatting sqref="M84:P84">
    <cfRule type="expression" dxfId="155" priority="1174">
      <formula>#REF!="Benzick, Sue"</formula>
    </cfRule>
    <cfRule type="expression" dxfId="154" priority="1176">
      <formula>#REF!="McQueen, Jennifer"</formula>
    </cfRule>
    <cfRule type="expression" dxfId="153" priority="1175">
      <formula>#REF!="Jenne, Richard"</formula>
    </cfRule>
  </conditionalFormatting>
  <conditionalFormatting sqref="M87:P87">
    <cfRule type="expression" dxfId="152" priority="1165">
      <formula>#REF!="Benzick, Sue"</formula>
    </cfRule>
    <cfRule type="expression" dxfId="151" priority="1167">
      <formula>#REF!="McQueen, Jennifer"</formula>
    </cfRule>
    <cfRule type="expression" dxfId="150" priority="1166">
      <formula>#REF!="Jenne, Richard"</formula>
    </cfRule>
  </conditionalFormatting>
  <conditionalFormatting sqref="M97:P97">
    <cfRule type="expression" dxfId="149" priority="1157">
      <formula>#REF!="Jenne, Richard"</formula>
    </cfRule>
    <cfRule type="expression" dxfId="148" priority="1156">
      <formula>#REF!="Benzick, Sue"</formula>
    </cfRule>
    <cfRule type="expression" dxfId="147" priority="1158">
      <formula>#REF!="McQueen, Jennifer"</formula>
    </cfRule>
  </conditionalFormatting>
  <conditionalFormatting sqref="M103:P103">
    <cfRule type="expression" dxfId="146" priority="1139">
      <formula>#REF!="Jenne, Richard"</formula>
    </cfRule>
    <cfRule type="expression" dxfId="145" priority="1140">
      <formula>#REF!="McQueen, Jennifer"</formula>
    </cfRule>
    <cfRule type="expression" dxfId="144" priority="1138">
      <formula>#REF!="Benzick, Sue"</formula>
    </cfRule>
  </conditionalFormatting>
  <conditionalFormatting sqref="M107:P107">
    <cfRule type="expression" dxfId="143" priority="1130">
      <formula>#REF!="Jenne, Richard"</formula>
    </cfRule>
    <cfRule type="expression" dxfId="142" priority="1129">
      <formula>#REF!="Benzick, Sue"</formula>
    </cfRule>
    <cfRule type="expression" dxfId="141" priority="1131">
      <formula>#REF!="McQueen, Jennifer"</formula>
    </cfRule>
  </conditionalFormatting>
  <conditionalFormatting sqref="M109:P109">
    <cfRule type="expression" dxfId="140" priority="1120">
      <formula>#REF!="Benzick, Sue"</formula>
    </cfRule>
    <cfRule type="expression" dxfId="139" priority="1121">
      <formula>#REF!="Jenne, Richard"</formula>
    </cfRule>
    <cfRule type="expression" dxfId="138" priority="1122">
      <formula>#REF!="McQueen, Jennifer"</formula>
    </cfRule>
  </conditionalFormatting>
  <conditionalFormatting sqref="M116:P117">
    <cfRule type="expression" dxfId="137" priority="1084">
      <formula>#REF!="Benzick, Sue"</formula>
    </cfRule>
    <cfRule type="expression" dxfId="136" priority="1085">
      <formula>#REF!="Jenne, Richard"</formula>
    </cfRule>
    <cfRule type="expression" dxfId="135" priority="1086">
      <formula>#REF!="McQueen, Jennifer"</formula>
    </cfRule>
  </conditionalFormatting>
  <conditionalFormatting sqref="M138:P138">
    <cfRule type="expression" dxfId="134" priority="390">
      <formula>#REF!="McQueen, Jennifer"</formula>
    </cfRule>
    <cfRule type="expression" dxfId="133" priority="389">
      <formula>#REF!="Jenne, Richard"</formula>
    </cfRule>
    <cfRule type="expression" dxfId="132" priority="388">
      <formula>#REF!="Benzick, Sue"</formula>
    </cfRule>
  </conditionalFormatting>
  <conditionalFormatting sqref="M190:P190">
    <cfRule type="expression" dxfId="131" priority="1075">
      <formula>#REF!="Benzick, Sue"</formula>
    </cfRule>
    <cfRule type="expression" dxfId="130" priority="1076">
      <formula>#REF!="Jenne, Richard"</formula>
    </cfRule>
    <cfRule type="expression" dxfId="129" priority="1077">
      <formula>#REF!="McQueen, Jennifer"</formula>
    </cfRule>
  </conditionalFormatting>
  <conditionalFormatting sqref="M197:P197">
    <cfRule type="expression" dxfId="128" priority="1068">
      <formula>#REF!="McQueen, Jennifer"</formula>
    </cfRule>
    <cfRule type="expression" dxfId="127" priority="1066">
      <formula>#REF!="Benzick, Sue"</formula>
    </cfRule>
    <cfRule type="expression" dxfId="126" priority="1067">
      <formula>#REF!="Jenne, Richard"</formula>
    </cfRule>
  </conditionalFormatting>
  <conditionalFormatting sqref="N10">
    <cfRule type="expression" dxfId="125" priority="1723">
      <formula>#REF!="Benzick, Sue"</formula>
    </cfRule>
    <cfRule type="expression" dxfId="124" priority="1725">
      <formula>#REF!="McQueen, Jennifer"</formula>
    </cfRule>
    <cfRule type="expression" dxfId="123" priority="1724">
      <formula>#REF!="Jenne, Richard"</formula>
    </cfRule>
  </conditionalFormatting>
  <conditionalFormatting sqref="N30:N32">
    <cfRule type="expression" dxfId="122" priority="197">
      <formula>#REF!="Jenne, Richard"</formula>
    </cfRule>
    <cfRule type="expression" dxfId="121" priority="198">
      <formula>#REF!="McQueen, Jennifer"</formula>
    </cfRule>
    <cfRule type="expression" dxfId="120" priority="196">
      <formula>#REF!="Benzick, Sue"</formula>
    </cfRule>
  </conditionalFormatting>
  <conditionalFormatting sqref="N40">
    <cfRule type="expression" dxfId="119" priority="175">
      <formula>#REF!="Benzick, Sue"</formula>
    </cfRule>
    <cfRule type="expression" dxfId="118" priority="176">
      <formula>#REF!="Jenne, Richard"</formula>
    </cfRule>
    <cfRule type="expression" dxfId="117" priority="177">
      <formula>#REF!="McQueen, Jennifer"</formula>
    </cfRule>
  </conditionalFormatting>
  <conditionalFormatting sqref="N44">
    <cfRule type="expression" dxfId="116" priority="150">
      <formula>#REF!="McQueen, Jennifer"</formula>
    </cfRule>
    <cfRule type="expression" dxfId="115" priority="149">
      <formula>#REF!="Jenne, Richard"</formula>
    </cfRule>
    <cfRule type="expression" dxfId="114" priority="148">
      <formula>#REF!="Benzick, Sue"</formula>
    </cfRule>
  </conditionalFormatting>
  <conditionalFormatting sqref="N66">
    <cfRule type="expression" dxfId="113" priority="132">
      <formula>#REF!="McQueen, Jennifer"</formula>
    </cfRule>
    <cfRule type="expression" dxfId="112" priority="131">
      <formula>#REF!="Jenne, Richard"</formula>
    </cfRule>
    <cfRule type="expression" dxfId="111" priority="130">
      <formula>#REF!="Benzick, Sue"</formula>
    </cfRule>
  </conditionalFormatting>
  <conditionalFormatting sqref="N78:N79">
    <cfRule type="expression" dxfId="110" priority="108">
      <formula>#REF!="McQueen, Jennifer"</formula>
    </cfRule>
    <cfRule type="expression" dxfId="109" priority="106">
      <formula>#REF!="Benzick, Sue"</formula>
    </cfRule>
    <cfRule type="expression" dxfId="108" priority="107">
      <formula>#REF!="Jenne, Richard"</formula>
    </cfRule>
  </conditionalFormatting>
  <conditionalFormatting sqref="N83">
    <cfRule type="expression" dxfId="107" priority="82">
      <formula>#REF!="Benzick, Sue"</formula>
    </cfRule>
    <cfRule type="expression" dxfId="106" priority="83">
      <formula>#REF!="Jenne, Richard"</formula>
    </cfRule>
    <cfRule type="expression" dxfId="105" priority="84">
      <formula>#REF!="McQueen, Jennifer"</formula>
    </cfRule>
  </conditionalFormatting>
  <conditionalFormatting sqref="N218">
    <cfRule type="expression" dxfId="104" priority="514">
      <formula>#REF!="Benzick, Sue"</formula>
    </cfRule>
    <cfRule type="expression" dxfId="103" priority="516">
      <formula>#REF!="McQueen, Jennifer"</formula>
    </cfRule>
    <cfRule type="expression" dxfId="102" priority="515">
      <formula>#REF!="Jenne, Richard"</formula>
    </cfRule>
  </conditionalFormatting>
  <conditionalFormatting sqref="N221 N224">
    <cfRule type="expression" dxfId="101" priority="502">
      <formula>#REF!="Benzick, Sue"</formula>
    </cfRule>
    <cfRule type="expression" dxfId="100" priority="504">
      <formula>#REF!="McQueen, Jennifer"</formula>
    </cfRule>
    <cfRule type="expression" dxfId="99" priority="503">
      <formula>#REF!="Jenne, Richard"</formula>
    </cfRule>
  </conditionalFormatting>
  <conditionalFormatting sqref="N230">
    <cfRule type="expression" dxfId="98" priority="498">
      <formula>#REF!="McQueen, Jennifer"</formula>
    </cfRule>
    <cfRule type="expression" dxfId="97" priority="497">
      <formula>#REF!="Jenne, Richard"</formula>
    </cfRule>
    <cfRule type="expression" dxfId="96" priority="496">
      <formula>#REF!="Benzick, Sue"</formula>
    </cfRule>
  </conditionalFormatting>
  <conditionalFormatting sqref="N269">
    <cfRule type="expression" dxfId="95" priority="486">
      <formula>#REF!="McQueen, Jennifer"</formula>
    </cfRule>
    <cfRule type="expression" dxfId="94" priority="485">
      <formula>#REF!="Jenne, Richard"</formula>
    </cfRule>
    <cfRule type="expression" dxfId="93" priority="484">
      <formula>#REF!="Benzick, Sue"</formula>
    </cfRule>
  </conditionalFormatting>
  <conditionalFormatting sqref="N285:N286">
    <cfRule type="expression" dxfId="92" priority="472">
      <formula>#REF!="Benzick, Sue"</formula>
    </cfRule>
    <cfRule type="expression" dxfId="91" priority="473">
      <formula>#REF!="Jenne, Richard"</formula>
    </cfRule>
    <cfRule type="expression" dxfId="90" priority="474">
      <formula>#REF!="McQueen, Jennifer"</formula>
    </cfRule>
  </conditionalFormatting>
  <conditionalFormatting sqref="N288">
    <cfRule type="expression" dxfId="89" priority="24">
      <formula>#REF!="McQueen, Jennifer"</formula>
    </cfRule>
    <cfRule type="expression" dxfId="88" priority="23">
      <formula>#REF!="Jenne, Richard"</formula>
    </cfRule>
    <cfRule type="expression" dxfId="87" priority="22">
      <formula>#REF!="Benzick, Sue"</formula>
    </cfRule>
  </conditionalFormatting>
  <conditionalFormatting sqref="N290">
    <cfRule type="expression" dxfId="86" priority="466">
      <formula>#REF!="Benzick, Sue"</formula>
    </cfRule>
    <cfRule type="expression" dxfId="85" priority="468">
      <formula>#REF!="McQueen, Jennifer"</formula>
    </cfRule>
    <cfRule type="expression" dxfId="84" priority="467">
      <formula>#REF!="Jenne, Richard"</formula>
    </cfRule>
  </conditionalFormatting>
  <conditionalFormatting sqref="N301:N302">
    <cfRule type="expression" dxfId="83" priority="454">
      <formula>#REF!="Benzick, Sue"</formula>
    </cfRule>
    <cfRule type="expression" dxfId="82" priority="455">
      <formula>#REF!="Jenne, Richard"</formula>
    </cfRule>
    <cfRule type="expression" dxfId="81" priority="456">
      <formula>#REF!="McQueen, Jennifer"</formula>
    </cfRule>
  </conditionalFormatting>
  <conditionalFormatting sqref="N321">
    <cfRule type="expression" dxfId="80" priority="349">
      <formula>#REF!="Benzick, Sue"</formula>
    </cfRule>
    <cfRule type="expression" dxfId="79" priority="351">
      <formula>#REF!="McQueen, Jennifer"</formula>
    </cfRule>
    <cfRule type="expression" dxfId="78" priority="350">
      <formula>#REF!="Jenne, Richard"</formula>
    </cfRule>
  </conditionalFormatting>
  <conditionalFormatting sqref="N347">
    <cfRule type="expression" dxfId="77" priority="444">
      <formula>#REF!="McQueen, Jennifer"</formula>
    </cfRule>
    <cfRule type="expression" dxfId="76" priority="443">
      <formula>#REF!="Jenne, Richard"</formula>
    </cfRule>
    <cfRule type="expression" dxfId="75" priority="442">
      <formula>#REF!="Benzick, Sue"</formula>
    </cfRule>
  </conditionalFormatting>
  <conditionalFormatting sqref="N373">
    <cfRule type="expression" dxfId="74" priority="436">
      <formula>#REF!="Benzick, Sue"</formula>
    </cfRule>
    <cfRule type="expression" dxfId="73" priority="438">
      <formula>#REF!="McQueen, Jennifer"</formula>
    </cfRule>
    <cfRule type="expression" dxfId="72" priority="437">
      <formula>#REF!="Jenne, Richard"</formula>
    </cfRule>
  </conditionalFormatting>
  <conditionalFormatting sqref="N381:N382">
    <cfRule type="expression" dxfId="71" priority="426">
      <formula>#REF!="McQueen, Jennifer"</formula>
    </cfRule>
    <cfRule type="expression" dxfId="70" priority="425">
      <formula>#REF!="Jenne, Richard"</formula>
    </cfRule>
    <cfRule type="expression" dxfId="69" priority="424">
      <formula>#REF!="Benzick, Sue"</formula>
    </cfRule>
  </conditionalFormatting>
  <conditionalFormatting sqref="N392">
    <cfRule type="expression" dxfId="68" priority="413">
      <formula>#REF!="Jenne, Richard"</formula>
    </cfRule>
    <cfRule type="expression" dxfId="67" priority="412">
      <formula>#REF!="Benzick, Sue"</formula>
    </cfRule>
    <cfRule type="expression" dxfId="66" priority="414">
      <formula>#REF!="McQueen, Jennifer"</formula>
    </cfRule>
  </conditionalFormatting>
  <conditionalFormatting sqref="N402">
    <cfRule type="expression" dxfId="65" priority="402">
      <formula>#REF!="McQueen, Jennifer"</formula>
    </cfRule>
    <cfRule type="expression" dxfId="64" priority="401">
      <formula>#REF!="Jenne, Richard"</formula>
    </cfRule>
    <cfRule type="expression" dxfId="63" priority="400">
      <formula>#REF!="Benzick, Sue"</formula>
    </cfRule>
  </conditionalFormatting>
  <conditionalFormatting sqref="N428 N431">
    <cfRule type="expression" dxfId="62" priority="319">
      <formula>#REF!="Benzick, Sue"</formula>
    </cfRule>
    <cfRule type="expression" dxfId="61" priority="321">
      <formula>#REF!="McQueen, Jennifer"</formula>
    </cfRule>
    <cfRule type="expression" dxfId="60" priority="320">
      <formula>#REF!="Jenne, Richard"</formula>
    </cfRule>
  </conditionalFormatting>
  <conditionalFormatting sqref="N433">
    <cfRule type="expression" dxfId="59" priority="301">
      <formula>#REF!="Benzick, Sue"</formula>
    </cfRule>
    <cfRule type="expression" dxfId="58" priority="302">
      <formula>#REF!="Jenne, Richard"</formula>
    </cfRule>
    <cfRule type="expression" dxfId="57" priority="303">
      <formula>#REF!="McQueen, Jennifer"</formula>
    </cfRule>
  </conditionalFormatting>
  <conditionalFormatting sqref="O10">
    <cfRule type="expression" dxfId="56" priority="1998">
      <formula>#REF!="McQueen, Jennifer"</formula>
    </cfRule>
    <cfRule type="expression" dxfId="55" priority="1997">
      <formula>#REF!="Jenne, Richard"</formula>
    </cfRule>
    <cfRule type="expression" dxfId="54" priority="1996">
      <formula>#REF!="Benzick, Sue"</formula>
    </cfRule>
  </conditionalFormatting>
  <conditionalFormatting sqref="O13">
    <cfRule type="expression" dxfId="53" priority="208">
      <formula>#REF!="Benzick, Sue"</formula>
    </cfRule>
    <cfRule type="expression" dxfId="52" priority="210">
      <formula>#REF!="McQueen, Jennifer"</formula>
    </cfRule>
    <cfRule type="expression" dxfId="51" priority="209">
      <formula>#REF!="Jenne, Richard"</formula>
    </cfRule>
  </conditionalFormatting>
  <conditionalFormatting sqref="O30:O32">
    <cfRule type="expression" dxfId="50" priority="194">
      <formula>#REF!="Jenne, Richard"</formula>
    </cfRule>
    <cfRule type="expression" dxfId="49" priority="195">
      <formula>#REF!="McQueen, Jennifer"</formula>
    </cfRule>
    <cfRule type="expression" dxfId="48" priority="193">
      <formula>#REF!="Benzick, Sue"</formula>
    </cfRule>
  </conditionalFormatting>
  <conditionalFormatting sqref="O40">
    <cfRule type="expression" dxfId="47" priority="173">
      <formula>#REF!="Jenne, Richard"</formula>
    </cfRule>
    <cfRule type="expression" dxfId="46" priority="172">
      <formula>#REF!="Benzick, Sue"</formula>
    </cfRule>
    <cfRule type="expression" dxfId="45" priority="174">
      <formula>#REF!="McQueen, Jennifer"</formula>
    </cfRule>
  </conditionalFormatting>
  <conditionalFormatting sqref="O44">
    <cfRule type="expression" dxfId="44" priority="146">
      <formula>#REF!="Jenne, Richard"</formula>
    </cfRule>
    <cfRule type="expression" dxfId="43" priority="147">
      <formula>#REF!="McQueen, Jennifer"</formula>
    </cfRule>
    <cfRule type="expression" dxfId="42" priority="145">
      <formula>#REF!="Benzick, Sue"</formula>
    </cfRule>
  </conditionalFormatting>
  <conditionalFormatting sqref="O66">
    <cfRule type="expression" dxfId="41" priority="127">
      <formula>#REF!="Benzick, Sue"</formula>
    </cfRule>
    <cfRule type="expression" dxfId="40" priority="129">
      <formula>#REF!="McQueen, Jennifer"</formula>
    </cfRule>
    <cfRule type="expression" dxfId="39" priority="128">
      <formula>#REF!="Jenne, Richard"</formula>
    </cfRule>
  </conditionalFormatting>
  <conditionalFormatting sqref="O78:O79">
    <cfRule type="expression" dxfId="38" priority="103">
      <formula>#REF!="Benzick, Sue"</formula>
    </cfRule>
    <cfRule type="expression" dxfId="37" priority="104">
      <formula>#REF!="Jenne, Richard"</formula>
    </cfRule>
    <cfRule type="expression" dxfId="36" priority="105">
      <formula>#REF!="McQueen, Jennifer"</formula>
    </cfRule>
  </conditionalFormatting>
  <conditionalFormatting sqref="O83">
    <cfRule type="expression" dxfId="35" priority="80">
      <formula>#REF!="Jenne, Richard"</formula>
    </cfRule>
    <cfRule type="expression" dxfId="34" priority="79">
      <formula>#REF!="Benzick, Sue"</formula>
    </cfRule>
    <cfRule type="expression" dxfId="33" priority="81">
      <formula>#REF!="McQueen, Jennifer"</formula>
    </cfRule>
  </conditionalFormatting>
  <conditionalFormatting sqref="P10">
    <cfRule type="expression" dxfId="32" priority="1739">
      <formula>#REF!="Jenne, Richard"</formula>
    </cfRule>
    <cfRule type="expression" dxfId="31" priority="1740">
      <formula>#REF!="McQueen, Jennifer"</formula>
    </cfRule>
    <cfRule type="expression" dxfId="30" priority="1738">
      <formula>#REF!="Benzick, Sue"</formula>
    </cfRule>
  </conditionalFormatting>
  <conditionalFormatting sqref="P30:P32">
    <cfRule type="expression" dxfId="29" priority="190">
      <formula>#REF!="Benzick, Sue"</formula>
    </cfRule>
    <cfRule type="expression" dxfId="28" priority="191">
      <formula>#REF!="Jenne, Richard"</formula>
    </cfRule>
    <cfRule type="expression" dxfId="27" priority="192">
      <formula>#REF!="McQueen, Jennifer"</formula>
    </cfRule>
  </conditionalFormatting>
  <conditionalFormatting sqref="P40">
    <cfRule type="expression" dxfId="26" priority="171">
      <formula>#REF!="McQueen, Jennifer"</formula>
    </cfRule>
    <cfRule type="expression" dxfId="25" priority="170">
      <formula>#REF!="Jenne, Richard"</formula>
    </cfRule>
    <cfRule type="expression" dxfId="24" priority="169">
      <formula>#REF!="Benzick, Sue"</formula>
    </cfRule>
  </conditionalFormatting>
  <conditionalFormatting sqref="P44">
    <cfRule type="expression" dxfId="23" priority="144">
      <formula>#REF!="McQueen, Jennifer"</formula>
    </cfRule>
    <cfRule type="expression" dxfId="22" priority="142">
      <formula>#REF!="Benzick, Sue"</formula>
    </cfRule>
    <cfRule type="expression" dxfId="21" priority="143">
      <formula>#REF!="Jenne, Richard"</formula>
    </cfRule>
  </conditionalFormatting>
  <conditionalFormatting sqref="P66">
    <cfRule type="expression" dxfId="20" priority="126">
      <formula>#REF!="McQueen, Jennifer"</formula>
    </cfRule>
    <cfRule type="expression" dxfId="19" priority="124">
      <formula>#REF!="Benzick, Sue"</formula>
    </cfRule>
    <cfRule type="expression" dxfId="18" priority="125">
      <formula>#REF!="Jenne, Richard"</formula>
    </cfRule>
  </conditionalFormatting>
  <conditionalFormatting sqref="P78:P79">
    <cfRule type="expression" dxfId="17" priority="102">
      <formula>#REF!="McQueen, Jennifer"</formula>
    </cfRule>
    <cfRule type="expression" dxfId="16" priority="101">
      <formula>#REF!="Jenne, Richard"</formula>
    </cfRule>
    <cfRule type="expression" dxfId="15" priority="100">
      <formula>#REF!="Benzick, Sue"</formula>
    </cfRule>
  </conditionalFormatting>
  <conditionalFormatting sqref="P83">
    <cfRule type="expression" dxfId="14" priority="76">
      <formula>#REF!="Benzick, Sue"</formula>
    </cfRule>
    <cfRule type="expression" dxfId="13" priority="77">
      <formula>#REF!="Jenne, Richard"</formula>
    </cfRule>
    <cfRule type="expression" dxfId="12" priority="78">
      <formula>#REF!="McQueen, Jennifer"</formula>
    </cfRule>
  </conditionalFormatting>
  <conditionalFormatting sqref="P427">
    <cfRule type="expression" dxfId="11" priority="292">
      <formula>#REF!="Benzick, Sue"</formula>
    </cfRule>
    <cfRule type="expression" dxfId="10" priority="293">
      <formula>#REF!="Jenne, Richard"</formula>
    </cfRule>
    <cfRule type="expression" dxfId="9" priority="294">
      <formula>#REF!="McQueen, Jennifer"</formula>
    </cfRule>
  </conditionalFormatting>
  <conditionalFormatting sqref="AD10">
    <cfRule type="expression" dxfId="8" priority="2287">
      <formula>$AE10="Benzick, Sue"</formula>
    </cfRule>
    <cfRule type="expression" dxfId="7" priority="2288">
      <formula>$AE10="Jenne, Richard"</formula>
    </cfRule>
    <cfRule type="expression" dxfId="6" priority="2289">
      <formula>$AE10="McQueen, Jennifer"</formula>
    </cfRule>
  </conditionalFormatting>
  <dataValidations count="1">
    <dataValidation allowBlank="1" showInputMessage="1" showErrorMessage="1" sqref="Z4:Z277 Z279:Z549 Z551:Z663" xr:uid="{ED4AD39B-C783-4960-8982-3BB525E4EE46}"/>
  </dataValidations>
  <printOptions horizontalCentered="1" verticalCentered="1"/>
  <pageMargins left="0.7" right="0.7" top="0.75" bottom="0.75" header="0.3" footer="0.3"/>
  <pageSetup paperSize="5" scale="35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F44F4D6-1EF2-4A82-9A4B-D11E22B362B1}">
          <x14:formula1>
            <xm:f>'TSD-Data'!$L$2:$L$128</xm:f>
          </x14:formula1>
          <xm:sqref>F675:F1128 F673 F665:F671 G672</xm:sqref>
        </x14:dataValidation>
        <x14:dataValidation type="list" allowBlank="1" showInputMessage="1" showErrorMessage="1" xr:uid="{21A8CB0A-0701-49FB-9231-461E2A3D61EF}">
          <x14:formula1>
            <xm:f>'TSD-Data'!$L$2:$L$105</xm:f>
          </x14:formula1>
          <xm:sqref>F470:F472 F279:F423 F4:F277</xm:sqref>
        </x14:dataValidation>
        <x14:dataValidation type="list" allowBlank="1" showInputMessage="1" showErrorMessage="1" xr:uid="{0B8D2458-99B2-4AD6-9126-AB158E5F80EE}">
          <x14:formula1>
            <xm:f>'TSD-Data'!$H$2:$H$45</xm:f>
          </x14:formula1>
          <xm:sqref>R121 Q122:R277 Q4:R120 Q279:R549 Q551:R663</xm:sqref>
        </x14:dataValidation>
        <x14:dataValidation type="list" allowBlank="1" showInputMessage="1" showErrorMessage="1" xr:uid="{8D2A897B-76C7-4C0C-AEE5-BE307534D234}">
          <x14:formula1>
            <xm:f>'TSD-Data'!$Q$2:$Q$13</xm:f>
          </x14:formula1>
          <xm:sqref>S4:S277 S279:S549 S551:S663</xm:sqref>
        </x14:dataValidation>
        <x14:dataValidation type="list" allowBlank="1" showInputMessage="1" showErrorMessage="1" xr:uid="{3D96C2E9-D26B-4448-9DD1-C886A0E7507E}">
          <x14:formula1>
            <xm:f>'TSD-Data'!$H$2:$H$40</xm:f>
          </x14:formula1>
          <xm:sqref>Q665:Q887</xm:sqref>
        </x14:dataValidation>
        <x14:dataValidation type="list" allowBlank="1" showInputMessage="1" showErrorMessage="1" xr:uid="{200FED7A-2BC5-4543-B46D-EB32DB279385}">
          <x14:formula1>
            <xm:f>'TSD-Data'!$A$2:$A$71</xm:f>
          </x14:formula1>
          <xm:sqref>C673:C943 B666 C667:C671 C665</xm:sqref>
        </x14:dataValidation>
        <x14:dataValidation type="list" allowBlank="1" showInputMessage="1" showErrorMessage="1" xr:uid="{5D051ED9-7B84-440F-8705-2937E2DEB52F}">
          <x14:formula1>
            <xm:f>'TSD-Data'!$A$2:$A$80</xm:f>
          </x14:formula1>
          <xm:sqref>C4:C277 C551:C663 C279:C549</xm:sqref>
        </x14:dataValidation>
        <x14:dataValidation type="list" allowBlank="1" showInputMessage="1" showErrorMessage="1" xr:uid="{EDB84E33-F2E3-4D36-89B0-FDA7E4E445B1}">
          <x14:formula1>
            <xm:f>'TSD-Data'!$N$2:$N$12</xm:f>
          </x14:formula1>
          <xm:sqref>AE4:AE663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">
    <tabColor rgb="FFFF0000"/>
  </sheetPr>
  <dimension ref="A1:Q108"/>
  <sheetViews>
    <sheetView topLeftCell="A52" zoomScaleNormal="100" workbookViewId="0">
      <selection activeCell="H78" sqref="H78"/>
    </sheetView>
  </sheetViews>
  <sheetFormatPr defaultColWidth="8.7109375" defaultRowHeight="15" x14ac:dyDescent="0.25"/>
  <cols>
    <col min="1" max="1" width="70.28515625" bestFit="1" customWidth="1"/>
    <col min="2" max="2" width="20.42578125" customWidth="1"/>
    <col min="3" max="3" width="12.7109375" style="1" customWidth="1"/>
    <col min="8" max="8" width="28.28515625" customWidth="1"/>
    <col min="9" max="10" width="12" bestFit="1" customWidth="1"/>
    <col min="11" max="11" width="13.28515625" bestFit="1" customWidth="1"/>
    <col min="12" max="12" width="24.7109375" bestFit="1" customWidth="1"/>
    <col min="13" max="13" width="24" bestFit="1" customWidth="1"/>
    <col min="14" max="14" width="18.28515625" bestFit="1" customWidth="1"/>
  </cols>
  <sheetData>
    <row r="1" spans="1:17" x14ac:dyDescent="0.25">
      <c r="A1" s="7" t="s">
        <v>8</v>
      </c>
      <c r="B1" s="7" t="s">
        <v>9</v>
      </c>
      <c r="C1" s="184" t="s">
        <v>416</v>
      </c>
      <c r="D1" t="s">
        <v>23</v>
      </c>
      <c r="E1" t="s">
        <v>495</v>
      </c>
      <c r="F1" t="s">
        <v>496</v>
      </c>
      <c r="G1" t="s">
        <v>425</v>
      </c>
      <c r="H1" s="7" t="s">
        <v>497</v>
      </c>
      <c r="I1" s="7" t="s">
        <v>498</v>
      </c>
      <c r="J1" s="7" t="s">
        <v>499</v>
      </c>
      <c r="K1" s="7" t="s">
        <v>500</v>
      </c>
      <c r="L1" s="7" t="s">
        <v>11</v>
      </c>
      <c r="M1" s="7" t="s">
        <v>501</v>
      </c>
      <c r="N1" s="7" t="s">
        <v>34</v>
      </c>
      <c r="Q1" s="7" t="s">
        <v>502</v>
      </c>
    </row>
    <row r="2" spans="1:17" x14ac:dyDescent="0.25">
      <c r="A2" t="s">
        <v>503</v>
      </c>
      <c r="B2" t="s">
        <v>504</v>
      </c>
      <c r="C2" s="1" t="s">
        <v>505</v>
      </c>
      <c r="D2">
        <v>20</v>
      </c>
      <c r="E2">
        <v>2</v>
      </c>
      <c r="F2">
        <v>40</v>
      </c>
      <c r="G2" t="s">
        <v>388</v>
      </c>
      <c r="H2" s="323" t="s">
        <v>199</v>
      </c>
      <c r="K2" t="s">
        <v>54</v>
      </c>
      <c r="L2" t="s">
        <v>312</v>
      </c>
      <c r="N2" t="s">
        <v>506</v>
      </c>
      <c r="Q2" s="107" t="s">
        <v>507</v>
      </c>
    </row>
    <row r="3" spans="1:17" x14ac:dyDescent="0.25">
      <c r="A3" t="s">
        <v>196</v>
      </c>
      <c r="B3" t="s">
        <v>197</v>
      </c>
      <c r="C3" s="1" t="s">
        <v>198</v>
      </c>
      <c r="D3">
        <v>45</v>
      </c>
      <c r="E3">
        <v>2</v>
      </c>
      <c r="F3">
        <v>40</v>
      </c>
      <c r="G3" t="s">
        <v>388</v>
      </c>
      <c r="H3" s="324" t="s">
        <v>437</v>
      </c>
      <c r="K3" t="s">
        <v>508</v>
      </c>
      <c r="L3" t="s">
        <v>76</v>
      </c>
      <c r="N3" t="s">
        <v>509</v>
      </c>
      <c r="Q3" s="109" t="s">
        <v>462</v>
      </c>
    </row>
    <row r="4" spans="1:17" x14ac:dyDescent="0.25">
      <c r="A4" t="s">
        <v>389</v>
      </c>
      <c r="B4" t="s">
        <v>260</v>
      </c>
      <c r="C4" s="1">
        <v>3878</v>
      </c>
      <c r="D4">
        <v>25</v>
      </c>
      <c r="E4">
        <v>3</v>
      </c>
      <c r="F4">
        <v>24</v>
      </c>
      <c r="G4" t="s">
        <v>390</v>
      </c>
      <c r="H4" s="323" t="s">
        <v>82</v>
      </c>
      <c r="L4" t="s">
        <v>183</v>
      </c>
      <c r="N4" t="s">
        <v>431</v>
      </c>
      <c r="Q4" s="106" t="s">
        <v>492</v>
      </c>
    </row>
    <row r="5" spans="1:17" x14ac:dyDescent="0.25">
      <c r="A5" t="s">
        <v>63</v>
      </c>
      <c r="B5" t="s">
        <v>246</v>
      </c>
      <c r="C5" s="1">
        <v>3879</v>
      </c>
      <c r="D5">
        <v>30</v>
      </c>
      <c r="E5">
        <v>0.5</v>
      </c>
      <c r="F5">
        <v>4</v>
      </c>
      <c r="G5" t="s">
        <v>390</v>
      </c>
      <c r="H5" s="323" t="s">
        <v>466</v>
      </c>
      <c r="L5" t="s">
        <v>69</v>
      </c>
      <c r="N5" t="s">
        <v>436</v>
      </c>
      <c r="Q5" s="107" t="s">
        <v>43</v>
      </c>
    </row>
    <row r="6" spans="1:17" x14ac:dyDescent="0.25">
      <c r="A6" t="s">
        <v>391</v>
      </c>
      <c r="B6" t="s">
        <v>262</v>
      </c>
      <c r="C6" s="1">
        <v>3882</v>
      </c>
      <c r="D6">
        <v>25</v>
      </c>
      <c r="E6">
        <v>2</v>
      </c>
      <c r="F6">
        <v>16</v>
      </c>
      <c r="G6" t="s">
        <v>390</v>
      </c>
      <c r="H6" s="323" t="s">
        <v>435</v>
      </c>
      <c r="L6" t="s">
        <v>281</v>
      </c>
      <c r="N6" t="s">
        <v>428</v>
      </c>
      <c r="Q6" s="107" t="s">
        <v>79</v>
      </c>
    </row>
    <row r="7" spans="1:17" x14ac:dyDescent="0.25">
      <c r="A7" t="s">
        <v>64</v>
      </c>
      <c r="B7" t="s">
        <v>247</v>
      </c>
      <c r="C7" s="1">
        <v>3888</v>
      </c>
      <c r="D7">
        <v>30</v>
      </c>
      <c r="E7">
        <v>0.5</v>
      </c>
      <c r="F7">
        <v>4</v>
      </c>
      <c r="G7" t="s">
        <v>390</v>
      </c>
      <c r="H7" s="323" t="s">
        <v>67</v>
      </c>
      <c r="L7" t="s">
        <v>75</v>
      </c>
      <c r="N7" t="s">
        <v>510</v>
      </c>
      <c r="Q7" s="107" t="s">
        <v>432</v>
      </c>
    </row>
    <row r="8" spans="1:17" x14ac:dyDescent="0.25">
      <c r="A8" t="s">
        <v>154</v>
      </c>
      <c r="B8" t="s">
        <v>263</v>
      </c>
      <c r="C8" s="1" t="s">
        <v>264</v>
      </c>
      <c r="D8">
        <v>25</v>
      </c>
      <c r="E8">
        <v>5</v>
      </c>
      <c r="F8">
        <v>40</v>
      </c>
      <c r="G8" t="s">
        <v>390</v>
      </c>
      <c r="H8" s="323" t="s">
        <v>441</v>
      </c>
      <c r="L8" t="s">
        <v>511</v>
      </c>
      <c r="N8" t="s">
        <v>429</v>
      </c>
      <c r="Q8" s="107" t="s">
        <v>55</v>
      </c>
    </row>
    <row r="9" spans="1:17" x14ac:dyDescent="0.25">
      <c r="A9" t="s">
        <v>59</v>
      </c>
      <c r="B9" t="s">
        <v>248</v>
      </c>
      <c r="C9" s="1" t="s">
        <v>60</v>
      </c>
      <c r="D9">
        <v>30</v>
      </c>
      <c r="E9">
        <v>1</v>
      </c>
      <c r="F9">
        <v>8</v>
      </c>
      <c r="G9" t="s">
        <v>390</v>
      </c>
      <c r="H9" s="323" t="s">
        <v>512</v>
      </c>
      <c r="L9" t="s">
        <v>91</v>
      </c>
      <c r="N9" t="s">
        <v>442</v>
      </c>
      <c r="Q9" s="107" t="s">
        <v>113</v>
      </c>
    </row>
    <row r="10" spans="1:17" x14ac:dyDescent="0.25">
      <c r="A10" t="s">
        <v>513</v>
      </c>
      <c r="B10" t="s">
        <v>514</v>
      </c>
      <c r="C10" s="1" t="s">
        <v>515</v>
      </c>
      <c r="D10">
        <v>30</v>
      </c>
      <c r="E10">
        <v>3</v>
      </c>
      <c r="F10">
        <v>24</v>
      </c>
      <c r="G10" t="s">
        <v>392</v>
      </c>
      <c r="H10" s="323" t="s">
        <v>516</v>
      </c>
      <c r="L10" t="s">
        <v>91</v>
      </c>
      <c r="N10" t="s">
        <v>440</v>
      </c>
      <c r="Q10" s="107" t="s">
        <v>517</v>
      </c>
    </row>
    <row r="11" spans="1:17" x14ac:dyDescent="0.25">
      <c r="A11" t="s">
        <v>200</v>
      </c>
      <c r="B11" t="s">
        <v>201</v>
      </c>
      <c r="C11" s="1" t="s">
        <v>202</v>
      </c>
      <c r="D11">
        <v>45</v>
      </c>
      <c r="E11">
        <v>3</v>
      </c>
      <c r="F11">
        <v>24</v>
      </c>
      <c r="G11" t="s">
        <v>392</v>
      </c>
      <c r="H11" s="323" t="s">
        <v>518</v>
      </c>
      <c r="L11" t="s">
        <v>112</v>
      </c>
      <c r="Q11" s="107" t="s">
        <v>519</v>
      </c>
    </row>
    <row r="12" spans="1:17" x14ac:dyDescent="0.25">
      <c r="A12" t="s">
        <v>520</v>
      </c>
      <c r="B12" t="s">
        <v>147</v>
      </c>
      <c r="C12" s="1" t="s">
        <v>147</v>
      </c>
      <c r="D12">
        <v>45</v>
      </c>
      <c r="G12" t="s">
        <v>390</v>
      </c>
      <c r="H12" s="323" t="s">
        <v>111</v>
      </c>
      <c r="L12" t="s">
        <v>90</v>
      </c>
      <c r="Q12" s="107" t="s">
        <v>451</v>
      </c>
    </row>
    <row r="13" spans="1:17" x14ac:dyDescent="0.25">
      <c r="A13" t="s">
        <v>395</v>
      </c>
      <c r="B13" t="s">
        <v>521</v>
      </c>
      <c r="C13" s="1" t="s">
        <v>522</v>
      </c>
      <c r="D13">
        <v>25</v>
      </c>
      <c r="E13">
        <v>5</v>
      </c>
      <c r="F13">
        <v>40</v>
      </c>
      <c r="G13" t="s">
        <v>390</v>
      </c>
      <c r="H13" s="323" t="s">
        <v>43</v>
      </c>
      <c r="L13" t="s">
        <v>88</v>
      </c>
      <c r="Q13" s="107" t="s">
        <v>484</v>
      </c>
    </row>
    <row r="14" spans="1:17" x14ac:dyDescent="0.25">
      <c r="A14" t="s">
        <v>157</v>
      </c>
      <c r="B14" t="s">
        <v>285</v>
      </c>
      <c r="C14" s="1" t="s">
        <v>286</v>
      </c>
      <c r="D14">
        <v>35</v>
      </c>
      <c r="E14">
        <v>5</v>
      </c>
      <c r="F14">
        <v>30</v>
      </c>
      <c r="G14" t="s">
        <v>394</v>
      </c>
      <c r="H14" s="323" t="s">
        <v>48</v>
      </c>
      <c r="L14" t="s">
        <v>89</v>
      </c>
      <c r="Q14" s="107" t="s">
        <v>492</v>
      </c>
    </row>
    <row r="15" spans="1:17" x14ac:dyDescent="0.25">
      <c r="A15" t="s">
        <v>523</v>
      </c>
      <c r="B15" t="s">
        <v>524</v>
      </c>
      <c r="C15" s="1" t="s">
        <v>525</v>
      </c>
      <c r="D15">
        <v>30</v>
      </c>
      <c r="E15">
        <v>4</v>
      </c>
      <c r="F15">
        <v>32</v>
      </c>
      <c r="G15" t="s">
        <v>394</v>
      </c>
      <c r="H15" s="323" t="s">
        <v>526</v>
      </c>
      <c r="L15" t="s">
        <v>92</v>
      </c>
    </row>
    <row r="16" spans="1:17" x14ac:dyDescent="0.25">
      <c r="A16" t="s">
        <v>65</v>
      </c>
      <c r="B16" t="s">
        <v>527</v>
      </c>
      <c r="C16" s="1" t="s">
        <v>66</v>
      </c>
      <c r="D16">
        <v>25</v>
      </c>
      <c r="E16">
        <v>2</v>
      </c>
      <c r="F16">
        <v>16</v>
      </c>
      <c r="G16" t="s">
        <v>390</v>
      </c>
      <c r="H16" s="323" t="s">
        <v>528</v>
      </c>
      <c r="L16" t="s">
        <v>115</v>
      </c>
    </row>
    <row r="17" spans="1:12" x14ac:dyDescent="0.25">
      <c r="A17" t="s">
        <v>49</v>
      </c>
      <c r="B17" t="s">
        <v>296</v>
      </c>
      <c r="C17" s="1">
        <v>3682</v>
      </c>
      <c r="D17">
        <v>40</v>
      </c>
      <c r="E17">
        <v>5</v>
      </c>
      <c r="F17">
        <v>40</v>
      </c>
      <c r="G17" t="s">
        <v>388</v>
      </c>
      <c r="H17" s="323" t="s">
        <v>450</v>
      </c>
      <c r="L17" t="s">
        <v>74</v>
      </c>
    </row>
    <row r="18" spans="1:12" x14ac:dyDescent="0.25">
      <c r="A18" t="s">
        <v>45</v>
      </c>
      <c r="B18" t="s">
        <v>68</v>
      </c>
      <c r="C18" s="1">
        <v>3683</v>
      </c>
      <c r="D18">
        <v>40</v>
      </c>
      <c r="E18">
        <v>3</v>
      </c>
      <c r="F18">
        <v>24</v>
      </c>
      <c r="G18" t="s">
        <v>388</v>
      </c>
      <c r="H18" s="323" t="s">
        <v>444</v>
      </c>
      <c r="L18" t="s">
        <v>83</v>
      </c>
    </row>
    <row r="19" spans="1:12" x14ac:dyDescent="0.25">
      <c r="A19" t="s">
        <v>275</v>
      </c>
      <c r="B19" t="s">
        <v>142</v>
      </c>
      <c r="C19" s="1" t="s">
        <v>143</v>
      </c>
      <c r="D19">
        <v>45</v>
      </c>
      <c r="E19">
        <v>3</v>
      </c>
      <c r="F19">
        <v>24</v>
      </c>
      <c r="G19" t="s">
        <v>394</v>
      </c>
      <c r="H19" s="323" t="s">
        <v>295</v>
      </c>
      <c r="L19" t="s">
        <v>352</v>
      </c>
    </row>
    <row r="20" spans="1:12" x14ac:dyDescent="0.25">
      <c r="A20" t="s">
        <v>276</v>
      </c>
      <c r="B20" t="s">
        <v>277</v>
      </c>
      <c r="C20" s="1" t="s">
        <v>278</v>
      </c>
      <c r="D20">
        <v>25</v>
      </c>
      <c r="E20">
        <v>5</v>
      </c>
      <c r="F20">
        <v>40</v>
      </c>
      <c r="G20" t="s">
        <v>394</v>
      </c>
      <c r="H20" s="323" t="s">
        <v>295</v>
      </c>
      <c r="L20" t="s">
        <v>127</v>
      </c>
    </row>
    <row r="21" spans="1:12" x14ac:dyDescent="0.25">
      <c r="A21" t="s">
        <v>529</v>
      </c>
      <c r="B21" t="s">
        <v>277</v>
      </c>
      <c r="C21" s="1" t="s">
        <v>278</v>
      </c>
      <c r="D21">
        <v>25</v>
      </c>
      <c r="E21">
        <v>5</v>
      </c>
      <c r="F21">
        <v>40</v>
      </c>
      <c r="G21" t="s">
        <v>394</v>
      </c>
      <c r="H21" s="323" t="s">
        <v>432</v>
      </c>
      <c r="L21" t="s">
        <v>297</v>
      </c>
    </row>
    <row r="22" spans="1:12" x14ac:dyDescent="0.25">
      <c r="A22" t="s">
        <v>282</v>
      </c>
      <c r="B22" t="s">
        <v>283</v>
      </c>
      <c r="C22" s="1" t="s">
        <v>284</v>
      </c>
      <c r="D22">
        <v>30</v>
      </c>
      <c r="E22">
        <v>4</v>
      </c>
      <c r="F22">
        <v>32</v>
      </c>
      <c r="G22" t="s">
        <v>394</v>
      </c>
      <c r="H22" s="323" t="s">
        <v>79</v>
      </c>
      <c r="L22" t="s">
        <v>118</v>
      </c>
    </row>
    <row r="23" spans="1:12" x14ac:dyDescent="0.25">
      <c r="A23" t="s">
        <v>271</v>
      </c>
      <c r="B23" t="s">
        <v>272</v>
      </c>
      <c r="C23" s="1" t="s">
        <v>273</v>
      </c>
      <c r="D23">
        <v>45</v>
      </c>
      <c r="E23">
        <v>4</v>
      </c>
      <c r="F23">
        <v>30</v>
      </c>
      <c r="G23" t="s">
        <v>394</v>
      </c>
      <c r="H23" s="323" t="s">
        <v>530</v>
      </c>
      <c r="L23" t="s">
        <v>54</v>
      </c>
    </row>
    <row r="24" spans="1:12" x14ac:dyDescent="0.25">
      <c r="A24" t="s">
        <v>531</v>
      </c>
      <c r="B24" t="s">
        <v>532</v>
      </c>
      <c r="C24" s="1" t="s">
        <v>533</v>
      </c>
      <c r="D24">
        <v>30</v>
      </c>
      <c r="E24">
        <v>3</v>
      </c>
      <c r="F24">
        <v>24</v>
      </c>
      <c r="G24" t="s">
        <v>392</v>
      </c>
      <c r="H24" s="323" t="s">
        <v>433</v>
      </c>
      <c r="L24" t="s">
        <v>46</v>
      </c>
    </row>
    <row r="25" spans="1:12" x14ac:dyDescent="0.25">
      <c r="A25" t="s">
        <v>213</v>
      </c>
      <c r="B25" t="s">
        <v>214</v>
      </c>
      <c r="C25" s="1" t="s">
        <v>215</v>
      </c>
      <c r="D25">
        <v>45</v>
      </c>
      <c r="E25">
        <v>3</v>
      </c>
      <c r="F25">
        <v>24</v>
      </c>
      <c r="G25" t="s">
        <v>392</v>
      </c>
      <c r="H25" s="323" t="s">
        <v>462</v>
      </c>
      <c r="L25" t="s">
        <v>303</v>
      </c>
    </row>
    <row r="26" spans="1:12" x14ac:dyDescent="0.25">
      <c r="A26" t="s">
        <v>70</v>
      </c>
      <c r="B26" t="s">
        <v>330</v>
      </c>
      <c r="C26" s="185" t="s">
        <v>73</v>
      </c>
      <c r="D26">
        <v>25</v>
      </c>
      <c r="E26">
        <v>3</v>
      </c>
      <c r="F26">
        <v>24</v>
      </c>
      <c r="G26" t="s">
        <v>388</v>
      </c>
      <c r="H26" s="323" t="s">
        <v>507</v>
      </c>
      <c r="L26" t="s">
        <v>52</v>
      </c>
    </row>
    <row r="27" spans="1:12" x14ac:dyDescent="0.25">
      <c r="A27" t="s">
        <v>84</v>
      </c>
      <c r="B27" t="s">
        <v>333</v>
      </c>
      <c r="C27" s="1" t="s">
        <v>86</v>
      </c>
      <c r="D27">
        <v>30</v>
      </c>
      <c r="E27">
        <v>1</v>
      </c>
      <c r="F27">
        <v>8</v>
      </c>
      <c r="G27" t="s">
        <v>388</v>
      </c>
      <c r="H27" s="323" t="s">
        <v>445</v>
      </c>
      <c r="L27" t="s">
        <v>132</v>
      </c>
    </row>
    <row r="28" spans="1:12" x14ac:dyDescent="0.25">
      <c r="A28" t="s">
        <v>337</v>
      </c>
      <c r="B28" t="s">
        <v>338</v>
      </c>
      <c r="C28" s="1" t="s">
        <v>339</v>
      </c>
      <c r="D28">
        <v>30</v>
      </c>
      <c r="E28">
        <v>2</v>
      </c>
      <c r="F28">
        <v>16</v>
      </c>
      <c r="G28" t="s">
        <v>388</v>
      </c>
      <c r="H28" s="325" t="s">
        <v>294</v>
      </c>
      <c r="L28" t="s">
        <v>257</v>
      </c>
    </row>
    <row r="29" spans="1:12" x14ac:dyDescent="0.25">
      <c r="A29" t="s">
        <v>341</v>
      </c>
      <c r="B29" t="s">
        <v>342</v>
      </c>
      <c r="C29" s="1" t="s">
        <v>343</v>
      </c>
      <c r="D29">
        <v>30</v>
      </c>
      <c r="E29">
        <v>1</v>
      </c>
      <c r="F29">
        <v>8</v>
      </c>
      <c r="G29" t="s">
        <v>388</v>
      </c>
      <c r="H29" s="323" t="s">
        <v>427</v>
      </c>
      <c r="L29" t="s">
        <v>321</v>
      </c>
    </row>
    <row r="30" spans="1:12" x14ac:dyDescent="0.25">
      <c r="A30" t="s">
        <v>344</v>
      </c>
      <c r="B30" t="s">
        <v>345</v>
      </c>
      <c r="C30" s="1" t="s">
        <v>346</v>
      </c>
      <c r="D30">
        <v>30</v>
      </c>
      <c r="E30">
        <v>1</v>
      </c>
      <c r="F30">
        <v>8</v>
      </c>
      <c r="G30" t="s">
        <v>388</v>
      </c>
      <c r="H30" s="323" t="s">
        <v>438</v>
      </c>
      <c r="L30" t="s">
        <v>315</v>
      </c>
    </row>
    <row r="31" spans="1:12" x14ac:dyDescent="0.25">
      <c r="A31" t="s">
        <v>72</v>
      </c>
      <c r="B31" t="s">
        <v>136</v>
      </c>
      <c r="C31" s="1">
        <v>5891</v>
      </c>
      <c r="D31">
        <v>25</v>
      </c>
      <c r="E31">
        <v>3</v>
      </c>
      <c r="F31">
        <v>24</v>
      </c>
      <c r="G31" t="s">
        <v>390</v>
      </c>
      <c r="H31" s="323" t="s">
        <v>439</v>
      </c>
      <c r="L31" t="s">
        <v>218</v>
      </c>
    </row>
    <row r="32" spans="1:12" x14ac:dyDescent="0.25">
      <c r="A32" t="s">
        <v>249</v>
      </c>
      <c r="B32" t="s">
        <v>250</v>
      </c>
      <c r="C32" s="1" t="s">
        <v>251</v>
      </c>
      <c r="D32">
        <v>45</v>
      </c>
      <c r="E32">
        <v>3</v>
      </c>
      <c r="F32">
        <v>24</v>
      </c>
      <c r="G32" t="s">
        <v>390</v>
      </c>
      <c r="H32" s="323" t="s">
        <v>148</v>
      </c>
      <c r="L32" t="s">
        <v>103</v>
      </c>
    </row>
    <row r="33" spans="1:12" x14ac:dyDescent="0.25">
      <c r="A33" t="s">
        <v>252</v>
      </c>
      <c r="B33" t="s">
        <v>253</v>
      </c>
      <c r="C33" s="1" t="s">
        <v>254</v>
      </c>
      <c r="D33">
        <v>45</v>
      </c>
      <c r="E33">
        <v>4</v>
      </c>
      <c r="F33">
        <v>32</v>
      </c>
      <c r="G33" t="s">
        <v>390</v>
      </c>
      <c r="H33" s="323" t="s">
        <v>280</v>
      </c>
      <c r="L33" t="s">
        <v>134</v>
      </c>
    </row>
    <row r="34" spans="1:12" x14ac:dyDescent="0.25">
      <c r="A34" t="s">
        <v>534</v>
      </c>
      <c r="B34" t="s">
        <v>535</v>
      </c>
      <c r="C34" s="1" t="s">
        <v>536</v>
      </c>
      <c r="D34">
        <v>30</v>
      </c>
      <c r="E34">
        <v>4</v>
      </c>
      <c r="F34">
        <v>32</v>
      </c>
      <c r="G34" t="s">
        <v>390</v>
      </c>
      <c r="H34" s="323" t="s">
        <v>55</v>
      </c>
      <c r="L34" t="s">
        <v>93</v>
      </c>
    </row>
    <row r="35" spans="1:12" x14ac:dyDescent="0.25">
      <c r="A35" t="s">
        <v>56</v>
      </c>
      <c r="B35" t="s">
        <v>57</v>
      </c>
      <c r="C35" s="1" t="s">
        <v>58</v>
      </c>
      <c r="D35">
        <v>45</v>
      </c>
      <c r="E35">
        <v>4</v>
      </c>
      <c r="F35">
        <v>32</v>
      </c>
      <c r="G35" t="s">
        <v>394</v>
      </c>
      <c r="H35" s="323" t="s">
        <v>537</v>
      </c>
      <c r="L35" t="s">
        <v>258</v>
      </c>
    </row>
    <row r="36" spans="1:12" x14ac:dyDescent="0.25">
      <c r="A36" t="s">
        <v>538</v>
      </c>
      <c r="B36" t="s">
        <v>539</v>
      </c>
      <c r="C36" s="1" t="s">
        <v>540</v>
      </c>
      <c r="D36">
        <v>30</v>
      </c>
      <c r="E36">
        <v>4</v>
      </c>
      <c r="F36">
        <v>32</v>
      </c>
      <c r="G36" t="s">
        <v>394</v>
      </c>
      <c r="H36" s="326" t="s">
        <v>274</v>
      </c>
      <c r="L36" t="s">
        <v>541</v>
      </c>
    </row>
    <row r="37" spans="1:12" x14ac:dyDescent="0.25">
      <c r="A37" t="s">
        <v>288</v>
      </c>
      <c r="B37" t="s">
        <v>289</v>
      </c>
      <c r="C37" s="1" t="s">
        <v>290</v>
      </c>
      <c r="D37">
        <v>30</v>
      </c>
      <c r="E37">
        <v>4</v>
      </c>
      <c r="F37">
        <v>32</v>
      </c>
      <c r="G37" t="s">
        <v>394</v>
      </c>
      <c r="H37" s="323" t="s">
        <v>104</v>
      </c>
      <c r="L37" t="s">
        <v>50</v>
      </c>
    </row>
    <row r="38" spans="1:12" x14ac:dyDescent="0.25">
      <c r="A38" t="s">
        <v>138</v>
      </c>
      <c r="B38" t="s">
        <v>109</v>
      </c>
      <c r="C38" s="1" t="s">
        <v>145</v>
      </c>
      <c r="D38">
        <v>30</v>
      </c>
      <c r="E38">
        <v>4</v>
      </c>
      <c r="F38">
        <v>32</v>
      </c>
      <c r="G38" t="s">
        <v>394</v>
      </c>
      <c r="H38" s="323" t="s">
        <v>62</v>
      </c>
      <c r="L38" t="s">
        <v>301</v>
      </c>
    </row>
    <row r="39" spans="1:12" x14ac:dyDescent="0.25">
      <c r="A39" t="s">
        <v>53</v>
      </c>
      <c r="B39" t="s">
        <v>109</v>
      </c>
      <c r="C39" s="1">
        <v>1228</v>
      </c>
      <c r="D39">
        <v>45</v>
      </c>
      <c r="E39">
        <v>4</v>
      </c>
      <c r="F39">
        <v>32</v>
      </c>
      <c r="G39" t="s">
        <v>394</v>
      </c>
      <c r="H39" s="108" t="s">
        <v>484</v>
      </c>
      <c r="L39" t="s">
        <v>542</v>
      </c>
    </row>
    <row r="40" spans="1:12" x14ac:dyDescent="0.25">
      <c r="A40" t="s">
        <v>138</v>
      </c>
      <c r="B40" t="s">
        <v>543</v>
      </c>
      <c r="C40" s="1" t="s">
        <v>145</v>
      </c>
      <c r="D40">
        <v>30</v>
      </c>
      <c r="E40">
        <v>5</v>
      </c>
      <c r="F40">
        <v>40</v>
      </c>
      <c r="G40" t="s">
        <v>394</v>
      </c>
      <c r="H40" s="323" t="s">
        <v>483</v>
      </c>
      <c r="L40" t="s">
        <v>96</v>
      </c>
    </row>
    <row r="41" spans="1:12" x14ac:dyDescent="0.25">
      <c r="A41" t="s">
        <v>255</v>
      </c>
      <c r="B41" t="s">
        <v>256</v>
      </c>
      <c r="C41" s="1">
        <v>3555</v>
      </c>
      <c r="D41">
        <v>45</v>
      </c>
      <c r="E41">
        <v>4</v>
      </c>
      <c r="F41">
        <v>32</v>
      </c>
      <c r="G41" t="s">
        <v>390</v>
      </c>
      <c r="H41" s="54"/>
      <c r="L41" t="s">
        <v>124</v>
      </c>
    </row>
    <row r="42" spans="1:12" x14ac:dyDescent="0.25">
      <c r="A42" t="s">
        <v>193</v>
      </c>
      <c r="B42" t="s">
        <v>147</v>
      </c>
      <c r="C42" s="1" t="s">
        <v>147</v>
      </c>
      <c r="D42">
        <v>45</v>
      </c>
      <c r="E42">
        <v>5</v>
      </c>
      <c r="F42">
        <v>40</v>
      </c>
      <c r="G42" t="s">
        <v>390</v>
      </c>
      <c r="H42" s="109"/>
      <c r="L42" t="s">
        <v>131</v>
      </c>
    </row>
    <row r="43" spans="1:12" x14ac:dyDescent="0.25">
      <c r="A43" t="s">
        <v>99</v>
      </c>
      <c r="B43" t="s">
        <v>348</v>
      </c>
      <c r="C43" s="1" t="s">
        <v>100</v>
      </c>
      <c r="D43">
        <v>30</v>
      </c>
      <c r="E43">
        <v>1</v>
      </c>
      <c r="F43">
        <v>8</v>
      </c>
      <c r="G43" t="s">
        <v>388</v>
      </c>
      <c r="L43" t="s">
        <v>544</v>
      </c>
    </row>
    <row r="44" spans="1:12" x14ac:dyDescent="0.25">
      <c r="A44" t="s">
        <v>229</v>
      </c>
      <c r="B44" t="s">
        <v>230</v>
      </c>
      <c r="C44" s="1" t="s">
        <v>231</v>
      </c>
      <c r="D44">
        <v>45</v>
      </c>
      <c r="E44">
        <v>2</v>
      </c>
      <c r="F44">
        <v>16</v>
      </c>
      <c r="G44" t="s">
        <v>392</v>
      </c>
      <c r="L44" t="s">
        <v>545</v>
      </c>
    </row>
    <row r="45" spans="1:12" x14ac:dyDescent="0.25">
      <c r="A45" t="s">
        <v>77</v>
      </c>
      <c r="B45" t="s">
        <v>244</v>
      </c>
      <c r="C45" s="1" t="s">
        <v>245</v>
      </c>
      <c r="D45">
        <v>30</v>
      </c>
      <c r="E45">
        <v>5</v>
      </c>
      <c r="F45">
        <v>40</v>
      </c>
      <c r="G45" t="s">
        <v>390</v>
      </c>
      <c r="L45" t="s">
        <v>94</v>
      </c>
    </row>
    <row r="46" spans="1:12" x14ac:dyDescent="0.25">
      <c r="A46" t="s">
        <v>414</v>
      </c>
      <c r="B46" t="s">
        <v>546</v>
      </c>
      <c r="C46" s="1" t="s">
        <v>547</v>
      </c>
      <c r="D46">
        <v>20</v>
      </c>
      <c r="E46">
        <v>5</v>
      </c>
      <c r="F46">
        <v>40</v>
      </c>
      <c r="G46" t="s">
        <v>392</v>
      </c>
      <c r="L46" t="s">
        <v>41</v>
      </c>
    </row>
    <row r="47" spans="1:12" x14ac:dyDescent="0.25">
      <c r="A47" t="s">
        <v>38</v>
      </c>
      <c r="B47" t="s">
        <v>39</v>
      </c>
      <c r="C47" s="1" t="s">
        <v>40</v>
      </c>
      <c r="D47">
        <v>30</v>
      </c>
      <c r="E47">
        <v>2</v>
      </c>
      <c r="F47">
        <v>16</v>
      </c>
      <c r="G47" t="s">
        <v>392</v>
      </c>
      <c r="L47" t="s">
        <v>548</v>
      </c>
    </row>
    <row r="48" spans="1:12" x14ac:dyDescent="0.25">
      <c r="A48" t="s">
        <v>236</v>
      </c>
      <c r="B48" t="s">
        <v>237</v>
      </c>
      <c r="C48" s="1" t="s">
        <v>238</v>
      </c>
      <c r="D48">
        <v>100</v>
      </c>
      <c r="E48">
        <v>3</v>
      </c>
      <c r="F48">
        <v>16</v>
      </c>
      <c r="G48" t="s">
        <v>392</v>
      </c>
      <c r="L48" t="s">
        <v>477</v>
      </c>
    </row>
    <row r="49" spans="1:12" x14ac:dyDescent="0.25">
      <c r="A49" t="s">
        <v>549</v>
      </c>
      <c r="B49" t="s">
        <v>550</v>
      </c>
      <c r="C49" s="1" t="s">
        <v>550</v>
      </c>
      <c r="D49">
        <v>0</v>
      </c>
      <c r="E49">
        <v>0</v>
      </c>
      <c r="G49" t="s">
        <v>551</v>
      </c>
      <c r="L49" t="s">
        <v>552</v>
      </c>
    </row>
    <row r="50" spans="1:12" x14ac:dyDescent="0.25">
      <c r="A50" t="s">
        <v>553</v>
      </c>
      <c r="B50" t="s">
        <v>554</v>
      </c>
      <c r="C50" s="1" t="s">
        <v>555</v>
      </c>
      <c r="D50">
        <v>30</v>
      </c>
      <c r="E50">
        <v>2</v>
      </c>
      <c r="F50">
        <v>16</v>
      </c>
      <c r="G50" t="s">
        <v>392</v>
      </c>
      <c r="L50" t="s">
        <v>480</v>
      </c>
    </row>
    <row r="51" spans="1:12" x14ac:dyDescent="0.25">
      <c r="A51" t="s">
        <v>239</v>
      </c>
      <c r="B51" t="s">
        <v>240</v>
      </c>
      <c r="C51" s="1" t="s">
        <v>241</v>
      </c>
      <c r="D51">
        <v>45</v>
      </c>
      <c r="E51">
        <v>2</v>
      </c>
      <c r="F51">
        <v>16</v>
      </c>
      <c r="G51" t="s">
        <v>392</v>
      </c>
      <c r="L51" t="s">
        <v>556</v>
      </c>
    </row>
    <row r="52" spans="1:12" x14ac:dyDescent="0.25">
      <c r="A52" t="s">
        <v>85</v>
      </c>
      <c r="B52" t="s">
        <v>350</v>
      </c>
      <c r="C52" s="1" t="s">
        <v>95</v>
      </c>
      <c r="D52">
        <v>25</v>
      </c>
      <c r="E52">
        <v>5</v>
      </c>
      <c r="F52">
        <v>40</v>
      </c>
      <c r="G52" t="s">
        <v>388</v>
      </c>
      <c r="L52" t="s">
        <v>557</v>
      </c>
    </row>
    <row r="53" spans="1:12" x14ac:dyDescent="0.25">
      <c r="A53" t="s">
        <v>146</v>
      </c>
      <c r="B53" t="s">
        <v>147</v>
      </c>
      <c r="C53" s="1" t="s">
        <v>147</v>
      </c>
      <c r="D53">
        <v>0</v>
      </c>
      <c r="E53">
        <v>0</v>
      </c>
      <c r="F53">
        <v>0</v>
      </c>
      <c r="G53" t="s">
        <v>394</v>
      </c>
      <c r="L53" t="s">
        <v>133</v>
      </c>
    </row>
    <row r="54" spans="1:12" x14ac:dyDescent="0.25">
      <c r="A54" t="s">
        <v>233</v>
      </c>
      <c r="B54" t="s">
        <v>234</v>
      </c>
      <c r="C54" s="1" t="s">
        <v>234</v>
      </c>
      <c r="D54">
        <v>0</v>
      </c>
      <c r="E54">
        <v>0</v>
      </c>
      <c r="F54">
        <v>0</v>
      </c>
      <c r="G54" t="s">
        <v>551</v>
      </c>
      <c r="L54" t="s">
        <v>558</v>
      </c>
    </row>
    <row r="55" spans="1:12" x14ac:dyDescent="0.25">
      <c r="A55" t="s">
        <v>218</v>
      </c>
      <c r="B55" t="s">
        <v>218</v>
      </c>
      <c r="C55" s="1" t="s">
        <v>218</v>
      </c>
      <c r="D55">
        <v>0</v>
      </c>
      <c r="E55">
        <v>0</v>
      </c>
      <c r="F55">
        <v>0</v>
      </c>
      <c r="G55" t="s">
        <v>551</v>
      </c>
      <c r="L55" t="s">
        <v>128</v>
      </c>
    </row>
    <row r="56" spans="1:12" x14ac:dyDescent="0.25">
      <c r="A56" t="s">
        <v>453</v>
      </c>
      <c r="B56" t="s">
        <v>559</v>
      </c>
      <c r="C56" s="1" t="s">
        <v>560</v>
      </c>
      <c r="D56">
        <v>0</v>
      </c>
      <c r="E56">
        <v>0</v>
      </c>
      <c r="F56">
        <v>0</v>
      </c>
      <c r="G56" t="s">
        <v>551</v>
      </c>
      <c r="L56" t="s">
        <v>259</v>
      </c>
    </row>
    <row r="57" spans="1:12" x14ac:dyDescent="0.25">
      <c r="A57" s="186" t="s">
        <v>205</v>
      </c>
      <c r="B57" t="s">
        <v>206</v>
      </c>
      <c r="C57" s="1" t="s">
        <v>206</v>
      </c>
      <c r="D57">
        <v>0</v>
      </c>
      <c r="E57">
        <v>0</v>
      </c>
      <c r="F57">
        <v>0</v>
      </c>
      <c r="G57" t="s">
        <v>551</v>
      </c>
      <c r="L57" t="s">
        <v>114</v>
      </c>
    </row>
    <row r="58" spans="1:12" x14ac:dyDescent="0.25">
      <c r="A58" s="5" t="s">
        <v>396</v>
      </c>
      <c r="B58" t="s">
        <v>561</v>
      </c>
      <c r="C58" s="1" t="s">
        <v>562</v>
      </c>
      <c r="D58">
        <v>1000</v>
      </c>
      <c r="E58">
        <v>0.25</v>
      </c>
      <c r="F58">
        <v>2</v>
      </c>
      <c r="G58" s="199" t="s">
        <v>844</v>
      </c>
      <c r="L58" t="s">
        <v>320</v>
      </c>
    </row>
    <row r="59" spans="1:12" x14ac:dyDescent="0.25">
      <c r="A59" s="5" t="s">
        <v>397</v>
      </c>
      <c r="B59" t="s">
        <v>563</v>
      </c>
      <c r="C59" s="1" t="s">
        <v>564</v>
      </c>
      <c r="D59">
        <v>1000</v>
      </c>
      <c r="E59">
        <v>0.25</v>
      </c>
      <c r="F59">
        <v>2</v>
      </c>
      <c r="G59" s="199" t="s">
        <v>844</v>
      </c>
      <c r="L59" t="s">
        <v>279</v>
      </c>
    </row>
    <row r="60" spans="1:12" x14ac:dyDescent="0.25">
      <c r="A60" s="5" t="s">
        <v>398</v>
      </c>
      <c r="B60" t="s">
        <v>565</v>
      </c>
      <c r="C60" s="1" t="s">
        <v>566</v>
      </c>
      <c r="D60">
        <v>1000</v>
      </c>
      <c r="E60">
        <v>0.25</v>
      </c>
      <c r="F60">
        <v>2</v>
      </c>
      <c r="G60" s="199" t="s">
        <v>844</v>
      </c>
      <c r="L60" t="s">
        <v>130</v>
      </c>
    </row>
    <row r="61" spans="1:12" x14ac:dyDescent="0.25">
      <c r="A61" s="5" t="s">
        <v>399</v>
      </c>
      <c r="B61" t="s">
        <v>567</v>
      </c>
      <c r="C61" s="1" t="s">
        <v>568</v>
      </c>
      <c r="D61">
        <v>1000</v>
      </c>
      <c r="E61">
        <v>0.3</v>
      </c>
      <c r="F61">
        <v>2.5</v>
      </c>
      <c r="G61" s="199" t="s">
        <v>844</v>
      </c>
      <c r="L61" t="s">
        <v>61</v>
      </c>
    </row>
    <row r="62" spans="1:12" x14ac:dyDescent="0.25">
      <c r="A62" s="5" t="s">
        <v>400</v>
      </c>
      <c r="B62" t="s">
        <v>569</v>
      </c>
      <c r="C62" s="1" t="s">
        <v>570</v>
      </c>
      <c r="D62">
        <v>1000</v>
      </c>
      <c r="E62">
        <v>0.5</v>
      </c>
      <c r="F62">
        <v>4</v>
      </c>
      <c r="G62" s="199" t="s">
        <v>844</v>
      </c>
      <c r="L62" t="s">
        <v>358</v>
      </c>
    </row>
    <row r="63" spans="1:12" x14ac:dyDescent="0.25">
      <c r="A63" s="5" t="s">
        <v>401</v>
      </c>
      <c r="B63" t="s">
        <v>571</v>
      </c>
      <c r="C63" s="1" t="s">
        <v>572</v>
      </c>
      <c r="D63">
        <v>1000</v>
      </c>
      <c r="E63">
        <v>1</v>
      </c>
      <c r="F63">
        <v>8</v>
      </c>
      <c r="G63" s="199" t="s">
        <v>844</v>
      </c>
      <c r="L63" t="s">
        <v>443</v>
      </c>
    </row>
    <row r="64" spans="1:12" x14ac:dyDescent="0.25">
      <c r="A64" s="5" t="s">
        <v>402</v>
      </c>
      <c r="B64" t="s">
        <v>573</v>
      </c>
      <c r="C64" s="1" t="s">
        <v>574</v>
      </c>
      <c r="D64">
        <v>1000</v>
      </c>
      <c r="E64">
        <v>0.1</v>
      </c>
      <c r="F64">
        <v>1.5</v>
      </c>
      <c r="G64" s="199" t="s">
        <v>844</v>
      </c>
      <c r="L64" t="s">
        <v>575</v>
      </c>
    </row>
    <row r="65" spans="1:12" x14ac:dyDescent="0.25">
      <c r="A65" s="5" t="s">
        <v>403</v>
      </c>
      <c r="B65" t="s">
        <v>576</v>
      </c>
      <c r="C65" s="1" t="s">
        <v>577</v>
      </c>
      <c r="D65">
        <v>1000</v>
      </c>
      <c r="E65">
        <v>0.25</v>
      </c>
      <c r="F65">
        <v>2</v>
      </c>
      <c r="G65" s="199" t="s">
        <v>844</v>
      </c>
      <c r="L65" t="s">
        <v>78</v>
      </c>
    </row>
    <row r="66" spans="1:12" x14ac:dyDescent="0.25">
      <c r="A66" s="5" t="s">
        <v>404</v>
      </c>
      <c r="B66" t="s">
        <v>578</v>
      </c>
      <c r="C66" s="1" t="s">
        <v>579</v>
      </c>
      <c r="D66">
        <v>1000</v>
      </c>
      <c r="E66">
        <v>0.1</v>
      </c>
      <c r="F66">
        <v>1.5</v>
      </c>
      <c r="G66" s="199" t="s">
        <v>844</v>
      </c>
      <c r="L66" t="s">
        <v>580</v>
      </c>
    </row>
    <row r="67" spans="1:12" x14ac:dyDescent="0.25">
      <c r="A67" s="5" t="s">
        <v>405</v>
      </c>
      <c r="B67" t="s">
        <v>581</v>
      </c>
      <c r="C67" s="1" t="s">
        <v>582</v>
      </c>
      <c r="D67">
        <v>1000</v>
      </c>
      <c r="E67">
        <v>0.1</v>
      </c>
      <c r="F67">
        <v>1.5</v>
      </c>
      <c r="G67" s="199" t="s">
        <v>844</v>
      </c>
      <c r="L67" t="s">
        <v>298</v>
      </c>
    </row>
    <row r="68" spans="1:12" x14ac:dyDescent="0.25">
      <c r="A68" s="5" t="s">
        <v>406</v>
      </c>
      <c r="B68" t="s">
        <v>583</v>
      </c>
      <c r="C68" s="1" t="s">
        <v>584</v>
      </c>
      <c r="D68">
        <v>1000</v>
      </c>
      <c r="E68">
        <v>0.1</v>
      </c>
      <c r="F68">
        <v>1.5</v>
      </c>
      <c r="G68" s="199" t="s">
        <v>844</v>
      </c>
      <c r="L68" t="s">
        <v>125</v>
      </c>
    </row>
    <row r="69" spans="1:12" x14ac:dyDescent="0.25">
      <c r="A69" s="5" t="s">
        <v>407</v>
      </c>
      <c r="B69" t="s">
        <v>585</v>
      </c>
      <c r="C69" s="1" t="s">
        <v>586</v>
      </c>
      <c r="D69">
        <v>1000</v>
      </c>
      <c r="E69">
        <v>0.25</v>
      </c>
      <c r="F69">
        <v>2</v>
      </c>
      <c r="G69" s="199" t="s">
        <v>844</v>
      </c>
      <c r="L69" t="s">
        <v>81</v>
      </c>
    </row>
    <row r="70" spans="1:12" x14ac:dyDescent="0.25">
      <c r="A70" s="5" t="s">
        <v>408</v>
      </c>
      <c r="B70" t="s">
        <v>587</v>
      </c>
      <c r="C70" s="1" t="s">
        <v>588</v>
      </c>
      <c r="D70">
        <v>1000</v>
      </c>
      <c r="E70">
        <v>0.1</v>
      </c>
      <c r="F70">
        <v>1.5</v>
      </c>
      <c r="G70" s="199" t="s">
        <v>844</v>
      </c>
      <c r="L70" t="s">
        <v>102</v>
      </c>
    </row>
    <row r="71" spans="1:12" x14ac:dyDescent="0.25">
      <c r="A71" s="5" t="s">
        <v>409</v>
      </c>
      <c r="B71" t="s">
        <v>589</v>
      </c>
      <c r="C71" s="1" t="s">
        <v>590</v>
      </c>
      <c r="D71">
        <v>1000</v>
      </c>
      <c r="E71">
        <v>0.25</v>
      </c>
      <c r="F71">
        <v>2</v>
      </c>
      <c r="G71" s="199" t="s">
        <v>844</v>
      </c>
      <c r="L71" t="s">
        <v>591</v>
      </c>
    </row>
    <row r="72" spans="1:12" x14ac:dyDescent="0.25">
      <c r="A72" s="5" t="s">
        <v>410</v>
      </c>
      <c r="B72" t="s">
        <v>592</v>
      </c>
      <c r="C72" s="1" t="s">
        <v>593</v>
      </c>
      <c r="D72">
        <v>1000</v>
      </c>
      <c r="E72">
        <v>0.1</v>
      </c>
      <c r="F72">
        <v>2</v>
      </c>
      <c r="G72" s="199" t="s">
        <v>844</v>
      </c>
      <c r="L72" t="s">
        <v>135</v>
      </c>
    </row>
    <row r="73" spans="1:12" x14ac:dyDescent="0.25">
      <c r="A73" s="5" t="s">
        <v>411</v>
      </c>
      <c r="B73" t="s">
        <v>107</v>
      </c>
      <c r="C73" s="1" t="s">
        <v>594</v>
      </c>
      <c r="D73">
        <v>1000</v>
      </c>
      <c r="E73">
        <v>0.1</v>
      </c>
      <c r="F73">
        <v>1</v>
      </c>
      <c r="G73" s="199" t="s">
        <v>844</v>
      </c>
      <c r="L73" t="s">
        <v>120</v>
      </c>
    </row>
    <row r="74" spans="1:12" x14ac:dyDescent="0.25">
      <c r="A74" s="5" t="s">
        <v>412</v>
      </c>
      <c r="B74" t="s">
        <v>105</v>
      </c>
      <c r="C74" s="1" t="s">
        <v>595</v>
      </c>
      <c r="D74">
        <v>1000</v>
      </c>
      <c r="E74">
        <v>0.1</v>
      </c>
      <c r="F74">
        <v>1.5</v>
      </c>
      <c r="G74" s="199" t="s">
        <v>844</v>
      </c>
      <c r="L74" t="s">
        <v>596</v>
      </c>
    </row>
    <row r="75" spans="1:12" x14ac:dyDescent="0.25">
      <c r="A75" s="5" t="s">
        <v>413</v>
      </c>
      <c r="B75" t="s">
        <v>597</v>
      </c>
      <c r="C75" s="1" t="s">
        <v>598</v>
      </c>
      <c r="D75">
        <v>1000</v>
      </c>
      <c r="E75">
        <v>0.3</v>
      </c>
      <c r="F75">
        <v>2.5</v>
      </c>
      <c r="G75" s="199" t="s">
        <v>844</v>
      </c>
      <c r="L75" t="s">
        <v>121</v>
      </c>
    </row>
    <row r="76" spans="1:12" x14ac:dyDescent="0.25">
      <c r="A76" s="5" t="s">
        <v>488</v>
      </c>
      <c r="B76" t="s">
        <v>599</v>
      </c>
      <c r="C76" s="1" t="s">
        <v>600</v>
      </c>
      <c r="D76">
        <v>1000</v>
      </c>
      <c r="E76">
        <v>0.25</v>
      </c>
      <c r="F76">
        <v>2</v>
      </c>
      <c r="G76" s="199" t="s">
        <v>844</v>
      </c>
    </row>
    <row r="77" spans="1:12" x14ac:dyDescent="0.25">
      <c r="A77" s="5" t="s">
        <v>489</v>
      </c>
      <c r="B77" t="s">
        <v>601</v>
      </c>
      <c r="C77" s="1" t="s">
        <v>602</v>
      </c>
      <c r="D77">
        <v>1000</v>
      </c>
      <c r="E77">
        <v>0.25</v>
      </c>
      <c r="F77">
        <v>2</v>
      </c>
      <c r="G77" s="199" t="s">
        <v>844</v>
      </c>
    </row>
    <row r="78" spans="1:12" x14ac:dyDescent="0.25">
      <c r="A78" s="5" t="s">
        <v>491</v>
      </c>
      <c r="B78" t="s">
        <v>603</v>
      </c>
      <c r="C78" s="1" t="s">
        <v>604</v>
      </c>
      <c r="D78">
        <v>1000</v>
      </c>
      <c r="E78">
        <v>0.25</v>
      </c>
      <c r="F78">
        <v>2</v>
      </c>
      <c r="G78" s="199" t="s">
        <v>844</v>
      </c>
    </row>
    <row r="79" spans="1:12" x14ac:dyDescent="0.25">
      <c r="A79" t="s">
        <v>605</v>
      </c>
      <c r="B79" t="s">
        <v>147</v>
      </c>
      <c r="C79" s="1" t="s">
        <v>147</v>
      </c>
      <c r="D79">
        <v>45</v>
      </c>
      <c r="E79" t="s">
        <v>147</v>
      </c>
      <c r="F79" t="s">
        <v>147</v>
      </c>
      <c r="G79" t="s">
        <v>394</v>
      </c>
      <c r="L79" t="s">
        <v>606</v>
      </c>
    </row>
    <row r="80" spans="1:12" x14ac:dyDescent="0.25">
      <c r="L80" t="s">
        <v>129</v>
      </c>
    </row>
    <row r="81" spans="12:12" x14ac:dyDescent="0.25">
      <c r="L81" t="s">
        <v>607</v>
      </c>
    </row>
    <row r="82" spans="12:12" x14ac:dyDescent="0.25">
      <c r="L82" t="s">
        <v>608</v>
      </c>
    </row>
    <row r="83" spans="12:12" x14ac:dyDescent="0.25">
      <c r="L83" t="s">
        <v>609</v>
      </c>
    </row>
    <row r="84" spans="12:12" x14ac:dyDescent="0.25">
      <c r="L84" t="s">
        <v>610</v>
      </c>
    </row>
    <row r="85" spans="12:12" x14ac:dyDescent="0.25">
      <c r="L85" t="s">
        <v>97</v>
      </c>
    </row>
    <row r="86" spans="12:12" x14ac:dyDescent="0.25">
      <c r="L86" t="s">
        <v>611</v>
      </c>
    </row>
    <row r="87" spans="12:12" x14ac:dyDescent="0.25">
      <c r="L87" t="s">
        <v>327</v>
      </c>
    </row>
    <row r="88" spans="12:12" x14ac:dyDescent="0.25">
      <c r="L88" t="s">
        <v>101</v>
      </c>
    </row>
    <row r="89" spans="12:12" x14ac:dyDescent="0.25">
      <c r="L89" t="s">
        <v>612</v>
      </c>
    </row>
    <row r="90" spans="12:12" x14ac:dyDescent="0.25">
      <c r="L90" t="s">
        <v>613</v>
      </c>
    </row>
    <row r="91" spans="12:12" x14ac:dyDescent="0.25">
      <c r="L91" t="s">
        <v>300</v>
      </c>
    </row>
    <row r="92" spans="12:12" x14ac:dyDescent="0.25">
      <c r="L92" t="s">
        <v>359</v>
      </c>
    </row>
    <row r="93" spans="12:12" x14ac:dyDescent="0.25">
      <c r="L93" t="s">
        <v>467</v>
      </c>
    </row>
    <row r="94" spans="12:12" x14ac:dyDescent="0.25">
      <c r="L94" t="s">
        <v>126</v>
      </c>
    </row>
    <row r="95" spans="12:12" x14ac:dyDescent="0.25">
      <c r="L95" t="s">
        <v>116</v>
      </c>
    </row>
    <row r="96" spans="12:12" x14ac:dyDescent="0.25">
      <c r="L96" t="s">
        <v>614</v>
      </c>
    </row>
    <row r="97" spans="12:12" x14ac:dyDescent="0.25">
      <c r="L97" t="s">
        <v>317</v>
      </c>
    </row>
    <row r="98" spans="12:12" x14ac:dyDescent="0.25">
      <c r="L98" t="s">
        <v>615</v>
      </c>
    </row>
    <row r="99" spans="12:12" x14ac:dyDescent="0.25">
      <c r="L99" t="s">
        <v>616</v>
      </c>
    </row>
    <row r="100" spans="12:12" x14ac:dyDescent="0.25">
      <c r="L100" t="s">
        <v>122</v>
      </c>
    </row>
    <row r="101" spans="12:12" x14ac:dyDescent="0.25">
      <c r="L101" t="s">
        <v>71</v>
      </c>
    </row>
    <row r="102" spans="12:12" x14ac:dyDescent="0.25">
      <c r="L102" t="s">
        <v>117</v>
      </c>
    </row>
    <row r="103" spans="12:12" x14ac:dyDescent="0.25">
      <c r="L103" t="s">
        <v>617</v>
      </c>
    </row>
    <row r="104" spans="12:12" x14ac:dyDescent="0.25">
      <c r="L104" t="s">
        <v>618</v>
      </c>
    </row>
    <row r="105" spans="12:12" x14ac:dyDescent="0.25">
      <c r="L105" t="s">
        <v>51</v>
      </c>
    </row>
    <row r="106" spans="12:12" x14ac:dyDescent="0.25">
      <c r="L106" t="s">
        <v>123</v>
      </c>
    </row>
    <row r="108" spans="12:12" x14ac:dyDescent="0.25">
      <c r="L108" t="s">
        <v>619</v>
      </c>
    </row>
  </sheetData>
  <sortState xmlns:xlrd2="http://schemas.microsoft.com/office/spreadsheetml/2017/richdata2" ref="H3:H42">
    <sortCondition ref="H2:H42"/>
  </sortState>
  <phoneticPr fontId="4" type="noConversion"/>
  <conditionalFormatting sqref="A57">
    <cfRule type="expression" dxfId="5" priority="1">
      <formula>$AA52="Benzick, Sue"</formula>
    </cfRule>
    <cfRule type="expression" dxfId="4" priority="2">
      <formula>$AA52="Jenne, Richard"</formula>
    </cfRule>
    <cfRule type="expression" dxfId="3" priority="3">
      <formula>$AA52="McQueen, Jennifer"</formula>
    </cfRule>
  </conditionalFormatting>
  <dataValidations disablePrompts="1" count="1">
    <dataValidation type="list" allowBlank="1" showInputMessage="1" showErrorMessage="1" sqref="A57" xr:uid="{00000000-0002-0000-0600-000000000000}">
      <formula1>Class</formula1>
    </dataValidation>
  </dataValidation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32566-6124-4E27-9B33-5B0AE76BC7D5}">
  <sheetPr>
    <tabColor theme="9" tint="0.79998168889431442"/>
  </sheetPr>
  <dimension ref="A1:I58"/>
  <sheetViews>
    <sheetView workbookViewId="0">
      <selection activeCell="A3" sqref="A3"/>
    </sheetView>
  </sheetViews>
  <sheetFormatPr defaultRowHeight="15" x14ac:dyDescent="0.25"/>
  <cols>
    <col min="1" max="1" width="64.7109375" bestFit="1" customWidth="1"/>
    <col min="2" max="2" width="38.7109375" bestFit="1" customWidth="1"/>
    <col min="3" max="3" width="9.28515625" bestFit="1" customWidth="1"/>
    <col min="4" max="4" width="11.42578125" bestFit="1" customWidth="1"/>
    <col min="5" max="5" width="10.42578125" bestFit="1" customWidth="1"/>
    <col min="6" max="7" width="9.28515625" bestFit="1" customWidth="1"/>
    <col min="8" max="8" width="11.140625" bestFit="1" customWidth="1"/>
    <col min="9" max="9" width="9.28515625" bestFit="1" customWidth="1"/>
  </cols>
  <sheetData>
    <row r="1" spans="1:9" x14ac:dyDescent="0.25">
      <c r="A1" s="7" t="s">
        <v>620</v>
      </c>
    </row>
    <row r="3" spans="1:9" x14ac:dyDescent="0.25">
      <c r="A3" t="s">
        <v>150</v>
      </c>
      <c r="B3" t="s">
        <v>185</v>
      </c>
      <c r="C3" t="s">
        <v>621</v>
      </c>
      <c r="D3" t="s">
        <v>622</v>
      </c>
      <c r="E3" t="s">
        <v>623</v>
      </c>
      <c r="F3" t="s">
        <v>624</v>
      </c>
      <c r="G3" t="s">
        <v>625</v>
      </c>
      <c r="H3" t="s">
        <v>626</v>
      </c>
      <c r="I3" t="s">
        <v>169</v>
      </c>
    </row>
    <row r="4" spans="1:9" x14ac:dyDescent="0.25">
      <c r="A4" t="s">
        <v>181</v>
      </c>
      <c r="B4" t="s">
        <v>627</v>
      </c>
      <c r="C4">
        <v>0</v>
      </c>
      <c r="D4">
        <v>1</v>
      </c>
      <c r="E4">
        <v>2</v>
      </c>
      <c r="F4">
        <v>0</v>
      </c>
      <c r="G4">
        <v>0</v>
      </c>
      <c r="H4">
        <v>0</v>
      </c>
    </row>
    <row r="5" spans="1:9" x14ac:dyDescent="0.25">
      <c r="A5" t="s">
        <v>628</v>
      </c>
      <c r="B5" t="s">
        <v>627</v>
      </c>
    </row>
    <row r="6" spans="1:9" x14ac:dyDescent="0.25">
      <c r="A6" t="s">
        <v>629</v>
      </c>
      <c r="B6" t="s">
        <v>627</v>
      </c>
    </row>
    <row r="7" spans="1:9" x14ac:dyDescent="0.25">
      <c r="A7" t="s">
        <v>630</v>
      </c>
      <c r="B7" t="s">
        <v>627</v>
      </c>
    </row>
    <row r="8" spans="1:9" x14ac:dyDescent="0.25">
      <c r="A8" t="s">
        <v>631</v>
      </c>
      <c r="B8" t="s">
        <v>627</v>
      </c>
      <c r="C8">
        <v>3</v>
      </c>
      <c r="D8">
        <v>0</v>
      </c>
      <c r="E8">
        <v>0</v>
      </c>
      <c r="F8">
        <v>0</v>
      </c>
      <c r="G8">
        <v>4</v>
      </c>
      <c r="H8">
        <v>28</v>
      </c>
    </row>
    <row r="9" spans="1:9" x14ac:dyDescent="0.25">
      <c r="A9" t="s">
        <v>632</v>
      </c>
      <c r="B9" t="s">
        <v>627</v>
      </c>
      <c r="D9">
        <v>0</v>
      </c>
      <c r="E9">
        <v>4</v>
      </c>
      <c r="H9">
        <v>10</v>
      </c>
    </row>
    <row r="10" spans="1:9" x14ac:dyDescent="0.25">
      <c r="A10" t="s">
        <v>633</v>
      </c>
      <c r="B10" t="s">
        <v>627</v>
      </c>
    </row>
    <row r="11" spans="1:9" x14ac:dyDescent="0.25">
      <c r="A11" t="s">
        <v>634</v>
      </c>
      <c r="B11" t="s">
        <v>627</v>
      </c>
      <c r="H11">
        <v>3</v>
      </c>
    </row>
    <row r="12" spans="1:9" x14ac:dyDescent="0.25">
      <c r="A12" t="s">
        <v>635</v>
      </c>
      <c r="B12" t="s">
        <v>627</v>
      </c>
      <c r="F12">
        <v>10</v>
      </c>
      <c r="G12">
        <v>20</v>
      </c>
      <c r="H12">
        <v>50</v>
      </c>
    </row>
    <row r="13" spans="1:9" x14ac:dyDescent="0.25">
      <c r="A13" t="s">
        <v>636</v>
      </c>
      <c r="B13" t="s">
        <v>627</v>
      </c>
    </row>
    <row r="14" spans="1:9" x14ac:dyDescent="0.25">
      <c r="A14" t="s">
        <v>637</v>
      </c>
      <c r="B14" t="s">
        <v>627</v>
      </c>
    </row>
    <row r="15" spans="1:9" x14ac:dyDescent="0.25">
      <c r="A15" t="s">
        <v>638</v>
      </c>
      <c r="B15" t="s">
        <v>627</v>
      </c>
    </row>
    <row r="16" spans="1:9" x14ac:dyDescent="0.25">
      <c r="A16" t="s">
        <v>639</v>
      </c>
      <c r="B16" t="s">
        <v>627</v>
      </c>
    </row>
    <row r="17" spans="1:8" x14ac:dyDescent="0.25">
      <c r="A17" t="s">
        <v>640</v>
      </c>
      <c r="B17" t="s">
        <v>627</v>
      </c>
    </row>
    <row r="18" spans="1:8" x14ac:dyDescent="0.25">
      <c r="A18" t="s">
        <v>641</v>
      </c>
      <c r="B18" t="s">
        <v>627</v>
      </c>
    </row>
    <row r="19" spans="1:8" x14ac:dyDescent="0.25">
      <c r="A19" t="s">
        <v>642</v>
      </c>
      <c r="B19" t="s">
        <v>627</v>
      </c>
    </row>
    <row r="20" spans="1:8" x14ac:dyDescent="0.25">
      <c r="A20" t="s">
        <v>643</v>
      </c>
      <c r="B20" t="s">
        <v>627</v>
      </c>
      <c r="C20">
        <v>2</v>
      </c>
      <c r="D20">
        <v>1</v>
      </c>
      <c r="E20">
        <v>97</v>
      </c>
      <c r="F20">
        <v>1</v>
      </c>
      <c r="G20">
        <v>5</v>
      </c>
      <c r="H20">
        <v>3</v>
      </c>
    </row>
    <row r="21" spans="1:8" x14ac:dyDescent="0.25">
      <c r="A21" t="s">
        <v>644</v>
      </c>
      <c r="B21" t="s">
        <v>627</v>
      </c>
    </row>
    <row r="22" spans="1:8" x14ac:dyDescent="0.25">
      <c r="A22" t="s">
        <v>645</v>
      </c>
      <c r="B22" t="s">
        <v>627</v>
      </c>
      <c r="C22">
        <v>3</v>
      </c>
      <c r="F22">
        <v>10</v>
      </c>
      <c r="G22">
        <v>24</v>
      </c>
      <c r="H22">
        <v>78</v>
      </c>
    </row>
    <row r="23" spans="1:8" x14ac:dyDescent="0.25">
      <c r="A23" t="s">
        <v>646</v>
      </c>
      <c r="B23" t="s">
        <v>627</v>
      </c>
    </row>
    <row r="24" spans="1:8" x14ac:dyDescent="0.25">
      <c r="A24" t="s">
        <v>647</v>
      </c>
      <c r="B24" t="s">
        <v>627</v>
      </c>
    </row>
    <row r="25" spans="1:8" x14ac:dyDescent="0.25">
      <c r="A25" t="s">
        <v>648</v>
      </c>
      <c r="B25" t="s">
        <v>627</v>
      </c>
    </row>
    <row r="26" spans="1:8" x14ac:dyDescent="0.25">
      <c r="A26" t="s">
        <v>649</v>
      </c>
      <c r="B26" t="s">
        <v>627</v>
      </c>
    </row>
    <row r="27" spans="1:8" x14ac:dyDescent="0.25">
      <c r="A27" t="s">
        <v>650</v>
      </c>
      <c r="B27" t="s">
        <v>627</v>
      </c>
    </row>
    <row r="28" spans="1:8" x14ac:dyDescent="0.25">
      <c r="A28" t="s">
        <v>651</v>
      </c>
      <c r="B28" t="s">
        <v>627</v>
      </c>
      <c r="E28">
        <v>2</v>
      </c>
    </row>
    <row r="29" spans="1:8" x14ac:dyDescent="0.25">
      <c r="A29" t="s">
        <v>652</v>
      </c>
      <c r="B29" t="s">
        <v>627</v>
      </c>
    </row>
    <row r="30" spans="1:8" x14ac:dyDescent="0.25">
      <c r="A30" t="s">
        <v>653</v>
      </c>
      <c r="B30" t="s">
        <v>627</v>
      </c>
      <c r="E30">
        <v>0</v>
      </c>
      <c r="H30">
        <v>2</v>
      </c>
    </row>
    <row r="31" spans="1:8" x14ac:dyDescent="0.25">
      <c r="A31" t="s">
        <v>654</v>
      </c>
      <c r="B31" t="s">
        <v>627</v>
      </c>
      <c r="D31">
        <v>1</v>
      </c>
    </row>
    <row r="32" spans="1:8" x14ac:dyDescent="0.25">
      <c r="A32" t="s">
        <v>655</v>
      </c>
      <c r="B32" t="s">
        <v>627</v>
      </c>
    </row>
    <row r="33" spans="1:8" x14ac:dyDescent="0.25">
      <c r="A33" t="s">
        <v>656</v>
      </c>
      <c r="B33" t="s">
        <v>627</v>
      </c>
      <c r="E33">
        <v>1</v>
      </c>
    </row>
    <row r="34" spans="1:8" x14ac:dyDescent="0.25">
      <c r="A34" t="s">
        <v>657</v>
      </c>
      <c r="B34" t="s">
        <v>627</v>
      </c>
    </row>
    <row r="35" spans="1:8" x14ac:dyDescent="0.25">
      <c r="A35" t="s">
        <v>658</v>
      </c>
      <c r="B35" t="s">
        <v>627</v>
      </c>
    </row>
    <row r="36" spans="1:8" x14ac:dyDescent="0.25">
      <c r="A36" t="s">
        <v>659</v>
      </c>
      <c r="B36" t="s">
        <v>627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 x14ac:dyDescent="0.25">
      <c r="A37" t="s">
        <v>660</v>
      </c>
      <c r="B37" t="s">
        <v>627</v>
      </c>
    </row>
    <row r="38" spans="1:8" x14ac:dyDescent="0.25">
      <c r="A38" t="s">
        <v>661</v>
      </c>
      <c r="B38" t="s">
        <v>627</v>
      </c>
    </row>
    <row r="39" spans="1:8" x14ac:dyDescent="0.25">
      <c r="A39" t="s">
        <v>662</v>
      </c>
      <c r="B39" t="s">
        <v>627</v>
      </c>
    </row>
    <row r="40" spans="1:8" x14ac:dyDescent="0.25">
      <c r="A40" t="s">
        <v>663</v>
      </c>
      <c r="B40" t="s">
        <v>627</v>
      </c>
    </row>
    <row r="41" spans="1:8" x14ac:dyDescent="0.25">
      <c r="A41" t="s">
        <v>664</v>
      </c>
      <c r="B41" t="s">
        <v>627</v>
      </c>
    </row>
    <row r="42" spans="1:8" x14ac:dyDescent="0.25">
      <c r="A42" t="s">
        <v>665</v>
      </c>
      <c r="B42" t="s">
        <v>627</v>
      </c>
      <c r="E42">
        <v>2</v>
      </c>
      <c r="H42">
        <v>2</v>
      </c>
    </row>
    <row r="43" spans="1:8" x14ac:dyDescent="0.25">
      <c r="A43" t="s">
        <v>666</v>
      </c>
      <c r="B43" t="s">
        <v>627</v>
      </c>
    </row>
    <row r="44" spans="1:8" x14ac:dyDescent="0.25">
      <c r="A44" t="s">
        <v>667</v>
      </c>
      <c r="B44" t="s">
        <v>627</v>
      </c>
      <c r="E44">
        <v>29</v>
      </c>
      <c r="G44">
        <v>8</v>
      </c>
    </row>
    <row r="45" spans="1:8" x14ac:dyDescent="0.25">
      <c r="A45" t="s">
        <v>668</v>
      </c>
      <c r="B45" t="s">
        <v>627</v>
      </c>
    </row>
    <row r="46" spans="1:8" x14ac:dyDescent="0.25">
      <c r="A46" t="s">
        <v>669</v>
      </c>
      <c r="B46" t="s">
        <v>627</v>
      </c>
    </row>
    <row r="47" spans="1:8" x14ac:dyDescent="0.25">
      <c r="A47" t="s">
        <v>670</v>
      </c>
      <c r="B47" t="s">
        <v>627</v>
      </c>
    </row>
    <row r="48" spans="1:8" x14ac:dyDescent="0.25">
      <c r="A48" t="s">
        <v>671</v>
      </c>
      <c r="B48" t="s">
        <v>627</v>
      </c>
    </row>
    <row r="49" spans="1:5" x14ac:dyDescent="0.25">
      <c r="A49" t="s">
        <v>672</v>
      </c>
      <c r="B49" t="s">
        <v>627</v>
      </c>
    </row>
    <row r="50" spans="1:5" x14ac:dyDescent="0.25">
      <c r="A50" t="s">
        <v>673</v>
      </c>
      <c r="B50" t="s">
        <v>627</v>
      </c>
    </row>
    <row r="51" spans="1:5" x14ac:dyDescent="0.25">
      <c r="A51" t="s">
        <v>674</v>
      </c>
      <c r="B51" t="s">
        <v>627</v>
      </c>
    </row>
    <row r="52" spans="1:5" x14ac:dyDescent="0.25">
      <c r="A52" t="s">
        <v>675</v>
      </c>
      <c r="B52" t="s">
        <v>627</v>
      </c>
    </row>
    <row r="53" spans="1:5" x14ac:dyDescent="0.25">
      <c r="A53" t="s">
        <v>676</v>
      </c>
      <c r="B53" t="s">
        <v>627</v>
      </c>
    </row>
    <row r="54" spans="1:5" x14ac:dyDescent="0.25">
      <c r="A54" t="s">
        <v>677</v>
      </c>
      <c r="B54" t="s">
        <v>627</v>
      </c>
    </row>
    <row r="55" spans="1:5" x14ac:dyDescent="0.25">
      <c r="A55" t="s">
        <v>678</v>
      </c>
      <c r="B55" t="s">
        <v>627</v>
      </c>
      <c r="E55">
        <v>2</v>
      </c>
    </row>
    <row r="56" spans="1:5" x14ac:dyDescent="0.25">
      <c r="A56" t="s">
        <v>679</v>
      </c>
      <c r="B56" t="s">
        <v>627</v>
      </c>
      <c r="E56">
        <v>1</v>
      </c>
    </row>
    <row r="57" spans="1:5" x14ac:dyDescent="0.25">
      <c r="A57" t="s">
        <v>680</v>
      </c>
      <c r="B57" t="s">
        <v>627</v>
      </c>
    </row>
    <row r="58" spans="1:5" x14ac:dyDescent="0.25">
      <c r="A58" t="s">
        <v>681</v>
      </c>
      <c r="B58" t="s">
        <v>627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1F7E8-0963-47B0-9474-568EAB56D8B0}">
  <sheetPr>
    <tabColor theme="9" tint="0.79998168889431442"/>
    <pageSetUpPr fitToPage="1"/>
  </sheetPr>
  <dimension ref="A1:AW86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AD10" sqref="AD10"/>
    </sheetView>
  </sheetViews>
  <sheetFormatPr defaultColWidth="7.7109375" defaultRowHeight="15" x14ac:dyDescent="0.25"/>
  <cols>
    <col min="1" max="1" width="43" style="414" customWidth="1"/>
    <col min="2" max="2" width="7.7109375" style="414" bestFit="1" customWidth="1"/>
    <col min="3" max="4" width="11" style="414" customWidth="1"/>
    <col min="5" max="5" width="7.7109375" style="414" bestFit="1" customWidth="1"/>
    <col min="6" max="7" width="8.28515625" style="414" customWidth="1"/>
    <col min="8" max="9" width="8.28515625" customWidth="1"/>
    <col min="10" max="12" width="8.28515625" style="414" customWidth="1"/>
    <col min="13" max="13" width="7.140625" style="414" customWidth="1"/>
    <col min="14" max="14" width="4" style="414" customWidth="1"/>
    <col min="15" max="15" width="8.28515625" style="414" customWidth="1"/>
    <col min="16" max="16" width="8.28515625" style="416" customWidth="1"/>
    <col min="17" max="22" width="8.28515625" style="414" customWidth="1"/>
    <col min="23" max="24" width="8.28515625" style="414" hidden="1" customWidth="1"/>
    <col min="25" max="25" width="4" style="414" customWidth="1"/>
    <col min="26" max="29" width="8.28515625" style="414" customWidth="1"/>
    <col min="30" max="30" width="8.28515625" style="415" customWidth="1"/>
    <col min="31" max="32" width="8.28515625" style="414" customWidth="1"/>
    <col min="33" max="33" width="4" style="414" customWidth="1"/>
    <col min="34" max="39" width="8.28515625" style="414" customWidth="1"/>
    <col min="40" max="40" width="13.85546875" style="414" bestFit="1" customWidth="1"/>
    <col min="41" max="41" width="4" style="414" customWidth="1"/>
    <col min="42" max="43" width="8.28515625" style="414" customWidth="1"/>
    <col min="44" max="45" width="8.28515625" style="417" customWidth="1"/>
    <col min="46" max="48" width="8.28515625" style="414" customWidth="1"/>
    <col min="49" max="49" width="25.42578125" style="414" customWidth="1"/>
    <col min="50" max="50" width="11.42578125" style="414" customWidth="1"/>
    <col min="51" max="51" width="26.5703125" style="414" customWidth="1"/>
    <col min="52" max="16384" width="7.7109375" style="414"/>
  </cols>
  <sheetData>
    <row r="1" spans="1:49" ht="105" x14ac:dyDescent="0.25">
      <c r="A1" s="397" t="s">
        <v>682</v>
      </c>
      <c r="B1" s="398" t="s">
        <v>366</v>
      </c>
      <c r="C1" s="398" t="s">
        <v>500</v>
      </c>
      <c r="D1" s="399" t="s">
        <v>9</v>
      </c>
      <c r="E1" s="399" t="s">
        <v>416</v>
      </c>
      <c r="F1" s="401" t="s">
        <v>683</v>
      </c>
      <c r="G1" s="401" t="s">
        <v>684</v>
      </c>
      <c r="H1" s="401" t="s">
        <v>685</v>
      </c>
      <c r="I1" s="401" t="s">
        <v>686</v>
      </c>
      <c r="J1" s="401" t="s">
        <v>687</v>
      </c>
      <c r="K1" s="401" t="s">
        <v>688</v>
      </c>
      <c r="L1" s="401" t="s">
        <v>689</v>
      </c>
      <c r="M1" s="401" t="s">
        <v>690</v>
      </c>
      <c r="N1" s="400" t="s">
        <v>691</v>
      </c>
      <c r="O1" s="402" t="s">
        <v>692</v>
      </c>
      <c r="P1" s="402" t="s">
        <v>693</v>
      </c>
      <c r="Q1" s="402" t="s">
        <v>694</v>
      </c>
      <c r="R1" s="402" t="s">
        <v>695</v>
      </c>
      <c r="S1" s="402" t="s">
        <v>696</v>
      </c>
      <c r="T1" s="402" t="s">
        <v>697</v>
      </c>
      <c r="U1" s="402" t="s">
        <v>698</v>
      </c>
      <c r="V1" s="402" t="s">
        <v>699</v>
      </c>
      <c r="W1" s="420" t="s">
        <v>700</v>
      </c>
      <c r="X1" s="421" t="s">
        <v>701</v>
      </c>
      <c r="Y1" s="403" t="s">
        <v>702</v>
      </c>
      <c r="Z1" s="404" t="s">
        <v>703</v>
      </c>
      <c r="AA1" s="405" t="s">
        <v>704</v>
      </c>
      <c r="AB1" s="406" t="s">
        <v>705</v>
      </c>
      <c r="AC1" s="404" t="s">
        <v>706</v>
      </c>
      <c r="AD1" s="404" t="s">
        <v>707</v>
      </c>
      <c r="AE1" s="405" t="s">
        <v>708</v>
      </c>
      <c r="AF1" s="405" t="s">
        <v>709</v>
      </c>
      <c r="AG1" s="403" t="s">
        <v>710</v>
      </c>
      <c r="AH1" s="407" t="s">
        <v>711</v>
      </c>
      <c r="AI1" s="408" t="s">
        <v>712</v>
      </c>
      <c r="AJ1" s="407" t="s">
        <v>713</v>
      </c>
      <c r="AK1" s="407" t="s">
        <v>714</v>
      </c>
      <c r="AL1" s="407" t="s">
        <v>715</v>
      </c>
      <c r="AM1" s="408" t="s">
        <v>716</v>
      </c>
      <c r="AN1" s="408" t="s">
        <v>717</v>
      </c>
      <c r="AO1" s="403" t="s">
        <v>718</v>
      </c>
      <c r="AP1" s="409" t="s">
        <v>719</v>
      </c>
      <c r="AQ1" s="410" t="s">
        <v>720</v>
      </c>
      <c r="AR1" s="411" t="s">
        <v>721</v>
      </c>
      <c r="AS1" s="411" t="s">
        <v>722</v>
      </c>
      <c r="AT1" s="411" t="s">
        <v>723</v>
      </c>
      <c r="AU1" s="412" t="s">
        <v>724</v>
      </c>
      <c r="AV1" s="412" t="s">
        <v>725</v>
      </c>
      <c r="AW1" s="413" t="s">
        <v>726</v>
      </c>
    </row>
    <row r="2" spans="1:49" s="415" customFormat="1" ht="38.25" x14ac:dyDescent="0.25">
      <c r="A2" s="381" t="s">
        <v>196</v>
      </c>
      <c r="B2" s="203" t="str">
        <f>VLOOKUP(Table119[[#This Row],[Course]],'TSD-Data'!$A$1:$G$98,7,FALSE)</f>
        <v>N4</v>
      </c>
      <c r="C2" s="203" t="s">
        <v>54</v>
      </c>
      <c r="D2" s="203" t="str">
        <f>VLOOKUP(Table119[[#This Row],[Course]],'TSD-Data'!$A$1:$G$93,2,FALSE)</f>
        <v>A-4J-0022</v>
      </c>
      <c r="E2" s="203" t="str">
        <f>VLOOKUP(Table119[[#This Row],[Course]],'TSD-Data'!$A$1:$G$93,3,FALSE)</f>
        <v>09ER</v>
      </c>
      <c r="F2" s="208">
        <f>COUNTIF(Table2[Course Title],Table119[[#This Row],[Course]])</f>
        <v>10</v>
      </c>
      <c r="G2" s="208">
        <f>VLOOKUP(Table119[[#This Row],[Course]],'TSD-Data'!$A$1:$G$93,4,FALSE)</f>
        <v>45</v>
      </c>
      <c r="H2" s="208">
        <f>SUMIF(Table2[Course Title],Table119[[#This Row],[Course]],Table2[Graduates])</f>
        <v>123</v>
      </c>
      <c r="I2" s="208">
        <f>SUMIF(Table2[Course Title],Table119[[#This Row],[Course]],Table2[Fail])</f>
        <v>4</v>
      </c>
      <c r="J2" s="208">
        <f>SUMIF(Table2[Course Title],Table119[[#This Row],[Course]],Table2[No Shows])</f>
        <v>41</v>
      </c>
      <c r="K2" s="433">
        <f>(Table119[[#This Row],[FY26 Grads]]+Table119[[#This Row],[FY26 Fails]])/Table119[[#This Row],[FY26 Total Courses]]</f>
        <v>12.7</v>
      </c>
      <c r="L2" s="208">
        <v>248</v>
      </c>
      <c r="M2" s="434">
        <f t="shared" ref="M2:M33" si="0">IFERROR((H2+I2)/L2, "0")</f>
        <v>0.51209677419354838</v>
      </c>
      <c r="N2" s="383"/>
      <c r="O2" s="204">
        <v>9</v>
      </c>
      <c r="P2" s="205">
        <v>45</v>
      </c>
      <c r="Q2" s="206">
        <v>204</v>
      </c>
      <c r="R2" s="207">
        <v>10</v>
      </c>
      <c r="S2" s="208">
        <v>50</v>
      </c>
      <c r="T2" s="209">
        <f>(Table119[[#This Row],[FY25 Grads]]+Table119[[#This Row],[FY25 Fails]])/Table119[[#This Row],[FY25 Total Courses]]</f>
        <v>23.777777777777779</v>
      </c>
      <c r="U2" s="210">
        <v>337</v>
      </c>
      <c r="V2" s="211">
        <f t="shared" ref="V2:V31" si="1">IFERROR((Q2+R2)/U2, "N/A")</f>
        <v>0.63501483679525228</v>
      </c>
      <c r="W2" s="422">
        <v>456</v>
      </c>
      <c r="X2" s="423">
        <v>23</v>
      </c>
      <c r="Y2" s="384"/>
      <c r="Z2" s="212">
        <v>10</v>
      </c>
      <c r="AA2" s="213">
        <v>45</v>
      </c>
      <c r="AB2" s="214">
        <v>191</v>
      </c>
      <c r="AC2" s="215">
        <v>2</v>
      </c>
      <c r="AD2" s="216">
        <f t="shared" ref="AD2:AD31" si="2">AVERAGE(AB2+AC2)/Z2</f>
        <v>19.3</v>
      </c>
      <c r="AE2" s="217">
        <v>340</v>
      </c>
      <c r="AF2" s="218">
        <f t="shared" ref="AF2:AF31" si="3">SUM(AB2+AC2)/AE2</f>
        <v>0.56764705882352939</v>
      </c>
      <c r="AG2" s="384"/>
      <c r="AH2" s="205">
        <v>11</v>
      </c>
      <c r="AI2" s="219">
        <v>20</v>
      </c>
      <c r="AJ2" s="208">
        <v>204</v>
      </c>
      <c r="AK2" s="208">
        <v>8</v>
      </c>
      <c r="AL2" s="220">
        <f t="shared" ref="AL2:AL31" si="4">AVERAGE(AJ2+AK2)/AH2</f>
        <v>19.272727272727273</v>
      </c>
      <c r="AM2" s="221">
        <v>220</v>
      </c>
      <c r="AN2" s="218">
        <f t="shared" ref="AN2:AN31" si="5">SUM(AJ2+AK2)/AM2</f>
        <v>0.96363636363636362</v>
      </c>
      <c r="AO2" s="222"/>
      <c r="AP2" s="223">
        <v>19</v>
      </c>
      <c r="AQ2" s="223">
        <v>30</v>
      </c>
      <c r="AR2" s="224">
        <v>209</v>
      </c>
      <c r="AS2" s="224">
        <v>0</v>
      </c>
      <c r="AT2" s="225">
        <v>11</v>
      </c>
      <c r="AU2" s="226">
        <v>570</v>
      </c>
      <c r="AV2" s="227">
        <f t="shared" ref="AV2:AV13" si="6">SUM(AR2+AS2)/AU2</f>
        <v>0.36666666666666664</v>
      </c>
      <c r="AW2" s="381" t="s">
        <v>196</v>
      </c>
    </row>
    <row r="3" spans="1:49" s="415" customFormat="1" x14ac:dyDescent="0.25">
      <c r="A3" s="424" t="s">
        <v>389</v>
      </c>
      <c r="B3" s="203" t="str">
        <f>VLOOKUP(Table119[[#This Row],[Course]],'TSD-Data'!$A$1:$G$98,7,FALSE)</f>
        <v>N3</v>
      </c>
      <c r="C3" s="382" t="s">
        <v>508</v>
      </c>
      <c r="D3" s="203" t="str">
        <f>VLOOKUP(Table119[[#This Row],[Course]],'TSD-Data'!$A$1:$G$93,2,FALSE)</f>
        <v>A-493-0014</v>
      </c>
      <c r="E3" s="203">
        <f>VLOOKUP(Table119[[#This Row],[Course]],'TSD-Data'!$A$1:$G$93,3,FALSE)</f>
        <v>3878</v>
      </c>
      <c r="F3" s="208">
        <f>COUNTIF(Table2[Course Title],Table119[[#This Row],[Course]])</f>
        <v>2</v>
      </c>
      <c r="G3" s="208">
        <f>VLOOKUP(Table119[[#This Row],[Course]],'TSD-Data'!$A$1:$G$93,4,FALSE)</f>
        <v>25</v>
      </c>
      <c r="H3" s="208">
        <f>SUMIF(Table2[Course Title],Table119[[#This Row],[Course]],Table2[Graduates])</f>
        <v>14</v>
      </c>
      <c r="I3" s="208">
        <f>SUMIF(Table2[Course Title],Table119[[#This Row],[Course]],Table2[Fail])</f>
        <v>0</v>
      </c>
      <c r="J3" s="208">
        <f>SUMIF(Table2[Course Title],Table119[[#This Row],[Course]],Table2[No Shows])</f>
        <v>1</v>
      </c>
      <c r="K3" s="433">
        <f>(Table119[[#This Row],[FY26 Grads]]+Table119[[#This Row],[FY26 Fails]])/Table119[[#This Row],[FY26 Total Courses]]</f>
        <v>7</v>
      </c>
      <c r="L3" s="234">
        <v>472</v>
      </c>
      <c r="M3" s="434">
        <f t="shared" si="0"/>
        <v>2.9661016949152543E-2</v>
      </c>
      <c r="N3" s="383"/>
      <c r="O3" s="204">
        <v>3</v>
      </c>
      <c r="P3" s="205">
        <v>25</v>
      </c>
      <c r="Q3" s="206">
        <v>27</v>
      </c>
      <c r="R3" s="207">
        <v>0</v>
      </c>
      <c r="S3" s="208">
        <v>1</v>
      </c>
      <c r="T3" s="209">
        <f>(Table119[[#This Row],[FY25 Grads]]+Table119[[#This Row],[FY25 Fails]])/Table119[[#This Row],[FY25 Total Courses]]</f>
        <v>9</v>
      </c>
      <c r="U3" s="210">
        <v>325</v>
      </c>
      <c r="V3" s="211">
        <f t="shared" si="1"/>
        <v>8.3076923076923076E-2</v>
      </c>
      <c r="W3" s="422">
        <v>463</v>
      </c>
      <c r="X3" s="423">
        <v>19</v>
      </c>
      <c r="Y3" s="384"/>
      <c r="Z3" s="223">
        <v>2</v>
      </c>
      <c r="AA3" s="213">
        <v>25</v>
      </c>
      <c r="AB3" s="228">
        <v>31</v>
      </c>
      <c r="AC3" s="229">
        <v>1</v>
      </c>
      <c r="AD3" s="216">
        <f t="shared" si="2"/>
        <v>16</v>
      </c>
      <c r="AE3" s="217">
        <v>384</v>
      </c>
      <c r="AF3" s="218">
        <f t="shared" si="3"/>
        <v>8.3333333333333329E-2</v>
      </c>
      <c r="AG3" s="384"/>
      <c r="AH3" s="205">
        <v>3</v>
      </c>
      <c r="AI3" s="219">
        <v>25</v>
      </c>
      <c r="AJ3" s="208">
        <v>51</v>
      </c>
      <c r="AK3" s="208">
        <v>0</v>
      </c>
      <c r="AL3" s="220">
        <f t="shared" si="4"/>
        <v>17</v>
      </c>
      <c r="AM3" s="230">
        <v>215</v>
      </c>
      <c r="AN3" s="218">
        <f t="shared" si="5"/>
        <v>0.23720930232558141</v>
      </c>
      <c r="AO3" s="222"/>
      <c r="AP3" s="223">
        <v>1</v>
      </c>
      <c r="AQ3" s="223">
        <v>25</v>
      </c>
      <c r="AR3" s="224">
        <v>10</v>
      </c>
      <c r="AS3" s="224">
        <v>0</v>
      </c>
      <c r="AT3" s="231">
        <f>(Table119[[#This Row],[FY22 Grads]]+Table119[[#This Row],[FY22 Fails]])/Table119[[#This Row],[FY22 Total Courses]]</f>
        <v>10</v>
      </c>
      <c r="AU3" s="226">
        <v>179</v>
      </c>
      <c r="AV3" s="218">
        <f t="shared" si="6"/>
        <v>5.5865921787709494E-2</v>
      </c>
      <c r="AW3" s="441" t="s">
        <v>389</v>
      </c>
    </row>
    <row r="4" spans="1:49" s="415" customFormat="1" ht="25.5" x14ac:dyDescent="0.25">
      <c r="A4" s="381" t="s">
        <v>63</v>
      </c>
      <c r="B4" s="203" t="str">
        <f>VLOOKUP(Table119[[#This Row],[Course]],'TSD-Data'!$A$1:$G$98,7,FALSE)</f>
        <v>N3</v>
      </c>
      <c r="C4" s="382" t="s">
        <v>508</v>
      </c>
      <c r="D4" s="203" t="str">
        <f>VLOOKUP(Table119[[#This Row],[Course]],'TSD-Data'!$A$1:$G$93,2,FALSE)</f>
        <v>A-493-0015</v>
      </c>
      <c r="E4" s="203">
        <f>VLOOKUP(Table119[[#This Row],[Course]],'TSD-Data'!$A$1:$G$93,3,FALSE)</f>
        <v>3879</v>
      </c>
      <c r="F4" s="208">
        <f>COUNTIF(Table2[Course Title],Table119[[#This Row],[Course]])</f>
        <v>4</v>
      </c>
      <c r="G4" s="208">
        <f>VLOOKUP(Table119[[#This Row],[Course]],'TSD-Data'!$A$1:$G$93,4,FALSE)</f>
        <v>30</v>
      </c>
      <c r="H4" s="208">
        <f>SUMIF(Table2[Course Title],Table119[[#This Row],[Course]],Table2[Graduates])</f>
        <v>64</v>
      </c>
      <c r="I4" s="208">
        <f>SUMIF(Table2[Course Title],Table119[[#This Row],[Course]],Table2[Fail])</f>
        <v>0</v>
      </c>
      <c r="J4" s="208">
        <f>SUMIF(Table2[Course Title],Table119[[#This Row],[Course]],Table2[No Shows])</f>
        <v>1</v>
      </c>
      <c r="K4" s="433">
        <f>(Table119[[#This Row],[FY26 Grads]]+Table119[[#This Row],[FY26 Fails]])/Table119[[#This Row],[FY26 Total Courses]]</f>
        <v>16</v>
      </c>
      <c r="L4" s="234">
        <v>216</v>
      </c>
      <c r="M4" s="434">
        <f t="shared" si="0"/>
        <v>0.29629629629629628</v>
      </c>
      <c r="N4" s="383"/>
      <c r="O4" s="204">
        <v>3</v>
      </c>
      <c r="P4" s="205">
        <v>30</v>
      </c>
      <c r="Q4" s="206">
        <v>50</v>
      </c>
      <c r="R4" s="207">
        <v>0</v>
      </c>
      <c r="S4" s="208">
        <v>1</v>
      </c>
      <c r="T4" s="209">
        <f>(Table119[[#This Row],[FY25 Grads]]+Table119[[#This Row],[FY25 Fails]])/Table119[[#This Row],[FY25 Total Courses]]</f>
        <v>16.666666666666668</v>
      </c>
      <c r="U4" s="210">
        <v>341</v>
      </c>
      <c r="V4" s="211">
        <f t="shared" si="1"/>
        <v>0.1466275659824047</v>
      </c>
      <c r="W4" s="422">
        <v>403</v>
      </c>
      <c r="X4" s="423">
        <v>14</v>
      </c>
      <c r="Y4" s="384"/>
      <c r="Z4" s="223">
        <v>4</v>
      </c>
      <c r="AA4" s="213">
        <v>30</v>
      </c>
      <c r="AB4" s="228">
        <v>69</v>
      </c>
      <c r="AC4" s="229">
        <v>1</v>
      </c>
      <c r="AD4" s="216">
        <f t="shared" si="2"/>
        <v>17.5</v>
      </c>
      <c r="AE4" s="217">
        <v>361</v>
      </c>
      <c r="AF4" s="218">
        <f t="shared" si="3"/>
        <v>0.19390581717451524</v>
      </c>
      <c r="AG4" s="384"/>
      <c r="AH4" s="205">
        <v>4</v>
      </c>
      <c r="AI4" s="219">
        <v>30</v>
      </c>
      <c r="AJ4" s="208">
        <v>68</v>
      </c>
      <c r="AK4" s="208">
        <v>0</v>
      </c>
      <c r="AL4" s="220">
        <f t="shared" si="4"/>
        <v>17</v>
      </c>
      <c r="AM4" s="230">
        <v>170</v>
      </c>
      <c r="AN4" s="218">
        <f t="shared" si="5"/>
        <v>0.4</v>
      </c>
      <c r="AO4" s="222"/>
      <c r="AP4" s="223">
        <v>4</v>
      </c>
      <c r="AQ4" s="223">
        <v>25</v>
      </c>
      <c r="AR4" s="224">
        <v>64</v>
      </c>
      <c r="AS4" s="224">
        <v>1</v>
      </c>
      <c r="AT4" s="231">
        <f>(Table119[[#This Row],[FY22 Grads]]+Table119[[#This Row],[FY22 Fails]])/Table119[[#This Row],[FY22 Total Courses]]</f>
        <v>16.25</v>
      </c>
      <c r="AU4" s="226">
        <v>107</v>
      </c>
      <c r="AV4" s="218">
        <f t="shared" si="6"/>
        <v>0.60747663551401865</v>
      </c>
      <c r="AW4" s="381" t="s">
        <v>63</v>
      </c>
    </row>
    <row r="5" spans="1:49" s="415" customFormat="1" ht="28.5" x14ac:dyDescent="0.25">
      <c r="A5" s="424" t="s">
        <v>391</v>
      </c>
      <c r="B5" s="203" t="str">
        <f>VLOOKUP(Table119[[#This Row],[Course]],'TSD-Data'!$A$1:$G$98,7,FALSE)</f>
        <v>N3</v>
      </c>
      <c r="C5" s="382" t="s">
        <v>508</v>
      </c>
      <c r="D5" s="203" t="str">
        <f>VLOOKUP(Table119[[#This Row],[Course]],'TSD-Data'!$A$1:$G$93,2,FALSE)</f>
        <v>A-493-0019</v>
      </c>
      <c r="E5" s="203">
        <f>VLOOKUP(Table119[[#This Row],[Course]],'TSD-Data'!$A$1:$G$93,3,FALSE)</f>
        <v>3882</v>
      </c>
      <c r="F5" s="208">
        <f>COUNTIF(Table2[Course Title],Table119[[#This Row],[Course]])</f>
        <v>2</v>
      </c>
      <c r="G5" s="208">
        <f>VLOOKUP(Table119[[#This Row],[Course]],'TSD-Data'!$A$1:$G$93,4,FALSE)</f>
        <v>25</v>
      </c>
      <c r="H5" s="208">
        <f>SUMIF(Table2[Course Title],Table119[[#This Row],[Course]],Table2[Graduates])</f>
        <v>8</v>
      </c>
      <c r="I5" s="208">
        <f>SUMIF(Table2[Course Title],Table119[[#This Row],[Course]],Table2[Fail])</f>
        <v>0</v>
      </c>
      <c r="J5" s="208">
        <f>SUMIF(Table2[Course Title],Table119[[#This Row],[Course]],Table2[No Shows])</f>
        <v>0</v>
      </c>
      <c r="K5" s="433">
        <f>(Table119[[#This Row],[FY26 Grads]]+Table119[[#This Row],[FY26 Fails]])/Table119[[#This Row],[FY26 Total Courses]]</f>
        <v>4</v>
      </c>
      <c r="L5" s="234">
        <v>181</v>
      </c>
      <c r="M5" s="434">
        <f t="shared" si="0"/>
        <v>4.4198895027624308E-2</v>
      </c>
      <c r="N5" s="383"/>
      <c r="O5" s="204">
        <v>3</v>
      </c>
      <c r="P5" s="205">
        <v>25</v>
      </c>
      <c r="Q5" s="206">
        <v>17</v>
      </c>
      <c r="R5" s="207">
        <v>0</v>
      </c>
      <c r="S5" s="208">
        <v>1</v>
      </c>
      <c r="T5" s="209">
        <f>(Table119[[#This Row],[FY25 Grads]]+Table119[[#This Row],[FY25 Fails]])/Table119[[#This Row],[FY25 Total Courses]]</f>
        <v>5.666666666666667</v>
      </c>
      <c r="U5" s="210">
        <v>128</v>
      </c>
      <c r="V5" s="211">
        <f t="shared" si="1"/>
        <v>0.1328125</v>
      </c>
      <c r="W5" s="422">
        <v>307</v>
      </c>
      <c r="X5" s="423">
        <v>13</v>
      </c>
      <c r="Y5" s="384"/>
      <c r="Z5" s="223">
        <v>2</v>
      </c>
      <c r="AA5" s="213">
        <v>25</v>
      </c>
      <c r="AB5" s="228">
        <v>24</v>
      </c>
      <c r="AC5" s="229">
        <v>0</v>
      </c>
      <c r="AD5" s="216">
        <f t="shared" si="2"/>
        <v>12</v>
      </c>
      <c r="AE5" s="217">
        <v>261</v>
      </c>
      <c r="AF5" s="218">
        <f t="shared" si="3"/>
        <v>9.1954022988505746E-2</v>
      </c>
      <c r="AG5" s="384"/>
      <c r="AH5" s="205">
        <v>3</v>
      </c>
      <c r="AI5" s="219">
        <v>25</v>
      </c>
      <c r="AJ5" s="208">
        <v>26</v>
      </c>
      <c r="AK5" s="208">
        <v>0</v>
      </c>
      <c r="AL5" s="220">
        <f t="shared" si="4"/>
        <v>8.6666666666666661</v>
      </c>
      <c r="AM5" s="230">
        <v>95</v>
      </c>
      <c r="AN5" s="218">
        <f t="shared" si="5"/>
        <v>0.27368421052631581</v>
      </c>
      <c r="AO5" s="222"/>
      <c r="AP5" s="223">
        <v>1</v>
      </c>
      <c r="AQ5" s="223">
        <v>25</v>
      </c>
      <c r="AR5" s="224">
        <v>9</v>
      </c>
      <c r="AS5" s="224">
        <v>0</v>
      </c>
      <c r="AT5" s="231">
        <f>(Table119[[#This Row],[FY22 Grads]]+Table119[[#This Row],[FY22 Fails]])/Table119[[#This Row],[FY22 Total Courses]]</f>
        <v>9</v>
      </c>
      <c r="AU5" s="226">
        <v>82</v>
      </c>
      <c r="AV5" s="218">
        <f t="shared" si="6"/>
        <v>0.10975609756097561</v>
      </c>
      <c r="AW5" s="441" t="s">
        <v>391</v>
      </c>
    </row>
    <row r="6" spans="1:49" s="415" customFormat="1" ht="25.5" x14ac:dyDescent="0.25">
      <c r="A6" s="381" t="s">
        <v>64</v>
      </c>
      <c r="B6" s="203" t="str">
        <f>VLOOKUP(Table119[[#This Row],[Course]],'TSD-Data'!$A$1:$G$98,7,FALSE)</f>
        <v>N3</v>
      </c>
      <c r="C6" s="382" t="s">
        <v>508</v>
      </c>
      <c r="D6" s="203" t="str">
        <f>VLOOKUP(Table119[[#This Row],[Course]],'TSD-Data'!$A$1:$G$93,2,FALSE)</f>
        <v>A-493-0020</v>
      </c>
      <c r="E6" s="203">
        <f>VLOOKUP(Table119[[#This Row],[Course]],'TSD-Data'!$A$1:$G$93,3,FALSE)</f>
        <v>3888</v>
      </c>
      <c r="F6" s="208">
        <f>COUNTIF(Table2[Course Title],Table119[[#This Row],[Course]])</f>
        <v>4</v>
      </c>
      <c r="G6" s="208">
        <f>VLOOKUP(Table119[[#This Row],[Course]],'TSD-Data'!$A$1:$G$93,4,FALSE)</f>
        <v>30</v>
      </c>
      <c r="H6" s="208">
        <f>SUMIF(Table2[Course Title],Table119[[#This Row],[Course]],Table2[Graduates])</f>
        <v>35</v>
      </c>
      <c r="I6" s="208">
        <f>SUMIF(Table2[Course Title],Table119[[#This Row],[Course]],Table2[Fail])</f>
        <v>0</v>
      </c>
      <c r="J6" s="208">
        <f>SUMIF(Table2[Course Title],Table119[[#This Row],[Course]],Table2[No Shows])</f>
        <v>0</v>
      </c>
      <c r="K6" s="433">
        <f>(Table119[[#This Row],[FY26 Grads]]+Table119[[#This Row],[FY26 Fails]])/Table119[[#This Row],[FY26 Total Courses]]</f>
        <v>8.75</v>
      </c>
      <c r="L6" s="234">
        <v>163</v>
      </c>
      <c r="M6" s="434">
        <f t="shared" si="0"/>
        <v>0.21472392638036811</v>
      </c>
      <c r="N6" s="383"/>
      <c r="O6" s="204">
        <v>4</v>
      </c>
      <c r="P6" s="205">
        <v>30</v>
      </c>
      <c r="Q6" s="206">
        <v>49</v>
      </c>
      <c r="R6" s="207">
        <v>0</v>
      </c>
      <c r="S6" s="208">
        <v>3</v>
      </c>
      <c r="T6" s="209">
        <f>(Table119[[#This Row],[FY25 Grads]]+Table119[[#This Row],[FY25 Fails]])/Table119[[#This Row],[FY25 Total Courses]]</f>
        <v>12.25</v>
      </c>
      <c r="U6" s="210">
        <v>171</v>
      </c>
      <c r="V6" s="211">
        <f t="shared" si="1"/>
        <v>0.28654970760233917</v>
      </c>
      <c r="W6" s="422">
        <v>261</v>
      </c>
      <c r="X6" s="423">
        <v>9</v>
      </c>
      <c r="Y6" s="384"/>
      <c r="Z6" s="223">
        <v>4</v>
      </c>
      <c r="AA6" s="213">
        <v>30</v>
      </c>
      <c r="AB6" s="228">
        <v>42</v>
      </c>
      <c r="AC6" s="229">
        <v>0</v>
      </c>
      <c r="AD6" s="216">
        <f t="shared" si="2"/>
        <v>10.5</v>
      </c>
      <c r="AE6" s="217">
        <v>234</v>
      </c>
      <c r="AF6" s="218">
        <f t="shared" si="3"/>
        <v>0.17948717948717949</v>
      </c>
      <c r="AG6" s="384"/>
      <c r="AH6" s="205">
        <v>4</v>
      </c>
      <c r="AI6" s="219">
        <v>30</v>
      </c>
      <c r="AJ6" s="208">
        <v>41</v>
      </c>
      <c r="AK6" s="208">
        <v>0</v>
      </c>
      <c r="AL6" s="220">
        <f t="shared" si="4"/>
        <v>10.25</v>
      </c>
      <c r="AM6" s="230">
        <v>79</v>
      </c>
      <c r="AN6" s="218">
        <f t="shared" si="5"/>
        <v>0.51898734177215189</v>
      </c>
      <c r="AO6" s="222"/>
      <c r="AP6" s="223">
        <v>4</v>
      </c>
      <c r="AQ6" s="223">
        <v>25</v>
      </c>
      <c r="AR6" s="224">
        <v>28</v>
      </c>
      <c r="AS6" s="224">
        <v>0</v>
      </c>
      <c r="AT6" s="231">
        <f>(Table119[[#This Row],[FY22 Grads]]+Table119[[#This Row],[FY22 Fails]])/Table119[[#This Row],[FY22 Total Courses]]</f>
        <v>7</v>
      </c>
      <c r="AU6" s="226">
        <v>76</v>
      </c>
      <c r="AV6" s="218">
        <f t="shared" si="6"/>
        <v>0.36842105263157893</v>
      </c>
      <c r="AW6" s="381" t="s">
        <v>64</v>
      </c>
    </row>
    <row r="7" spans="1:49" s="415" customFormat="1" x14ac:dyDescent="0.25">
      <c r="A7" s="381" t="s">
        <v>154</v>
      </c>
      <c r="B7" s="203" t="str">
        <f>VLOOKUP(Table119[[#This Row],[Course]],'TSD-Data'!$A$1:$G$98,7,FALSE)</f>
        <v>N3</v>
      </c>
      <c r="C7" s="382" t="s">
        <v>508</v>
      </c>
      <c r="D7" s="203" t="str">
        <f>VLOOKUP(Table119[[#This Row],[Course]],'TSD-Data'!$A$1:$G$93,2,FALSE)</f>
        <v>A-493-0069</v>
      </c>
      <c r="E7" s="203" t="str">
        <f>VLOOKUP(Table119[[#This Row],[Course]],'TSD-Data'!$A$1:$G$93,3,FALSE)</f>
        <v>450U</v>
      </c>
      <c r="F7" s="208">
        <f>COUNTIF(Table2[Course Title],Table119[[#This Row],[Course]])</f>
        <v>2</v>
      </c>
      <c r="G7" s="208">
        <f>VLOOKUP(Table119[[#This Row],[Course]],'TSD-Data'!$A$1:$G$93,4,FALSE)</f>
        <v>25</v>
      </c>
      <c r="H7" s="208">
        <f>SUMIF(Table2[Course Title],Table119[[#This Row],[Course]],Table2[Graduates])</f>
        <v>8</v>
      </c>
      <c r="I7" s="208">
        <f>SUMIF(Table2[Course Title],Table119[[#This Row],[Course]],Table2[Fail])</f>
        <v>0</v>
      </c>
      <c r="J7" s="208">
        <f>SUMIF(Table2[Course Title],Table119[[#This Row],[Course]],Table2[No Shows])</f>
        <v>1</v>
      </c>
      <c r="K7" s="433">
        <f>(Table119[[#This Row],[FY26 Grads]]+Table119[[#This Row],[FY26 Fails]])/Table119[[#This Row],[FY26 Total Courses]]</f>
        <v>4</v>
      </c>
      <c r="L7" s="234">
        <v>216</v>
      </c>
      <c r="M7" s="434">
        <f t="shared" si="0"/>
        <v>3.7037037037037035E-2</v>
      </c>
      <c r="N7" s="383"/>
      <c r="O7" s="204">
        <v>3</v>
      </c>
      <c r="P7" s="205">
        <v>25</v>
      </c>
      <c r="Q7" s="206">
        <v>12</v>
      </c>
      <c r="R7" s="207">
        <v>0</v>
      </c>
      <c r="S7" s="208">
        <v>2</v>
      </c>
      <c r="T7" s="209">
        <f>(Table119[[#This Row],[FY25 Grads]]+Table119[[#This Row],[FY25 Fails]])/Table119[[#This Row],[FY25 Total Courses]]</f>
        <v>4</v>
      </c>
      <c r="U7" s="210">
        <v>197</v>
      </c>
      <c r="V7" s="211">
        <f t="shared" si="1"/>
        <v>6.0913705583756347E-2</v>
      </c>
      <c r="W7" s="422">
        <v>330</v>
      </c>
      <c r="X7" s="423">
        <v>14</v>
      </c>
      <c r="Y7" s="384"/>
      <c r="Z7" s="223">
        <v>2</v>
      </c>
      <c r="AA7" s="213">
        <v>25</v>
      </c>
      <c r="AB7" s="228">
        <v>19</v>
      </c>
      <c r="AC7" s="229">
        <v>0</v>
      </c>
      <c r="AD7" s="216">
        <f t="shared" si="2"/>
        <v>9.5</v>
      </c>
      <c r="AE7" s="217">
        <v>291</v>
      </c>
      <c r="AF7" s="218">
        <f t="shared" si="3"/>
        <v>6.5292096219931275E-2</v>
      </c>
      <c r="AG7" s="384"/>
      <c r="AH7" s="205">
        <v>3</v>
      </c>
      <c r="AI7" s="219">
        <v>25</v>
      </c>
      <c r="AJ7" s="208">
        <v>22</v>
      </c>
      <c r="AK7" s="208">
        <v>0</v>
      </c>
      <c r="AL7" s="220">
        <f t="shared" si="4"/>
        <v>7.333333333333333</v>
      </c>
      <c r="AM7" s="230">
        <v>150</v>
      </c>
      <c r="AN7" s="218">
        <f t="shared" si="5"/>
        <v>0.14666666666666667</v>
      </c>
      <c r="AO7" s="222"/>
      <c r="AP7" s="223">
        <v>1</v>
      </c>
      <c r="AQ7" s="223">
        <v>25</v>
      </c>
      <c r="AR7" s="224">
        <v>5</v>
      </c>
      <c r="AS7" s="224">
        <v>0</v>
      </c>
      <c r="AT7" s="231">
        <f>(Table119[[#This Row],[FY22 Grads]]+Table119[[#This Row],[FY22 Fails]])/Table119[[#This Row],[FY22 Total Courses]]</f>
        <v>5</v>
      </c>
      <c r="AU7" s="226">
        <v>96</v>
      </c>
      <c r="AV7" s="218">
        <f t="shared" si="6"/>
        <v>5.2083333333333336E-2</v>
      </c>
      <c r="AW7" s="381" t="s">
        <v>154</v>
      </c>
    </row>
    <row r="8" spans="1:49" s="415" customFormat="1" ht="25.5" x14ac:dyDescent="0.25">
      <c r="A8" s="381" t="s">
        <v>59</v>
      </c>
      <c r="B8" s="203" t="str">
        <f>VLOOKUP(Table119[[#This Row],[Course]],'TSD-Data'!$A$1:$G$98,7,FALSE)</f>
        <v>N3</v>
      </c>
      <c r="C8" s="382" t="s">
        <v>508</v>
      </c>
      <c r="D8" s="203" t="str">
        <f>VLOOKUP(Table119[[#This Row],[Course]],'TSD-Data'!$A$1:$G$93,2,FALSE)</f>
        <v>A-493-0070</v>
      </c>
      <c r="E8" s="203" t="str">
        <f>VLOOKUP(Table119[[#This Row],[Course]],'TSD-Data'!$A$1:$G$93,3,FALSE)</f>
        <v>450V</v>
      </c>
      <c r="F8" s="208">
        <f>COUNTIF(Table2[Course Title],Table119[[#This Row],[Course]])</f>
        <v>4</v>
      </c>
      <c r="G8" s="208">
        <f>VLOOKUP(Table119[[#This Row],[Course]],'TSD-Data'!$A$1:$G$93,4,FALSE)</f>
        <v>30</v>
      </c>
      <c r="H8" s="208">
        <f>SUMIF(Table2[Course Title],Table119[[#This Row],[Course]],Table2[Graduates])</f>
        <v>42</v>
      </c>
      <c r="I8" s="208">
        <f>SUMIF(Table2[Course Title],Table119[[#This Row],[Course]],Table2[Fail])</f>
        <v>0</v>
      </c>
      <c r="J8" s="208">
        <f>SUMIF(Table2[Course Title],Table119[[#This Row],[Course]],Table2[No Shows])</f>
        <v>1</v>
      </c>
      <c r="K8" s="433">
        <f>(Table119[[#This Row],[FY26 Grads]]+Table119[[#This Row],[FY26 Fails]])/Table119[[#This Row],[FY26 Total Courses]]</f>
        <v>10.5</v>
      </c>
      <c r="L8" s="234">
        <v>127</v>
      </c>
      <c r="M8" s="434">
        <f t="shared" si="0"/>
        <v>0.33070866141732286</v>
      </c>
      <c r="N8" s="383"/>
      <c r="O8" s="204">
        <v>4</v>
      </c>
      <c r="P8" s="205">
        <v>30</v>
      </c>
      <c r="Q8" s="206">
        <v>49</v>
      </c>
      <c r="R8" s="207">
        <v>0</v>
      </c>
      <c r="S8" s="208">
        <v>5</v>
      </c>
      <c r="T8" s="209">
        <f>(Table119[[#This Row],[FY25 Grads]]+Table119[[#This Row],[FY25 Fails]])/Table119[[#This Row],[FY25 Total Courses]]</f>
        <v>12.25</v>
      </c>
      <c r="U8" s="210">
        <v>258</v>
      </c>
      <c r="V8" s="211">
        <f t="shared" si="1"/>
        <v>0.18992248062015504</v>
      </c>
      <c r="W8" s="422">
        <v>321</v>
      </c>
      <c r="X8" s="423">
        <v>11</v>
      </c>
      <c r="Y8" s="384"/>
      <c r="Z8" s="223">
        <v>4</v>
      </c>
      <c r="AA8" s="213">
        <v>30</v>
      </c>
      <c r="AB8" s="228">
        <v>46</v>
      </c>
      <c r="AC8" s="229">
        <v>0</v>
      </c>
      <c r="AD8" s="216">
        <f t="shared" si="2"/>
        <v>11.5</v>
      </c>
      <c r="AE8" s="217">
        <v>299</v>
      </c>
      <c r="AF8" s="218">
        <f t="shared" si="3"/>
        <v>0.15384615384615385</v>
      </c>
      <c r="AG8" s="384"/>
      <c r="AH8" s="205">
        <v>4</v>
      </c>
      <c r="AI8" s="219">
        <v>30</v>
      </c>
      <c r="AJ8" s="208">
        <v>53</v>
      </c>
      <c r="AK8" s="208">
        <v>0</v>
      </c>
      <c r="AL8" s="220">
        <f t="shared" si="4"/>
        <v>13.25</v>
      </c>
      <c r="AM8" s="230">
        <v>74</v>
      </c>
      <c r="AN8" s="218">
        <f t="shared" si="5"/>
        <v>0.71621621621621623</v>
      </c>
      <c r="AO8" s="222"/>
      <c r="AP8" s="223">
        <v>4</v>
      </c>
      <c r="AQ8" s="223">
        <v>25</v>
      </c>
      <c r="AR8" s="224">
        <v>57</v>
      </c>
      <c r="AS8" s="224">
        <v>0</v>
      </c>
      <c r="AT8" s="231">
        <f>(Table119[[#This Row],[FY22 Grads]]+Table119[[#This Row],[FY22 Fails]])/Table119[[#This Row],[FY22 Total Courses]]</f>
        <v>14.25</v>
      </c>
      <c r="AU8" s="226">
        <v>69</v>
      </c>
      <c r="AV8" s="218">
        <f t="shared" si="6"/>
        <v>0.82608695652173914</v>
      </c>
      <c r="AW8" s="381" t="s">
        <v>59</v>
      </c>
    </row>
    <row r="9" spans="1:49" s="415" customFormat="1" ht="25.5" x14ac:dyDescent="0.25">
      <c r="A9" s="381" t="s">
        <v>200</v>
      </c>
      <c r="B9" s="203" t="str">
        <f>VLOOKUP(Table119[[#This Row],[Course]],'TSD-Data'!$A$1:$G$98,7,FALSE)</f>
        <v>N8</v>
      </c>
      <c r="C9" s="203" t="s">
        <v>54</v>
      </c>
      <c r="D9" s="203" t="str">
        <f>VLOOKUP(Table119[[#This Row],[Course]],'TSD-Data'!$A$1:$G$93,2,FALSE)</f>
        <v>A-493-0665</v>
      </c>
      <c r="E9" s="203" t="str">
        <f>VLOOKUP(Table119[[#This Row],[Course]],'TSD-Data'!$A$1:$G$93,3,FALSE)</f>
        <v>10KW</v>
      </c>
      <c r="F9" s="208">
        <f>COUNTIF(Table2[Course Title],Table119[[#This Row],[Course]])</f>
        <v>11</v>
      </c>
      <c r="G9" s="208">
        <f>VLOOKUP(Table119[[#This Row],[Course]],'TSD-Data'!$A$1:$G$93,4,FALSE)</f>
        <v>45</v>
      </c>
      <c r="H9" s="208">
        <f>SUMIF(Table2[Course Title],Table119[[#This Row],[Course]],Table2[Graduates])</f>
        <v>235</v>
      </c>
      <c r="I9" s="208">
        <f>SUMIF(Table2[Course Title],Table119[[#This Row],[Course]],Table2[Fail])</f>
        <v>12</v>
      </c>
      <c r="J9" s="208">
        <f>SUMIF(Table2[Course Title],Table119[[#This Row],[Course]],Table2[No Shows])</f>
        <v>30</v>
      </c>
      <c r="K9" s="433">
        <f>(Table119[[#This Row],[FY26 Grads]]+Table119[[#This Row],[FY26 Fails]])/Table119[[#This Row],[FY26 Total Courses]]</f>
        <v>22.454545454545453</v>
      </c>
      <c r="L9" s="208">
        <v>409</v>
      </c>
      <c r="M9" s="434">
        <f t="shared" si="0"/>
        <v>0.60391198044009775</v>
      </c>
      <c r="N9" s="383"/>
      <c r="O9" s="204">
        <v>11</v>
      </c>
      <c r="P9" s="205">
        <v>45</v>
      </c>
      <c r="Q9" s="206">
        <v>292</v>
      </c>
      <c r="R9" s="207">
        <v>7</v>
      </c>
      <c r="S9" s="208">
        <v>46</v>
      </c>
      <c r="T9" s="209">
        <f>(Table119[[#This Row],[FY25 Grads]]+Table119[[#This Row],[FY25 Fails]])/Table119[[#This Row],[FY25 Total Courses]]</f>
        <v>27.181818181818183</v>
      </c>
      <c r="U9" s="210">
        <v>464</v>
      </c>
      <c r="V9" s="211">
        <f t="shared" si="1"/>
        <v>0.6443965517241379</v>
      </c>
      <c r="W9" s="422">
        <v>465</v>
      </c>
      <c r="X9" s="423">
        <v>16</v>
      </c>
      <c r="Y9" s="384"/>
      <c r="Z9" s="223">
        <v>10</v>
      </c>
      <c r="AA9" s="213">
        <v>45</v>
      </c>
      <c r="AB9" s="228">
        <v>262</v>
      </c>
      <c r="AC9" s="229">
        <v>11</v>
      </c>
      <c r="AD9" s="216">
        <f t="shared" si="2"/>
        <v>27.3</v>
      </c>
      <c r="AE9" s="217">
        <v>406</v>
      </c>
      <c r="AF9" s="218">
        <f t="shared" si="3"/>
        <v>0.67241379310344829</v>
      </c>
      <c r="AG9" s="384"/>
      <c r="AH9" s="205">
        <v>17</v>
      </c>
      <c r="AI9" s="219">
        <v>30</v>
      </c>
      <c r="AJ9" s="208">
        <v>284</v>
      </c>
      <c r="AK9" s="208">
        <v>10</v>
      </c>
      <c r="AL9" s="220">
        <f t="shared" si="4"/>
        <v>17.294117647058822</v>
      </c>
      <c r="AM9" s="230">
        <f>228+261</f>
        <v>489</v>
      </c>
      <c r="AN9" s="218">
        <f t="shared" si="5"/>
        <v>0.60122699386503065</v>
      </c>
      <c r="AO9" s="222"/>
      <c r="AP9" s="223">
        <v>10</v>
      </c>
      <c r="AQ9" s="223">
        <v>30</v>
      </c>
      <c r="AR9" s="224">
        <v>249</v>
      </c>
      <c r="AS9" s="224">
        <v>4</v>
      </c>
      <c r="AT9" s="231">
        <f>(Table119[[#This Row],[FY22 Grads]]+Table119[[#This Row],[FY22 Fails]])/Table119[[#This Row],[FY22 Total Courses]]</f>
        <v>25.3</v>
      </c>
      <c r="AU9" s="226">
        <v>352</v>
      </c>
      <c r="AV9" s="218">
        <f t="shared" si="6"/>
        <v>0.71875</v>
      </c>
      <c r="AW9" s="381" t="s">
        <v>200</v>
      </c>
    </row>
    <row r="10" spans="1:49" s="415" customFormat="1" ht="25.5" x14ac:dyDescent="0.25">
      <c r="A10" s="381" t="s">
        <v>520</v>
      </c>
      <c r="B10" s="203" t="str">
        <f>VLOOKUP(Table119[[#This Row],[Course]],'TSD-Data'!$A$1:$G$98,7,FALSE)</f>
        <v>N3</v>
      </c>
      <c r="C10" s="203" t="s">
        <v>54</v>
      </c>
      <c r="D10" s="203" t="str">
        <f>VLOOKUP(Table119[[#This Row],[Course]],'TSD-Data'!$A$1:$G$93,2,FALSE)</f>
        <v>TBD</v>
      </c>
      <c r="E10" s="203" t="str">
        <f>VLOOKUP(Table119[[#This Row],[Course]],'TSD-Data'!$A$1:$G$93,3,FALSE)</f>
        <v>TBD</v>
      </c>
      <c r="F10" s="208">
        <f>COUNTIF(Table2[Course Title],Table119[[#This Row],[Course]])</f>
        <v>0</v>
      </c>
      <c r="G10" s="447">
        <f>VLOOKUP(Table119[[#This Row],[Course]],'TSD-Data'!$A$1:$G$93,4,FALSE)</f>
        <v>45</v>
      </c>
      <c r="H10" s="208">
        <f>SUMIF(Table2[Course Title],Table119[[#This Row],[Course]],Table2[Graduates])</f>
        <v>0</v>
      </c>
      <c r="I10" s="208">
        <f>SUMIF(Table2[Course Title],Table119[[#This Row],[Course]],Table2[Fail])</f>
        <v>0</v>
      </c>
      <c r="J10" s="208">
        <f>SUMIF(Table2[Course Title],Table119[[#This Row],[Course]],Table2[No Shows])</f>
        <v>0</v>
      </c>
      <c r="K10" s="449" t="e">
        <f>(Table119[[#This Row],[FY26 Grads]]+Table119[[#This Row],[FY26 Fails]])/Table119[[#This Row],[FY26 Total Courses]]</f>
        <v>#DIV/0!</v>
      </c>
      <c r="L10" s="449"/>
      <c r="M10" s="450" t="str">
        <f t="shared" si="0"/>
        <v>0</v>
      </c>
      <c r="N10" s="383"/>
      <c r="O10" s="451"/>
      <c r="P10" s="447"/>
      <c r="Q10" s="452"/>
      <c r="R10" s="453"/>
      <c r="S10" s="454"/>
      <c r="T10" s="449" t="e">
        <f>(Table119[[#This Row],[FY25 Grads]]+Table119[[#This Row],[FY25 Fails]])/Table119[[#This Row],[FY25 Total Courses]]</f>
        <v>#DIV/0!</v>
      </c>
      <c r="U10" s="451"/>
      <c r="V10" s="450" t="str">
        <f t="shared" si="1"/>
        <v>N/A</v>
      </c>
      <c r="W10" s="448"/>
      <c r="X10" s="423"/>
      <c r="Y10" s="386"/>
      <c r="Z10" s="455"/>
      <c r="AA10" s="456"/>
      <c r="AB10" s="457"/>
      <c r="AC10" s="458"/>
      <c r="AD10" s="599" t="e">
        <f t="shared" si="2"/>
        <v>#DIV/0!</v>
      </c>
      <c r="AE10" s="459"/>
      <c r="AF10" s="460" t="e">
        <f t="shared" si="3"/>
        <v>#DIV/0!</v>
      </c>
      <c r="AG10" s="387"/>
      <c r="AH10" s="454"/>
      <c r="AI10" s="461"/>
      <c r="AJ10" s="447"/>
      <c r="AK10" s="447"/>
      <c r="AL10" s="462" t="e">
        <f t="shared" si="4"/>
        <v>#DIV/0!</v>
      </c>
      <c r="AM10" s="463"/>
      <c r="AN10" s="464" t="e">
        <f t="shared" si="5"/>
        <v>#DIV/0!</v>
      </c>
      <c r="AO10" s="281"/>
      <c r="AP10" s="465"/>
      <c r="AQ10" s="466"/>
      <c r="AR10" s="466"/>
      <c r="AS10" s="466"/>
      <c r="AT10" s="449"/>
      <c r="AU10" s="467"/>
      <c r="AV10" s="464" t="e">
        <f t="shared" si="6"/>
        <v>#DIV/0!</v>
      </c>
      <c r="AW10" s="381" t="s">
        <v>520</v>
      </c>
    </row>
    <row r="11" spans="1:49" s="415" customFormat="1" ht="45" x14ac:dyDescent="0.25">
      <c r="A11" s="418" t="s">
        <v>276</v>
      </c>
      <c r="B11" s="203" t="str">
        <f>VLOOKUP(Table119[[#This Row],[Course]],'TSD-Data'!$A$1:$G$98,7,FALSE)</f>
        <v>N5</v>
      </c>
      <c r="C11" s="382" t="s">
        <v>508</v>
      </c>
      <c r="D11" s="203" t="str">
        <f>VLOOKUP(Table119[[#This Row],[Course]],'TSD-Data'!$A$1:$G$93,2,FALSE)</f>
        <v>A-493-0103</v>
      </c>
      <c r="E11" s="203" t="str">
        <f>VLOOKUP(Table119[[#This Row],[Course]],'TSD-Data'!$A$1:$G$93,3,FALSE)</f>
        <v>12JY</v>
      </c>
      <c r="F11" s="208">
        <f>COUNTIF(Table2[Course Title],Table119[[#This Row],[Course]])</f>
        <v>50</v>
      </c>
      <c r="G11" s="208">
        <f>VLOOKUP(Table119[[#This Row],[Course]],'TSD-Data'!$A$1:$G$93,4,FALSE)</f>
        <v>25</v>
      </c>
      <c r="H11" s="208">
        <f>SUMIF(Table2[Course Title],Table119[[#This Row],[Course]],Table2[Graduates])</f>
        <v>702</v>
      </c>
      <c r="I11" s="208">
        <f>SUMIF(Table2[Course Title],Table119[[#This Row],[Course]],Table2[Fail])</f>
        <v>0</v>
      </c>
      <c r="J11" s="208">
        <f>SUMIF(Table2[Course Title],Table119[[#This Row],[Course]],Table2[No Shows])</f>
        <v>110</v>
      </c>
      <c r="K11" s="433">
        <f>(Table119[[#This Row],[FY26 Grads]]+Table119[[#This Row],[FY26 Fails]])/Table119[[#This Row],[FY26 Total Courses]]</f>
        <v>14.04</v>
      </c>
      <c r="L11" s="234">
        <v>2190</v>
      </c>
      <c r="M11" s="434">
        <f t="shared" si="0"/>
        <v>0.32054794520547947</v>
      </c>
      <c r="N11" s="383"/>
      <c r="O11" s="204">
        <v>37</v>
      </c>
      <c r="P11" s="205">
        <v>25</v>
      </c>
      <c r="Q11" s="206">
        <v>694</v>
      </c>
      <c r="R11" s="207">
        <v>2</v>
      </c>
      <c r="S11" s="208">
        <v>139</v>
      </c>
      <c r="T11" s="209">
        <f>(Table119[[#This Row],[FY25 Grads]]+Table119[[#This Row],[FY25 Fails]])/Table119[[#This Row],[FY25 Total Courses]]</f>
        <v>18.810810810810811</v>
      </c>
      <c r="U11" s="210">
        <v>2046</v>
      </c>
      <c r="V11" s="211">
        <f t="shared" si="1"/>
        <v>0.34017595307917886</v>
      </c>
      <c r="W11" s="422">
        <v>2230</v>
      </c>
      <c r="X11" s="423">
        <v>90</v>
      </c>
      <c r="Y11" s="384"/>
      <c r="Z11" s="223">
        <v>32</v>
      </c>
      <c r="AA11" s="213">
        <v>25</v>
      </c>
      <c r="AB11" s="233">
        <v>611</v>
      </c>
      <c r="AC11" s="229">
        <v>0</v>
      </c>
      <c r="AD11" s="216">
        <f t="shared" si="2"/>
        <v>19.09375</v>
      </c>
      <c r="AE11" s="217">
        <v>2051</v>
      </c>
      <c r="AF11" s="218">
        <f t="shared" si="3"/>
        <v>0.29790346172598731</v>
      </c>
      <c r="AG11" s="384"/>
      <c r="AH11" s="205">
        <v>21</v>
      </c>
      <c r="AI11" s="219">
        <v>25</v>
      </c>
      <c r="AJ11" s="208">
        <v>435</v>
      </c>
      <c r="AK11" s="208">
        <v>1</v>
      </c>
      <c r="AL11" s="220">
        <f t="shared" si="4"/>
        <v>20.761904761904763</v>
      </c>
      <c r="AM11" s="230">
        <v>408</v>
      </c>
      <c r="AN11" s="218">
        <f t="shared" si="5"/>
        <v>1.0686274509803921</v>
      </c>
      <c r="AO11" s="222"/>
      <c r="AP11" s="223">
        <v>18</v>
      </c>
      <c r="AQ11" s="223">
        <v>25</v>
      </c>
      <c r="AR11" s="224">
        <v>328</v>
      </c>
      <c r="AS11" s="224">
        <v>1</v>
      </c>
      <c r="AT11" s="231">
        <f>(Table119[[#This Row],[FY22 Grads]]+Table119[[#This Row],[FY22 Fails]])/Table119[[#This Row],[FY22 Total Courses]]</f>
        <v>18.277777777777779</v>
      </c>
      <c r="AU11" s="226">
        <v>365</v>
      </c>
      <c r="AV11" s="218">
        <f t="shared" si="6"/>
        <v>0.90136986301369859</v>
      </c>
      <c r="AW11" s="232" t="s">
        <v>276</v>
      </c>
    </row>
    <row r="12" spans="1:49" s="415" customFormat="1" x14ac:dyDescent="0.25">
      <c r="A12" s="418" t="s">
        <v>395</v>
      </c>
      <c r="B12" s="203" t="str">
        <f>VLOOKUP(Table119[[#This Row],[Course]],'TSD-Data'!$A$1:$G$98,7,FALSE)</f>
        <v>N3</v>
      </c>
      <c r="C12" s="382" t="s">
        <v>508</v>
      </c>
      <c r="D12" s="203" t="str">
        <f>VLOOKUP(Table119[[#This Row],[Course]],'TSD-Data'!$A$1:$G$93,2,FALSE)</f>
        <v>A-493-0030</v>
      </c>
      <c r="E12" s="203" t="str">
        <f>VLOOKUP(Table119[[#This Row],[Course]],'TSD-Data'!$A$1:$G$93,3,FALSE)</f>
        <v>286X</v>
      </c>
      <c r="F12" s="208">
        <f>COUNTIF(Table2[Course Title],Table119[[#This Row],[Course]])</f>
        <v>5</v>
      </c>
      <c r="G12" s="208">
        <f>VLOOKUP(Table119[[#This Row],[Course]],'TSD-Data'!$A$1:$G$93,4,FALSE)</f>
        <v>25</v>
      </c>
      <c r="H12" s="208">
        <f>SUMIF(Table2[Course Title],Table119[[#This Row],[Course]],Table2[Graduates])</f>
        <v>31</v>
      </c>
      <c r="I12" s="208">
        <f>SUMIF(Table2[Course Title],Table119[[#This Row],[Course]],Table2[Fail])</f>
        <v>2</v>
      </c>
      <c r="J12" s="208">
        <f>SUMIF(Table2[Course Title],Table119[[#This Row],[Course]],Table2[No Shows])</f>
        <v>14</v>
      </c>
      <c r="K12" s="433">
        <f>(Table119[[#This Row],[FY26 Grads]]+Table119[[#This Row],[FY26 Fails]])/Table119[[#This Row],[FY26 Total Courses]]</f>
        <v>6.6</v>
      </c>
      <c r="L12" s="234">
        <v>932</v>
      </c>
      <c r="M12" s="434">
        <f t="shared" si="0"/>
        <v>3.5407725321888413E-2</v>
      </c>
      <c r="N12" s="383"/>
      <c r="O12" s="204">
        <v>6</v>
      </c>
      <c r="P12" s="205">
        <v>25</v>
      </c>
      <c r="Q12" s="206">
        <v>103</v>
      </c>
      <c r="R12" s="207">
        <v>8</v>
      </c>
      <c r="S12" s="208">
        <v>30</v>
      </c>
      <c r="T12" s="209">
        <f>(Table119[[#This Row],[FY25 Grads]]+Table119[[#This Row],[FY25 Fails]])/Table119[[#This Row],[FY25 Total Courses]]</f>
        <v>18.5</v>
      </c>
      <c r="U12" s="210">
        <v>707</v>
      </c>
      <c r="V12" s="211">
        <f t="shared" si="1"/>
        <v>0.15700141442715701</v>
      </c>
      <c r="W12" s="422">
        <v>821</v>
      </c>
      <c r="X12" s="423">
        <v>33</v>
      </c>
      <c r="Y12" s="384"/>
      <c r="Z12" s="223">
        <v>10</v>
      </c>
      <c r="AA12" s="213">
        <v>25</v>
      </c>
      <c r="AB12" s="233">
        <v>145</v>
      </c>
      <c r="AC12" s="229">
        <v>12</v>
      </c>
      <c r="AD12" s="216">
        <f t="shared" si="2"/>
        <v>15.7</v>
      </c>
      <c r="AE12" s="217">
        <v>860</v>
      </c>
      <c r="AF12" s="218">
        <f t="shared" si="3"/>
        <v>0.18255813953488373</v>
      </c>
      <c r="AG12" s="384"/>
      <c r="AH12" s="205">
        <v>7</v>
      </c>
      <c r="AI12" s="219">
        <v>25</v>
      </c>
      <c r="AJ12" s="208">
        <v>124</v>
      </c>
      <c r="AK12" s="208">
        <v>19</v>
      </c>
      <c r="AL12" s="220">
        <f t="shared" si="4"/>
        <v>20.428571428571427</v>
      </c>
      <c r="AM12" s="230">
        <v>603</v>
      </c>
      <c r="AN12" s="218">
        <f t="shared" si="5"/>
        <v>0.23714759535655058</v>
      </c>
      <c r="AO12" s="222"/>
      <c r="AP12" s="223">
        <v>5</v>
      </c>
      <c r="AQ12" s="223">
        <v>25</v>
      </c>
      <c r="AR12" s="224">
        <v>82</v>
      </c>
      <c r="AS12" s="224">
        <v>9</v>
      </c>
      <c r="AT12" s="231">
        <f>(Table119[[#This Row],[FY22 Grads]]+Table119[[#This Row],[FY22 Fails]])/Table119[[#This Row],[FY22 Total Courses]]</f>
        <v>18.2</v>
      </c>
      <c r="AU12" s="226">
        <v>602</v>
      </c>
      <c r="AV12" s="218">
        <f t="shared" si="6"/>
        <v>0.15116279069767441</v>
      </c>
      <c r="AW12" s="232" t="s">
        <v>395</v>
      </c>
    </row>
    <row r="13" spans="1:49" s="415" customFormat="1" ht="30" x14ac:dyDescent="0.25">
      <c r="A13" s="418" t="s">
        <v>157</v>
      </c>
      <c r="B13" s="203" t="str">
        <f>VLOOKUP(Table119[[#This Row],[Course]],'TSD-Data'!$A$1:$G$98,7,FALSE)</f>
        <v>N5</v>
      </c>
      <c r="C13" s="382" t="s">
        <v>508</v>
      </c>
      <c r="D13" s="203" t="str">
        <f>VLOOKUP(Table119[[#This Row],[Course]],'TSD-Data'!$A$1:$G$93,2,FALSE)</f>
        <v>A-493-0021</v>
      </c>
      <c r="E13" s="203" t="str">
        <f>VLOOKUP(Table119[[#This Row],[Course]],'TSD-Data'!$A$1:$G$93,3,FALSE)</f>
        <v>18BN</v>
      </c>
      <c r="F13" s="208">
        <f>COUNTIF(Table2[Course Title],Table119[[#This Row],[Course]])</f>
        <v>5</v>
      </c>
      <c r="G13" s="208">
        <f>VLOOKUP(Table119[[#This Row],[Course]],'TSD-Data'!$A$1:$G$93,4,FALSE)</f>
        <v>35</v>
      </c>
      <c r="H13" s="208">
        <f>SUMIF(Table2[Course Title],Table119[[#This Row],[Course]],Table2[Graduates])</f>
        <v>53</v>
      </c>
      <c r="I13" s="208">
        <f>SUMIF(Table2[Course Title],Table119[[#This Row],[Course]],Table2[Fail])</f>
        <v>1</v>
      </c>
      <c r="J13" s="208">
        <f>SUMIF(Table2[Course Title],Table119[[#This Row],[Course]],Table2[No Shows])</f>
        <v>7</v>
      </c>
      <c r="K13" s="433">
        <f>(Table119[[#This Row],[FY26 Grads]]+Table119[[#This Row],[FY26 Fails]])/Table119[[#This Row],[FY26 Total Courses]]</f>
        <v>10.8</v>
      </c>
      <c r="L13" s="234">
        <v>475</v>
      </c>
      <c r="M13" s="434">
        <f t="shared" si="0"/>
        <v>0.11368421052631579</v>
      </c>
      <c r="N13" s="383"/>
      <c r="O13" s="204">
        <v>3</v>
      </c>
      <c r="P13" s="205">
        <v>35</v>
      </c>
      <c r="Q13" s="206">
        <v>45</v>
      </c>
      <c r="R13" s="207">
        <v>0</v>
      </c>
      <c r="S13" s="208">
        <v>8</v>
      </c>
      <c r="T13" s="209">
        <f>(Table119[[#This Row],[FY25 Grads]]+Table119[[#This Row],[FY25 Fails]])/Table119[[#This Row],[FY25 Total Courses]]</f>
        <v>15</v>
      </c>
      <c r="U13" s="210">
        <v>620</v>
      </c>
      <c r="V13" s="211">
        <f t="shared" si="1"/>
        <v>7.2580645161290328E-2</v>
      </c>
      <c r="W13" s="422">
        <v>418</v>
      </c>
      <c r="X13" s="423">
        <v>12</v>
      </c>
      <c r="Y13" s="384"/>
      <c r="Z13" s="223">
        <v>7</v>
      </c>
      <c r="AA13" s="213">
        <v>35</v>
      </c>
      <c r="AB13" s="228">
        <v>126</v>
      </c>
      <c r="AC13" s="229">
        <v>1</v>
      </c>
      <c r="AD13" s="216">
        <f t="shared" si="2"/>
        <v>18.142857142857142</v>
      </c>
      <c r="AE13" s="217">
        <v>494</v>
      </c>
      <c r="AF13" s="218">
        <f t="shared" si="3"/>
        <v>0.25708502024291496</v>
      </c>
      <c r="AG13" s="384"/>
      <c r="AH13" s="205">
        <v>2</v>
      </c>
      <c r="AI13" s="219">
        <v>35</v>
      </c>
      <c r="AJ13" s="208">
        <v>40</v>
      </c>
      <c r="AK13" s="208">
        <v>0</v>
      </c>
      <c r="AL13" s="220">
        <f t="shared" si="4"/>
        <v>20</v>
      </c>
      <c r="AM13" s="230">
        <v>266</v>
      </c>
      <c r="AN13" s="218">
        <f t="shared" si="5"/>
        <v>0.15037593984962405</v>
      </c>
      <c r="AO13" s="222"/>
      <c r="AP13" s="223">
        <v>1</v>
      </c>
      <c r="AQ13" s="223">
        <v>25</v>
      </c>
      <c r="AR13" s="224">
        <v>17</v>
      </c>
      <c r="AS13" s="224">
        <v>0</v>
      </c>
      <c r="AT13" s="231">
        <f>(Table119[[#This Row],[FY22 Grads]]+Table119[[#This Row],[FY22 Fails]])/Table119[[#This Row],[FY22 Total Courses]]</f>
        <v>17</v>
      </c>
      <c r="AU13" s="226">
        <v>353</v>
      </c>
      <c r="AV13" s="218">
        <f t="shared" si="6"/>
        <v>4.8158640226628892E-2</v>
      </c>
      <c r="AW13" s="232" t="s">
        <v>157</v>
      </c>
    </row>
    <row r="14" spans="1:49" s="415" customFormat="1" ht="25.5" x14ac:dyDescent="0.25">
      <c r="A14" s="381" t="s">
        <v>65</v>
      </c>
      <c r="B14" s="203" t="str">
        <f>VLOOKUP(Table119[[#This Row],[Course]],'TSD-Data'!$A$1:$G$98,7,FALSE)</f>
        <v>N3</v>
      </c>
      <c r="C14" s="382" t="s">
        <v>508</v>
      </c>
      <c r="D14" s="203" t="str">
        <f>VLOOKUP(Table119[[#This Row],[Course]],'TSD-Data'!$A$1:$G$93,2,FALSE)</f>
        <v>A-760-2166</v>
      </c>
      <c r="E14" s="203" t="str">
        <f>VLOOKUP(Table119[[#This Row],[Course]],'TSD-Data'!$A$1:$G$93,3,FALSE)</f>
        <v>438J</v>
      </c>
      <c r="F14" s="208">
        <f>COUNTIF(Table2[Course Title],Table119[[#This Row],[Course]])</f>
        <v>1</v>
      </c>
      <c r="G14" s="208">
        <f>VLOOKUP(Table119[[#This Row],[Course]],'TSD-Data'!$A$1:$G$93,4,FALSE)</f>
        <v>25</v>
      </c>
      <c r="H14" s="208">
        <f>SUMIF(Table2[Course Title],Table119[[#This Row],[Course]],Table2[Graduates])</f>
        <v>9</v>
      </c>
      <c r="I14" s="208">
        <f>SUMIF(Table2[Course Title],Table119[[#This Row],[Course]],Table2[Fail])</f>
        <v>0</v>
      </c>
      <c r="J14" s="208">
        <f>SUMIF(Table2[Course Title],Table119[[#This Row],[Course]],Table2[No Shows])</f>
        <v>2</v>
      </c>
      <c r="K14" s="433">
        <f>(Table119[[#This Row],[FY26 Grads]]+Table119[[#This Row],[FY26 Fails]])/Table119[[#This Row],[FY26 Total Courses]]</f>
        <v>9</v>
      </c>
      <c r="L14" s="234">
        <v>185</v>
      </c>
      <c r="M14" s="434">
        <f t="shared" si="0"/>
        <v>4.8648648648648651E-2</v>
      </c>
      <c r="N14" s="383"/>
      <c r="O14" s="204">
        <v>1</v>
      </c>
      <c r="P14" s="205">
        <v>25</v>
      </c>
      <c r="Q14" s="206">
        <v>12</v>
      </c>
      <c r="R14" s="234">
        <v>0</v>
      </c>
      <c r="S14" s="208">
        <v>0</v>
      </c>
      <c r="T14" s="209">
        <f>(Table119[[#This Row],[FY25 Grads]]+Table119[[#This Row],[FY25 Fails]])/Table119[[#This Row],[FY25 Total Courses]]</f>
        <v>12</v>
      </c>
      <c r="U14" s="210">
        <v>61</v>
      </c>
      <c r="V14" s="211">
        <f t="shared" si="1"/>
        <v>0.19672131147540983</v>
      </c>
      <c r="W14" s="422">
        <v>131</v>
      </c>
      <c r="X14" s="423">
        <v>6</v>
      </c>
      <c r="Y14" s="384"/>
      <c r="Z14" s="223">
        <v>1</v>
      </c>
      <c r="AA14" s="213">
        <v>25</v>
      </c>
      <c r="AB14" s="228">
        <v>7</v>
      </c>
      <c r="AC14" s="229">
        <v>0</v>
      </c>
      <c r="AD14" s="216">
        <f t="shared" si="2"/>
        <v>7</v>
      </c>
      <c r="AE14" s="217">
        <v>113</v>
      </c>
      <c r="AF14" s="218">
        <f t="shared" si="3"/>
        <v>6.1946902654867256E-2</v>
      </c>
      <c r="AG14" s="384"/>
      <c r="AH14" s="205">
        <v>2</v>
      </c>
      <c r="AI14" s="219">
        <v>25</v>
      </c>
      <c r="AJ14" s="208">
        <v>25</v>
      </c>
      <c r="AK14" s="208">
        <v>1</v>
      </c>
      <c r="AL14" s="220">
        <f t="shared" si="4"/>
        <v>13</v>
      </c>
      <c r="AM14" s="230">
        <v>30</v>
      </c>
      <c r="AN14" s="218">
        <f t="shared" si="5"/>
        <v>0.8666666666666667</v>
      </c>
      <c r="AO14" s="222"/>
      <c r="AP14" s="223"/>
      <c r="AQ14" s="223"/>
      <c r="AR14" s="235"/>
      <c r="AS14" s="235"/>
      <c r="AT14" s="231"/>
      <c r="AU14" s="226"/>
      <c r="AV14" s="218"/>
      <c r="AW14" s="381" t="s">
        <v>65</v>
      </c>
    </row>
    <row r="15" spans="1:49" s="415" customFormat="1" ht="30" x14ac:dyDescent="0.25">
      <c r="A15" s="418" t="s">
        <v>49</v>
      </c>
      <c r="B15" s="203" t="str">
        <f>VLOOKUP(Table119[[#This Row],[Course]],'TSD-Data'!$A$1:$G$98,7,FALSE)</f>
        <v>N4</v>
      </c>
      <c r="C15" s="382" t="s">
        <v>508</v>
      </c>
      <c r="D15" s="203" t="str">
        <f>VLOOKUP(Table119[[#This Row],[Course]],'TSD-Data'!$A$1:$G$93,2,FALSE)</f>
        <v>A-493-0012</v>
      </c>
      <c r="E15" s="203">
        <f>VLOOKUP(Table119[[#This Row],[Course]],'TSD-Data'!$A$1:$G$93,3,FALSE)</f>
        <v>3682</v>
      </c>
      <c r="F15" s="208">
        <f>COUNTIF(Table2[Course Title],Table119[[#This Row],[Course]])</f>
        <v>19</v>
      </c>
      <c r="G15" s="208">
        <f>VLOOKUP(Table119[[#This Row],[Course]],'TSD-Data'!$A$1:$G$93,4,FALSE)</f>
        <v>40</v>
      </c>
      <c r="H15" s="208">
        <f>SUMIF(Table2[Course Title],Table119[[#This Row],[Course]],Table2[Graduates])</f>
        <v>414</v>
      </c>
      <c r="I15" s="208">
        <f>SUMIF(Table2[Course Title],Table119[[#This Row],[Course]],Table2[Fail])</f>
        <v>6</v>
      </c>
      <c r="J15" s="208">
        <f>SUMIF(Table2[Course Title],Table119[[#This Row],[Course]],Table2[No Shows])</f>
        <v>53</v>
      </c>
      <c r="K15" s="433">
        <f>(Table119[[#This Row],[FY26 Grads]]+Table119[[#This Row],[FY26 Fails]])/Table119[[#This Row],[FY26 Total Courses]]</f>
        <v>22.105263157894736</v>
      </c>
      <c r="L15" s="208">
        <v>1008</v>
      </c>
      <c r="M15" s="434">
        <f t="shared" si="0"/>
        <v>0.41666666666666669</v>
      </c>
      <c r="N15" s="383"/>
      <c r="O15" s="204">
        <v>29</v>
      </c>
      <c r="P15" s="205">
        <v>40</v>
      </c>
      <c r="Q15" s="236">
        <v>700</v>
      </c>
      <c r="R15" s="234">
        <v>6</v>
      </c>
      <c r="S15" s="208">
        <v>120</v>
      </c>
      <c r="T15" s="209">
        <f>(Table119[[#This Row],[FY25 Grads]]+Table119[[#This Row],[FY25 Fails]])/Table119[[#This Row],[FY25 Total Courses]]</f>
        <v>24.344827586206897</v>
      </c>
      <c r="U15" s="210">
        <v>661</v>
      </c>
      <c r="V15" s="211">
        <f t="shared" si="1"/>
        <v>1.0680786686838124</v>
      </c>
      <c r="W15" s="425">
        <v>571</v>
      </c>
      <c r="X15" s="426">
        <v>15</v>
      </c>
      <c r="Y15" s="384"/>
      <c r="Z15" s="212">
        <v>20</v>
      </c>
      <c r="AA15" s="213">
        <v>40</v>
      </c>
      <c r="AB15" s="214">
        <v>520</v>
      </c>
      <c r="AC15" s="215">
        <v>35</v>
      </c>
      <c r="AD15" s="216">
        <f t="shared" si="2"/>
        <v>27.75</v>
      </c>
      <c r="AE15" s="217">
        <v>573</v>
      </c>
      <c r="AF15" s="218">
        <f t="shared" si="3"/>
        <v>0.96858638743455494</v>
      </c>
      <c r="AG15" s="384"/>
      <c r="AH15" s="205">
        <v>23</v>
      </c>
      <c r="AI15" s="237">
        <v>40</v>
      </c>
      <c r="AJ15" s="208">
        <v>610</v>
      </c>
      <c r="AK15" s="208">
        <v>3</v>
      </c>
      <c r="AL15" s="220">
        <f t="shared" si="4"/>
        <v>26.652173913043477</v>
      </c>
      <c r="AM15" s="221">
        <v>760</v>
      </c>
      <c r="AN15" s="218">
        <f t="shared" si="5"/>
        <v>0.80657894736842106</v>
      </c>
      <c r="AO15" s="222"/>
      <c r="AP15" s="223"/>
      <c r="AQ15" s="223"/>
      <c r="AR15" s="224"/>
      <c r="AS15" s="224"/>
      <c r="AT15" s="225"/>
      <c r="AU15" s="226"/>
      <c r="AV15" s="227"/>
      <c r="AW15" s="232" t="s">
        <v>49</v>
      </c>
    </row>
    <row r="16" spans="1:49" s="415" customFormat="1" ht="30" x14ac:dyDescent="0.25">
      <c r="A16" s="418" t="s">
        <v>45</v>
      </c>
      <c r="B16" s="203" t="str">
        <f>VLOOKUP(Table119[[#This Row],[Course]],'TSD-Data'!$A$1:$G$98,7,FALSE)</f>
        <v>N4</v>
      </c>
      <c r="C16" s="382" t="s">
        <v>508</v>
      </c>
      <c r="D16" s="203" t="str">
        <f>VLOOKUP(Table119[[#This Row],[Course]],'TSD-Data'!$A$1:$G$93,2,FALSE)</f>
        <v>A-493-0013</v>
      </c>
      <c r="E16" s="203">
        <f>VLOOKUP(Table119[[#This Row],[Course]],'TSD-Data'!$A$1:$G$93,3,FALSE)</f>
        <v>3683</v>
      </c>
      <c r="F16" s="208">
        <f>COUNTIF(Table2[Course Title],Table119[[#This Row],[Course]])</f>
        <v>9</v>
      </c>
      <c r="G16" s="208">
        <f>VLOOKUP(Table119[[#This Row],[Course]],'TSD-Data'!$A$1:$G$93,4,FALSE)</f>
        <v>40</v>
      </c>
      <c r="H16" s="208">
        <f>SUMIF(Table2[Course Title],Table119[[#This Row],[Course]],Table2[Graduates])</f>
        <v>138</v>
      </c>
      <c r="I16" s="208">
        <f>SUMIF(Table2[Course Title],Table119[[#This Row],[Course]],Table2[Fail])</f>
        <v>0</v>
      </c>
      <c r="J16" s="208">
        <f>SUMIF(Table2[Course Title],Table119[[#This Row],[Course]],Table2[No Shows])</f>
        <v>15</v>
      </c>
      <c r="K16" s="433">
        <f>(Table119[[#This Row],[FY26 Grads]]+Table119[[#This Row],[FY26 Fails]])/Table119[[#This Row],[FY26 Total Courses]]</f>
        <v>15.333333333333334</v>
      </c>
      <c r="L16" s="208">
        <v>1204</v>
      </c>
      <c r="M16" s="434">
        <f t="shared" si="0"/>
        <v>0.11461794019933555</v>
      </c>
      <c r="N16" s="383"/>
      <c r="O16" s="204">
        <v>20</v>
      </c>
      <c r="P16" s="204">
        <v>40</v>
      </c>
      <c r="Q16" s="238">
        <v>322</v>
      </c>
      <c r="R16" s="234">
        <v>3</v>
      </c>
      <c r="S16" s="210">
        <v>49</v>
      </c>
      <c r="T16" s="209">
        <f>(Table119[[#This Row],[FY25 Grads]]+Table119[[#This Row],[FY25 Fails]])/Table119[[#This Row],[FY25 Total Courses]]</f>
        <v>16.25</v>
      </c>
      <c r="U16" s="210">
        <v>787</v>
      </c>
      <c r="V16" s="211">
        <f t="shared" si="1"/>
        <v>0.41296060991105465</v>
      </c>
      <c r="W16" s="422">
        <v>381</v>
      </c>
      <c r="X16" s="427">
        <v>10</v>
      </c>
      <c r="Y16" s="384"/>
      <c r="Z16" s="212">
        <v>23</v>
      </c>
      <c r="AA16" s="213">
        <v>40</v>
      </c>
      <c r="AB16" s="214">
        <v>401</v>
      </c>
      <c r="AC16" s="215">
        <v>19</v>
      </c>
      <c r="AD16" s="216">
        <f t="shared" si="2"/>
        <v>18.260869565217391</v>
      </c>
      <c r="AE16" s="217">
        <v>473</v>
      </c>
      <c r="AF16" s="218">
        <f t="shared" si="3"/>
        <v>0.88794926004228325</v>
      </c>
      <c r="AG16" s="384"/>
      <c r="AH16" s="204">
        <v>25</v>
      </c>
      <c r="AI16" s="239">
        <v>40</v>
      </c>
      <c r="AJ16" s="210">
        <v>469</v>
      </c>
      <c r="AK16" s="210">
        <v>15</v>
      </c>
      <c r="AL16" s="220">
        <f t="shared" si="4"/>
        <v>19.36</v>
      </c>
      <c r="AM16" s="221">
        <v>1000</v>
      </c>
      <c r="AN16" s="218">
        <f t="shared" si="5"/>
        <v>0.48399999999999999</v>
      </c>
      <c r="AO16" s="222"/>
      <c r="AP16" s="223"/>
      <c r="AQ16" s="223"/>
      <c r="AR16" s="224"/>
      <c r="AS16" s="224"/>
      <c r="AT16" s="225"/>
      <c r="AU16" s="226"/>
      <c r="AV16" s="227"/>
      <c r="AW16" s="232" t="s">
        <v>45</v>
      </c>
    </row>
    <row r="17" spans="1:49" s="415" customFormat="1" ht="45" x14ac:dyDescent="0.25">
      <c r="A17" s="419" t="s">
        <v>275</v>
      </c>
      <c r="B17" s="203" t="str">
        <f>VLOOKUP(Table119[[#This Row],[Course]],'TSD-Data'!$A$1:$G$98,7,FALSE)</f>
        <v>N5</v>
      </c>
      <c r="C17" s="203" t="s">
        <v>54</v>
      </c>
      <c r="D17" s="203" t="str">
        <f>VLOOKUP(Table119[[#This Row],[Course]],'TSD-Data'!$A$1:$G$93,2,FALSE)</f>
        <v>A-493-0099</v>
      </c>
      <c r="E17" s="203" t="str">
        <f>VLOOKUP(Table119[[#This Row],[Course]],'TSD-Data'!$A$1:$G$93,3,FALSE)</f>
        <v>12JW</v>
      </c>
      <c r="F17" s="208">
        <f>COUNTIF(Table2[Course Title],Table119[[#This Row],[Course]])</f>
        <v>20</v>
      </c>
      <c r="G17" s="208">
        <f>VLOOKUP(Table119[[#This Row],[Course]],'TSD-Data'!$A$1:$G$93,4,FALSE)</f>
        <v>45</v>
      </c>
      <c r="H17" s="208">
        <f>SUMIF(Table2[Course Title],Table119[[#This Row],[Course]],Table2[Graduates])</f>
        <v>393</v>
      </c>
      <c r="I17" s="208">
        <f>SUMIF(Table2[Course Title],Table119[[#This Row],[Course]],Table2[Fail])</f>
        <v>6</v>
      </c>
      <c r="J17" s="208">
        <f>SUMIF(Table2[Course Title],Table119[[#This Row],[Course]],Table2[No Shows])</f>
        <v>72</v>
      </c>
      <c r="K17" s="433">
        <f>(Table119[[#This Row],[FY26 Grads]]+Table119[[#This Row],[FY26 Fails]])/Table119[[#This Row],[FY26 Total Courses]]</f>
        <v>19.95</v>
      </c>
      <c r="L17" s="208">
        <v>1231</v>
      </c>
      <c r="M17" s="434">
        <f t="shared" si="0"/>
        <v>0.32412672623883021</v>
      </c>
      <c r="N17" s="383"/>
      <c r="O17" s="204">
        <v>21</v>
      </c>
      <c r="P17" s="205">
        <v>45</v>
      </c>
      <c r="Q17" s="206">
        <v>493</v>
      </c>
      <c r="R17" s="234">
        <v>5</v>
      </c>
      <c r="S17" s="208">
        <v>113</v>
      </c>
      <c r="T17" s="209">
        <f>(Table119[[#This Row],[FY25 Grads]]+Table119[[#This Row],[FY25 Fails]])/Table119[[#This Row],[FY25 Total Courses]]</f>
        <v>23.714285714285715</v>
      </c>
      <c r="U17" s="210">
        <v>915</v>
      </c>
      <c r="V17" s="211">
        <f t="shared" si="1"/>
        <v>0.54426229508196722</v>
      </c>
      <c r="W17" s="422">
        <v>915</v>
      </c>
      <c r="X17" s="423">
        <v>31</v>
      </c>
      <c r="Y17" s="384"/>
      <c r="Z17" s="223">
        <v>16</v>
      </c>
      <c r="AA17" s="213">
        <v>45</v>
      </c>
      <c r="AB17" s="228">
        <v>486</v>
      </c>
      <c r="AC17" s="229">
        <v>2</v>
      </c>
      <c r="AD17" s="216">
        <f t="shared" si="2"/>
        <v>30.5</v>
      </c>
      <c r="AE17" s="217">
        <v>851</v>
      </c>
      <c r="AF17" s="218">
        <f t="shared" si="3"/>
        <v>0.57344300822561689</v>
      </c>
      <c r="AG17" s="384"/>
      <c r="AH17" s="205">
        <v>15</v>
      </c>
      <c r="AI17" s="219">
        <v>30</v>
      </c>
      <c r="AJ17" s="208">
        <v>400</v>
      </c>
      <c r="AK17" s="208">
        <v>4</v>
      </c>
      <c r="AL17" s="220">
        <f t="shared" si="4"/>
        <v>26.933333333333334</v>
      </c>
      <c r="AM17" s="230">
        <v>273</v>
      </c>
      <c r="AN17" s="241">
        <f t="shared" si="5"/>
        <v>1.4798534798534799</v>
      </c>
      <c r="AO17" s="222"/>
      <c r="AP17" s="223">
        <v>11</v>
      </c>
      <c r="AQ17" s="223">
        <v>30</v>
      </c>
      <c r="AR17" s="224">
        <v>314</v>
      </c>
      <c r="AS17" s="224">
        <v>3</v>
      </c>
      <c r="AT17" s="231">
        <f>(Table119[[#This Row],[FY22 Grads]]+Table119[[#This Row],[FY22 Fails]])/Table119[[#This Row],[FY22 Total Courses]]</f>
        <v>28.818181818181817</v>
      </c>
      <c r="AU17" s="226">
        <v>207</v>
      </c>
      <c r="AV17" s="242">
        <f t="shared" ref="AV17:AV31" si="7">SUM(AR17+AS17)/AU17</f>
        <v>1.5314009661835748</v>
      </c>
      <c r="AW17" s="240" t="s">
        <v>275</v>
      </c>
    </row>
    <row r="18" spans="1:49" s="415" customFormat="1" ht="30" x14ac:dyDescent="0.25">
      <c r="A18" s="418" t="s">
        <v>282</v>
      </c>
      <c r="B18" s="203" t="str">
        <f>VLOOKUP(Table119[[#This Row],[Course]],'TSD-Data'!$A$1:$G$98,7,FALSE)</f>
        <v>N5</v>
      </c>
      <c r="C18" s="382" t="s">
        <v>508</v>
      </c>
      <c r="D18" s="203" t="str">
        <f>VLOOKUP(Table119[[#This Row],[Course]],'TSD-Data'!$A$1:$G$93,2,FALSE)</f>
        <v xml:space="preserve">A-493-0075 </v>
      </c>
      <c r="E18" s="203" t="str">
        <f>VLOOKUP(Table119[[#This Row],[Course]],'TSD-Data'!$A$1:$G$93,3,FALSE)</f>
        <v>714U</v>
      </c>
      <c r="F18" s="208">
        <f>COUNTIF(Table2[Course Title],Table119[[#This Row],[Course]])</f>
        <v>1</v>
      </c>
      <c r="G18" s="208">
        <f>VLOOKUP(Table119[[#This Row],[Course]],'TSD-Data'!$A$1:$G$93,4,FALSE)</f>
        <v>30</v>
      </c>
      <c r="H18" s="208">
        <f>SUMIF(Table2[Course Title],Table119[[#This Row],[Course]],Table2[Graduates])</f>
        <v>3</v>
      </c>
      <c r="I18" s="208">
        <f>SUMIF(Table2[Course Title],Table119[[#This Row],[Course]],Table2[Fail])</f>
        <v>0</v>
      </c>
      <c r="J18" s="208">
        <f>SUMIF(Table2[Course Title],Table119[[#This Row],[Course]],Table2[No Shows])</f>
        <v>0</v>
      </c>
      <c r="K18" s="433">
        <f>(Table119[[#This Row],[FY26 Grads]]+Table119[[#This Row],[FY26 Fails]])/Table119[[#This Row],[FY26 Total Courses]]</f>
        <v>3</v>
      </c>
      <c r="L18" s="234">
        <v>822</v>
      </c>
      <c r="M18" s="434">
        <f t="shared" si="0"/>
        <v>3.6496350364963502E-3</v>
      </c>
      <c r="N18" s="383"/>
      <c r="O18" s="204">
        <v>9</v>
      </c>
      <c r="P18" s="205">
        <v>30</v>
      </c>
      <c r="Q18" s="206">
        <v>71</v>
      </c>
      <c r="R18" s="234">
        <v>0</v>
      </c>
      <c r="S18" s="208">
        <v>19</v>
      </c>
      <c r="T18" s="209">
        <f>(Table119[[#This Row],[FY25 Grads]]+Table119[[#This Row],[FY25 Fails]])/Table119[[#This Row],[FY25 Total Courses]]</f>
        <v>7.8888888888888893</v>
      </c>
      <c r="U18" s="210">
        <v>883</v>
      </c>
      <c r="V18" s="211">
        <f t="shared" si="1"/>
        <v>8.0407701019252542E-2</v>
      </c>
      <c r="W18" s="422">
        <v>792</v>
      </c>
      <c r="X18" s="423">
        <v>27</v>
      </c>
      <c r="Y18" s="384"/>
      <c r="Z18" s="223">
        <v>9</v>
      </c>
      <c r="AA18" s="213">
        <v>30</v>
      </c>
      <c r="AB18" s="233">
        <v>108</v>
      </c>
      <c r="AC18" s="229">
        <v>0</v>
      </c>
      <c r="AD18" s="216">
        <f t="shared" si="2"/>
        <v>12</v>
      </c>
      <c r="AE18" s="217">
        <v>939</v>
      </c>
      <c r="AF18" s="218">
        <f t="shared" si="3"/>
        <v>0.11501597444089456</v>
      </c>
      <c r="AG18" s="384"/>
      <c r="AH18" s="205">
        <v>6</v>
      </c>
      <c r="AI18" s="219">
        <v>30</v>
      </c>
      <c r="AJ18" s="208">
        <v>145</v>
      </c>
      <c r="AK18" s="208">
        <v>0</v>
      </c>
      <c r="AL18" s="220">
        <f t="shared" si="4"/>
        <v>24.166666666666668</v>
      </c>
      <c r="AM18" s="230">
        <v>517</v>
      </c>
      <c r="AN18" s="218">
        <f t="shared" si="5"/>
        <v>0.28046421663442939</v>
      </c>
      <c r="AO18" s="222"/>
      <c r="AP18" s="223">
        <v>4</v>
      </c>
      <c r="AQ18" s="223">
        <v>30</v>
      </c>
      <c r="AR18" s="224">
        <v>63</v>
      </c>
      <c r="AS18" s="224">
        <v>0</v>
      </c>
      <c r="AT18" s="231">
        <f>(Table119[[#This Row],[FY22 Grads]]+Table119[[#This Row],[FY22 Fails]])/Table119[[#This Row],[FY22 Total Courses]]</f>
        <v>15.75</v>
      </c>
      <c r="AU18" s="226">
        <v>431</v>
      </c>
      <c r="AV18" s="218">
        <f t="shared" si="7"/>
        <v>0.14617169373549885</v>
      </c>
      <c r="AW18" s="232" t="s">
        <v>282</v>
      </c>
    </row>
    <row r="19" spans="1:49" s="415" customFormat="1" ht="45" x14ac:dyDescent="0.25">
      <c r="A19" s="419" t="s">
        <v>271</v>
      </c>
      <c r="B19" s="203" t="str">
        <f>VLOOKUP(Table119[[#This Row],[Course]],'TSD-Data'!$A$1:$G$98,7,FALSE)</f>
        <v>N5</v>
      </c>
      <c r="C19" s="203" t="s">
        <v>54</v>
      </c>
      <c r="D19" s="203" t="str">
        <f>VLOOKUP(Table119[[#This Row],[Course]],'TSD-Data'!$A$1:$G$93,2,FALSE)</f>
        <v>A-493-0061</v>
      </c>
      <c r="E19" s="203" t="str">
        <f>VLOOKUP(Table119[[#This Row],[Course]],'TSD-Data'!$A$1:$G$93,3,FALSE)</f>
        <v>288E</v>
      </c>
      <c r="F19" s="208">
        <f>COUNTIF(Table2[Course Title],Table119[[#This Row],[Course]])</f>
        <v>17</v>
      </c>
      <c r="G19" s="208">
        <f>VLOOKUP(Table119[[#This Row],[Course]],'TSD-Data'!$A$1:$G$93,4,FALSE)</f>
        <v>45</v>
      </c>
      <c r="H19" s="208">
        <f>SUMIF(Table2[Course Title],Table119[[#This Row],[Course]],Table2[Graduates])</f>
        <v>361</v>
      </c>
      <c r="I19" s="208">
        <f>SUMIF(Table2[Course Title],Table119[[#This Row],[Course]],Table2[Fail])</f>
        <v>4</v>
      </c>
      <c r="J19" s="208">
        <f>SUMIF(Table2[Course Title],Table119[[#This Row],[Course]],Table2[No Shows])</f>
        <v>72</v>
      </c>
      <c r="K19" s="433">
        <f>(Table119[[#This Row],[FY26 Grads]]+Table119[[#This Row],[FY26 Fails]])/Table119[[#This Row],[FY26 Total Courses]]</f>
        <v>21.470588235294116</v>
      </c>
      <c r="L19" s="208">
        <v>900</v>
      </c>
      <c r="M19" s="434">
        <f t="shared" si="0"/>
        <v>0.40555555555555556</v>
      </c>
      <c r="N19" s="383"/>
      <c r="O19" s="204">
        <v>17</v>
      </c>
      <c r="P19" s="205">
        <v>45</v>
      </c>
      <c r="Q19" s="206">
        <v>415</v>
      </c>
      <c r="R19" s="234">
        <v>1</v>
      </c>
      <c r="S19" s="208">
        <v>72</v>
      </c>
      <c r="T19" s="209">
        <f>(Table119[[#This Row],[FY25 Grads]]+Table119[[#This Row],[FY25 Fails]])/Table119[[#This Row],[FY25 Total Courses]]</f>
        <v>24.470588235294116</v>
      </c>
      <c r="U19" s="210">
        <v>721</v>
      </c>
      <c r="V19" s="211">
        <f t="shared" si="1"/>
        <v>0.57697642163661578</v>
      </c>
      <c r="W19" s="422">
        <v>702</v>
      </c>
      <c r="X19" s="423">
        <v>24</v>
      </c>
      <c r="Y19" s="384"/>
      <c r="Z19" s="223">
        <v>17</v>
      </c>
      <c r="AA19" s="213">
        <v>45</v>
      </c>
      <c r="AB19" s="228">
        <v>402</v>
      </c>
      <c r="AC19" s="229">
        <v>3</v>
      </c>
      <c r="AD19" s="216">
        <f t="shared" si="2"/>
        <v>23.823529411764707</v>
      </c>
      <c r="AE19" s="217">
        <v>762</v>
      </c>
      <c r="AF19" s="218">
        <f t="shared" si="3"/>
        <v>0.53149606299212604</v>
      </c>
      <c r="AG19" s="384"/>
      <c r="AH19" s="205">
        <v>12</v>
      </c>
      <c r="AI19" s="219">
        <v>30</v>
      </c>
      <c r="AJ19" s="208">
        <v>307</v>
      </c>
      <c r="AK19" s="208">
        <v>8</v>
      </c>
      <c r="AL19" s="220">
        <f t="shared" si="4"/>
        <v>26.25</v>
      </c>
      <c r="AM19" s="230">
        <v>446</v>
      </c>
      <c r="AN19" s="218">
        <f t="shared" si="5"/>
        <v>0.70627802690582964</v>
      </c>
      <c r="AO19" s="222"/>
      <c r="AP19" s="223">
        <v>10</v>
      </c>
      <c r="AQ19" s="223">
        <v>30</v>
      </c>
      <c r="AR19" s="224">
        <v>231</v>
      </c>
      <c r="AS19" s="224">
        <v>3</v>
      </c>
      <c r="AT19" s="231">
        <f>(Table119[[#This Row],[FY22 Grads]]+Table119[[#This Row],[FY22 Fails]])/Table119[[#This Row],[FY22 Total Courses]]</f>
        <v>23.4</v>
      </c>
      <c r="AU19" s="226">
        <v>498</v>
      </c>
      <c r="AV19" s="218">
        <f t="shared" si="7"/>
        <v>0.46987951807228917</v>
      </c>
      <c r="AW19" s="240" t="s">
        <v>271</v>
      </c>
    </row>
    <row r="20" spans="1:49" s="415" customFormat="1" ht="75" x14ac:dyDescent="0.25">
      <c r="A20" s="419" t="s">
        <v>213</v>
      </c>
      <c r="B20" s="203" t="str">
        <f>VLOOKUP(Table119[[#This Row],[Course]],'TSD-Data'!$A$1:$G$98,7,FALSE)</f>
        <v>N8</v>
      </c>
      <c r="C20" s="203" t="s">
        <v>54</v>
      </c>
      <c r="D20" s="203" t="str">
        <f>VLOOKUP(Table119[[#This Row],[Course]],'TSD-Data'!$A$1:$G$93,2,FALSE)</f>
        <v>A-322-2604</v>
      </c>
      <c r="E20" s="203" t="str">
        <f>VLOOKUP(Table119[[#This Row],[Course]],'TSD-Data'!$A$1:$G$93,3,FALSE)</f>
        <v>10ZZ</v>
      </c>
      <c r="F20" s="208">
        <f>COUNTIF(Table2[Course Title],Table119[[#This Row],[Course]])</f>
        <v>20</v>
      </c>
      <c r="G20" s="208">
        <f>VLOOKUP(Table119[[#This Row],[Course]],'TSD-Data'!$A$1:$G$93,4,FALSE)</f>
        <v>45</v>
      </c>
      <c r="H20" s="208">
        <f>SUMIF(Table2[Course Title],Table119[[#This Row],[Course]],Table2[Graduates])</f>
        <v>607</v>
      </c>
      <c r="I20" s="208">
        <f>SUMIF(Table2[Course Title],Table119[[#This Row],[Course]],Table2[Fail])</f>
        <v>18</v>
      </c>
      <c r="J20" s="208">
        <f>SUMIF(Table2[Course Title],Table119[[#This Row],[Course]],Table2[No Shows])</f>
        <v>106</v>
      </c>
      <c r="K20" s="433">
        <f>(Table119[[#This Row],[FY26 Grads]]+Table119[[#This Row],[FY26 Fails]])/Table119[[#This Row],[FY26 Total Courses]]</f>
        <v>31.25</v>
      </c>
      <c r="L20" s="208">
        <v>893</v>
      </c>
      <c r="M20" s="434">
        <f t="shared" si="0"/>
        <v>0.69988801791713329</v>
      </c>
      <c r="N20" s="383"/>
      <c r="O20" s="204">
        <v>18</v>
      </c>
      <c r="P20" s="205">
        <v>45</v>
      </c>
      <c r="Q20" s="206">
        <v>627</v>
      </c>
      <c r="R20" s="234">
        <v>22</v>
      </c>
      <c r="S20" s="208">
        <v>130</v>
      </c>
      <c r="T20" s="209">
        <f>(Table119[[#This Row],[FY25 Grads]]+Table119[[#This Row],[FY25 Fails]])/Table119[[#This Row],[FY25 Total Courses]]</f>
        <v>36.055555555555557</v>
      </c>
      <c r="U20" s="210">
        <v>791</v>
      </c>
      <c r="V20" s="211">
        <f t="shared" si="1"/>
        <v>0.82048040455120097</v>
      </c>
      <c r="W20" s="422">
        <v>640</v>
      </c>
      <c r="X20" s="423">
        <v>22</v>
      </c>
      <c r="Y20" s="384"/>
      <c r="Z20" s="223">
        <v>18</v>
      </c>
      <c r="AA20" s="213">
        <v>45</v>
      </c>
      <c r="AB20" s="228">
        <v>683</v>
      </c>
      <c r="AC20" s="229">
        <v>13</v>
      </c>
      <c r="AD20" s="216">
        <f t="shared" si="2"/>
        <v>38.666666666666664</v>
      </c>
      <c r="AE20" s="217">
        <v>800</v>
      </c>
      <c r="AF20" s="218">
        <f t="shared" si="3"/>
        <v>0.87</v>
      </c>
      <c r="AG20" s="384"/>
      <c r="AH20" s="205">
        <v>26</v>
      </c>
      <c r="AI20" s="219">
        <v>30</v>
      </c>
      <c r="AJ20" s="208">
        <v>680</v>
      </c>
      <c r="AK20" s="208">
        <v>29</v>
      </c>
      <c r="AL20" s="220">
        <f t="shared" si="4"/>
        <v>27.26923076923077</v>
      </c>
      <c r="AM20" s="230">
        <f>459+323</f>
        <v>782</v>
      </c>
      <c r="AN20" s="218">
        <f t="shared" si="5"/>
        <v>0.90664961636828645</v>
      </c>
      <c r="AO20" s="222"/>
      <c r="AP20" s="223">
        <v>17</v>
      </c>
      <c r="AQ20" s="223">
        <v>30</v>
      </c>
      <c r="AR20" s="224">
        <v>448</v>
      </c>
      <c r="AS20" s="224">
        <v>23</v>
      </c>
      <c r="AT20" s="231">
        <f>(Table119[[#This Row],[FY22 Grads]]+Table119[[#This Row],[FY22 Fails]])/Table119[[#This Row],[FY22 Total Courses]]</f>
        <v>27.705882352941178</v>
      </c>
      <c r="AU20" s="226">
        <v>221</v>
      </c>
      <c r="AV20" s="227">
        <f t="shared" si="7"/>
        <v>2.1312217194570136</v>
      </c>
      <c r="AW20" s="240" t="s">
        <v>213</v>
      </c>
    </row>
    <row r="21" spans="1:49" s="415" customFormat="1" ht="45" x14ac:dyDescent="0.25">
      <c r="A21" s="418" t="s">
        <v>70</v>
      </c>
      <c r="B21" s="203" t="str">
        <f>VLOOKUP(Table119[[#This Row],[Course]],'TSD-Data'!$A$1:$G$98,7,FALSE)</f>
        <v>N4</v>
      </c>
      <c r="C21" s="382" t="s">
        <v>508</v>
      </c>
      <c r="D21" s="203" t="str">
        <f>VLOOKUP(Table119[[#This Row],[Course]],'TSD-Data'!$A$1:$G$93,2,FALSE)</f>
        <v>A-493-0077</v>
      </c>
      <c r="E21" s="203" t="str">
        <f>VLOOKUP(Table119[[#This Row],[Course]],'TSD-Data'!$A$1:$G$93,3,FALSE)</f>
        <v>0381</v>
      </c>
      <c r="F21" s="208">
        <f>COUNTIF(Table2[Course Title],Table119[[#This Row],[Course]])</f>
        <v>14</v>
      </c>
      <c r="G21" s="208">
        <f>VLOOKUP(Table119[[#This Row],[Course]],'TSD-Data'!$A$1:$G$93,4,FALSE)</f>
        <v>25</v>
      </c>
      <c r="H21" s="208">
        <f>SUMIF(Table2[Course Title],Table119[[#This Row],[Course]],Table2[Graduates])</f>
        <v>166</v>
      </c>
      <c r="I21" s="208">
        <f>SUMIF(Table2[Course Title],Table119[[#This Row],[Course]],Table2[Fail])</f>
        <v>1</v>
      </c>
      <c r="J21" s="208">
        <f>SUMIF(Table2[Course Title],Table119[[#This Row],[Course]],Table2[No Shows])</f>
        <v>27</v>
      </c>
      <c r="K21" s="433">
        <f>(Table119[[#This Row],[FY26 Grads]]+Table119[[#This Row],[FY26 Fails]])/Table119[[#This Row],[FY26 Total Courses]]</f>
        <v>11.928571428571429</v>
      </c>
      <c r="L21" s="208">
        <v>1279</v>
      </c>
      <c r="M21" s="434">
        <f t="shared" si="0"/>
        <v>0.1305707584050039</v>
      </c>
      <c r="N21" s="383"/>
      <c r="O21" s="204">
        <v>14</v>
      </c>
      <c r="P21" s="204">
        <v>25</v>
      </c>
      <c r="Q21" s="238">
        <v>194</v>
      </c>
      <c r="R21" s="234">
        <v>0</v>
      </c>
      <c r="S21" s="210">
        <v>14</v>
      </c>
      <c r="T21" s="209">
        <f>(Table119[[#This Row],[FY25 Grads]]+Table119[[#This Row],[FY25 Fails]])/Table119[[#This Row],[FY25 Total Courses]]</f>
        <v>13.857142857142858</v>
      </c>
      <c r="U21" s="210">
        <v>1042</v>
      </c>
      <c r="V21" s="211">
        <f t="shared" si="1"/>
        <v>0.18618042226487524</v>
      </c>
      <c r="W21" s="422">
        <v>1148</v>
      </c>
      <c r="X21" s="427">
        <v>46</v>
      </c>
      <c r="Y21" s="384"/>
      <c r="Z21" s="212">
        <v>9</v>
      </c>
      <c r="AA21" s="213">
        <v>25</v>
      </c>
      <c r="AB21" s="214">
        <v>134</v>
      </c>
      <c r="AC21" s="215">
        <v>1</v>
      </c>
      <c r="AD21" s="216">
        <f t="shared" si="2"/>
        <v>15</v>
      </c>
      <c r="AE21" s="217">
        <v>1359</v>
      </c>
      <c r="AF21" s="218">
        <f t="shared" si="3"/>
        <v>9.9337748344370855E-2</v>
      </c>
      <c r="AG21" s="384"/>
      <c r="AH21" s="204">
        <v>14</v>
      </c>
      <c r="AI21" s="239">
        <v>25</v>
      </c>
      <c r="AJ21" s="210">
        <v>244</v>
      </c>
      <c r="AK21" s="210">
        <v>0</v>
      </c>
      <c r="AL21" s="220">
        <f t="shared" si="4"/>
        <v>17.428571428571427</v>
      </c>
      <c r="AM21" s="221">
        <v>375</v>
      </c>
      <c r="AN21" s="218">
        <f t="shared" si="5"/>
        <v>0.65066666666666662</v>
      </c>
      <c r="AO21" s="222"/>
      <c r="AP21" s="223">
        <v>20</v>
      </c>
      <c r="AQ21" s="223">
        <v>25</v>
      </c>
      <c r="AR21" s="224">
        <v>278</v>
      </c>
      <c r="AS21" s="224">
        <v>0</v>
      </c>
      <c r="AT21" s="225">
        <v>13.9</v>
      </c>
      <c r="AU21" s="226">
        <v>500</v>
      </c>
      <c r="AV21" s="227">
        <f t="shared" si="7"/>
        <v>0.55600000000000005</v>
      </c>
      <c r="AW21" s="232" t="s">
        <v>70</v>
      </c>
    </row>
    <row r="22" spans="1:49" s="415" customFormat="1" ht="60" x14ac:dyDescent="0.25">
      <c r="A22" s="418" t="s">
        <v>84</v>
      </c>
      <c r="B22" s="203" t="str">
        <f>VLOOKUP(Table119[[#This Row],[Course]],'TSD-Data'!$A$1:$G$98,7,FALSE)</f>
        <v>N4</v>
      </c>
      <c r="C22" s="382" t="s">
        <v>508</v>
      </c>
      <c r="D22" s="203" t="str">
        <f>VLOOKUP(Table119[[#This Row],[Course]],'TSD-Data'!$A$1:$G$93,2,FALSE)</f>
        <v>A-493-0083</v>
      </c>
      <c r="E22" s="203" t="str">
        <f>VLOOKUP(Table119[[#This Row],[Course]],'TSD-Data'!$A$1:$G$93,3,FALSE)</f>
        <v>339E</v>
      </c>
      <c r="F22" s="208">
        <f>COUNTIF(Table2[Course Title],Table119[[#This Row],[Course]])</f>
        <v>16</v>
      </c>
      <c r="G22" s="208">
        <f>VLOOKUP(Table119[[#This Row],[Course]],'TSD-Data'!$A$1:$G$93,4,FALSE)</f>
        <v>30</v>
      </c>
      <c r="H22" s="208">
        <f>SUMIF(Table2[Course Title],Table119[[#This Row],[Course]],Table2[Graduates])</f>
        <v>222</v>
      </c>
      <c r="I22" s="208">
        <f>SUMIF(Table2[Course Title],Table119[[#This Row],[Course]],Table2[Fail])</f>
        <v>0</v>
      </c>
      <c r="J22" s="208">
        <f>SUMIF(Table2[Course Title],Table119[[#This Row],[Course]],Table2[No Shows])</f>
        <v>30</v>
      </c>
      <c r="K22" s="433">
        <f>(Table119[[#This Row],[FY26 Grads]]+Table119[[#This Row],[FY26 Fails]])/Table119[[#This Row],[FY26 Total Courses]]</f>
        <v>13.875</v>
      </c>
      <c r="L22" s="208">
        <v>1501</v>
      </c>
      <c r="M22" s="434">
        <f t="shared" si="0"/>
        <v>0.14790139906728847</v>
      </c>
      <c r="N22" s="383"/>
      <c r="O22" s="204">
        <v>26</v>
      </c>
      <c r="P22" s="204">
        <v>30</v>
      </c>
      <c r="Q22" s="238">
        <v>417</v>
      </c>
      <c r="R22" s="234">
        <v>1</v>
      </c>
      <c r="S22" s="210">
        <v>67</v>
      </c>
      <c r="T22" s="209">
        <f>(Table119[[#This Row],[FY25 Grads]]+Table119[[#This Row],[FY25 Fails]])/Table119[[#This Row],[FY25 Total Courses]]</f>
        <v>16.076923076923077</v>
      </c>
      <c r="U22" s="210">
        <v>1705</v>
      </c>
      <c r="V22" s="211">
        <f t="shared" si="1"/>
        <v>0.24516129032258063</v>
      </c>
      <c r="W22" s="422">
        <v>1432</v>
      </c>
      <c r="X22" s="427">
        <v>48</v>
      </c>
      <c r="Y22" s="384"/>
      <c r="Z22" s="212">
        <v>22</v>
      </c>
      <c r="AA22" s="213">
        <v>30</v>
      </c>
      <c r="AB22" s="214">
        <v>438</v>
      </c>
      <c r="AC22" s="215">
        <v>0</v>
      </c>
      <c r="AD22" s="216">
        <f t="shared" si="2"/>
        <v>19.90909090909091</v>
      </c>
      <c r="AE22" s="217">
        <v>1595</v>
      </c>
      <c r="AF22" s="218">
        <f t="shared" si="3"/>
        <v>0.27460815047021941</v>
      </c>
      <c r="AG22" s="384"/>
      <c r="AH22" s="204">
        <v>34</v>
      </c>
      <c r="AI22" s="239">
        <v>30</v>
      </c>
      <c r="AJ22" s="210">
        <v>652</v>
      </c>
      <c r="AK22" s="210">
        <v>12</v>
      </c>
      <c r="AL22" s="220">
        <f t="shared" si="4"/>
        <v>19.529411764705884</v>
      </c>
      <c r="AM22" s="221">
        <v>930</v>
      </c>
      <c r="AN22" s="218">
        <f t="shared" si="5"/>
        <v>0.71397849462365592</v>
      </c>
      <c r="AO22" s="222"/>
      <c r="AP22" s="223">
        <v>43</v>
      </c>
      <c r="AQ22" s="223">
        <v>25</v>
      </c>
      <c r="AR22" s="224">
        <v>772</v>
      </c>
      <c r="AS22" s="224">
        <v>0</v>
      </c>
      <c r="AT22" s="225">
        <v>17.953488372093023</v>
      </c>
      <c r="AU22" s="226">
        <v>1100</v>
      </c>
      <c r="AV22" s="227">
        <f t="shared" si="7"/>
        <v>0.70181818181818179</v>
      </c>
      <c r="AW22" s="232" t="s">
        <v>84</v>
      </c>
    </row>
    <row r="23" spans="1:49" s="415" customFormat="1" ht="30" x14ac:dyDescent="0.25">
      <c r="A23" s="418" t="s">
        <v>337</v>
      </c>
      <c r="B23" s="203" t="str">
        <f>VLOOKUP(Table119[[#This Row],[Course]],'TSD-Data'!$A$1:$G$98,7,FALSE)</f>
        <v>N4</v>
      </c>
      <c r="C23" s="382" t="s">
        <v>508</v>
      </c>
      <c r="D23" s="203" t="str">
        <f>VLOOKUP(Table119[[#This Row],[Course]],'TSD-Data'!$A$1:$G$93,2,FALSE)</f>
        <v>A-493-2300</v>
      </c>
      <c r="E23" s="203" t="str">
        <f>VLOOKUP(Table119[[#This Row],[Course]],'TSD-Data'!$A$1:$G$93,3,FALSE)</f>
        <v>993F</v>
      </c>
      <c r="F23" s="208">
        <f>COUNTIF(Table2[Course Title],Table119[[#This Row],[Course]])</f>
        <v>0</v>
      </c>
      <c r="G23" s="208">
        <f>VLOOKUP(Table119[[#This Row],[Course]],'TSD-Data'!$A$1:$G$93,4,FALSE)</f>
        <v>30</v>
      </c>
      <c r="H23" s="208">
        <f>SUMIF(Table2[Course Title],Table119[[#This Row],[Course]],Table2[Graduates])</f>
        <v>0</v>
      </c>
      <c r="I23" s="208">
        <f>SUMIF(Table2[Course Title],Table119[[#This Row],[Course]],Table2[Fail])</f>
        <v>0</v>
      </c>
      <c r="J23" s="208">
        <f>SUMIF(Table2[Course Title],Table119[[#This Row],[Course]],Table2[No Shows])</f>
        <v>0</v>
      </c>
      <c r="K23" s="433"/>
      <c r="L23" s="208">
        <v>658</v>
      </c>
      <c r="M23" s="434">
        <f t="shared" si="0"/>
        <v>0</v>
      </c>
      <c r="N23" s="383"/>
      <c r="O23" s="204">
        <v>8</v>
      </c>
      <c r="P23" s="204">
        <v>30</v>
      </c>
      <c r="Q23" s="210">
        <v>121</v>
      </c>
      <c r="R23" s="234">
        <v>0</v>
      </c>
      <c r="S23" s="210">
        <v>26</v>
      </c>
      <c r="T23" s="209">
        <f>(Table119[[#This Row],[FY25 Grads]]+Table119[[#This Row],[FY25 Fails]])/Table119[[#This Row],[FY25 Total Courses]]</f>
        <v>15.125</v>
      </c>
      <c r="U23" s="210">
        <v>614</v>
      </c>
      <c r="V23" s="211">
        <f t="shared" si="1"/>
        <v>0.19706840390879479</v>
      </c>
      <c r="W23" s="422">
        <v>954</v>
      </c>
      <c r="X23" s="427">
        <v>32</v>
      </c>
      <c r="Y23" s="384"/>
      <c r="Z23" s="212">
        <v>6</v>
      </c>
      <c r="AA23" s="213">
        <v>30</v>
      </c>
      <c r="AB23" s="214">
        <v>123</v>
      </c>
      <c r="AC23" s="215">
        <v>0</v>
      </c>
      <c r="AD23" s="216">
        <f t="shared" si="2"/>
        <v>20.5</v>
      </c>
      <c r="AE23" s="243">
        <v>958</v>
      </c>
      <c r="AF23" s="218">
        <f t="shared" si="3"/>
        <v>0.12839248434237996</v>
      </c>
      <c r="AG23" s="384"/>
      <c r="AH23" s="204">
        <v>12</v>
      </c>
      <c r="AI23" s="239">
        <v>30</v>
      </c>
      <c r="AJ23" s="210">
        <v>178</v>
      </c>
      <c r="AK23" s="210">
        <v>0</v>
      </c>
      <c r="AL23" s="220">
        <f t="shared" si="4"/>
        <v>14.833333333333334</v>
      </c>
      <c r="AM23" s="235">
        <v>630</v>
      </c>
      <c r="AN23" s="218">
        <f t="shared" si="5"/>
        <v>0.28253968253968254</v>
      </c>
      <c r="AO23" s="222"/>
      <c r="AP23" s="223">
        <v>20</v>
      </c>
      <c r="AQ23" s="223">
        <v>30</v>
      </c>
      <c r="AR23" s="224">
        <v>311</v>
      </c>
      <c r="AS23" s="224">
        <v>0</v>
      </c>
      <c r="AT23" s="225">
        <v>15.55</v>
      </c>
      <c r="AU23" s="226">
        <v>510</v>
      </c>
      <c r="AV23" s="227">
        <f t="shared" si="7"/>
        <v>0.6098039215686275</v>
      </c>
      <c r="AW23" s="232" t="s">
        <v>337</v>
      </c>
    </row>
    <row r="24" spans="1:49" s="415" customFormat="1" ht="45" x14ac:dyDescent="0.25">
      <c r="A24" s="418" t="s">
        <v>341</v>
      </c>
      <c r="B24" s="203" t="str">
        <f>VLOOKUP(Table119[[#This Row],[Course]],'TSD-Data'!$A$1:$G$98,7,FALSE)</f>
        <v>N4</v>
      </c>
      <c r="C24" s="382" t="s">
        <v>508</v>
      </c>
      <c r="D24" s="203" t="str">
        <f>VLOOKUP(Table119[[#This Row],[Course]],'TSD-Data'!$A$1:$G$93,2,FALSE)</f>
        <v>A-493-2301</v>
      </c>
      <c r="E24" s="203" t="str">
        <f>VLOOKUP(Table119[[#This Row],[Course]],'TSD-Data'!$A$1:$G$93,3,FALSE)</f>
        <v>05ZD</v>
      </c>
      <c r="F24" s="208">
        <f>COUNTIF(Table2[Course Title],Table119[[#This Row],[Course]])</f>
        <v>0</v>
      </c>
      <c r="G24" s="208">
        <f>VLOOKUP(Table119[[#This Row],[Course]],'TSD-Data'!$A$1:$G$93,4,FALSE)</f>
        <v>30</v>
      </c>
      <c r="H24" s="208">
        <f>SUMIF(Table2[Course Title],Table119[[#This Row],[Course]],Table2[Graduates])</f>
        <v>0</v>
      </c>
      <c r="I24" s="208">
        <f>SUMIF(Table2[Course Title],Table119[[#This Row],[Course]],Table2[Fail])</f>
        <v>0</v>
      </c>
      <c r="J24" s="208">
        <f>SUMIF(Table2[Course Title],Table119[[#This Row],[Course]],Table2[No Shows])</f>
        <v>0</v>
      </c>
      <c r="K24" s="433"/>
      <c r="L24" s="208">
        <v>744</v>
      </c>
      <c r="M24" s="434">
        <f t="shared" si="0"/>
        <v>0</v>
      </c>
      <c r="N24" s="383"/>
      <c r="O24" s="204">
        <v>12</v>
      </c>
      <c r="P24" s="204">
        <v>30</v>
      </c>
      <c r="Q24" s="210">
        <v>126</v>
      </c>
      <c r="R24" s="234">
        <v>0</v>
      </c>
      <c r="S24" s="210">
        <v>57</v>
      </c>
      <c r="T24" s="209">
        <f>(Table119[[#This Row],[FY25 Grads]]+Table119[[#This Row],[FY25 Fails]])/Table119[[#This Row],[FY25 Total Courses]]</f>
        <v>10.5</v>
      </c>
      <c r="U24" s="210">
        <v>824</v>
      </c>
      <c r="V24" s="211">
        <f t="shared" si="1"/>
        <v>0.15291262135922329</v>
      </c>
      <c r="W24" s="422">
        <v>816</v>
      </c>
      <c r="X24" s="427">
        <v>28</v>
      </c>
      <c r="Y24" s="384"/>
      <c r="Z24" s="212">
        <v>14</v>
      </c>
      <c r="AA24" s="213">
        <v>30</v>
      </c>
      <c r="AB24" s="214">
        <v>187</v>
      </c>
      <c r="AC24" s="215">
        <v>0</v>
      </c>
      <c r="AD24" s="216">
        <f t="shared" si="2"/>
        <v>13.357142857142858</v>
      </c>
      <c r="AE24" s="243">
        <v>810</v>
      </c>
      <c r="AF24" s="218">
        <f t="shared" si="3"/>
        <v>0.23086419753086421</v>
      </c>
      <c r="AG24" s="384"/>
      <c r="AH24" s="204">
        <v>8</v>
      </c>
      <c r="AI24" s="239">
        <v>30</v>
      </c>
      <c r="AJ24" s="210">
        <v>100</v>
      </c>
      <c r="AK24" s="210">
        <v>0</v>
      </c>
      <c r="AL24" s="220">
        <f t="shared" si="4"/>
        <v>12.5</v>
      </c>
      <c r="AM24" s="235">
        <v>210</v>
      </c>
      <c r="AN24" s="218">
        <f t="shared" si="5"/>
        <v>0.47619047619047616</v>
      </c>
      <c r="AO24" s="222"/>
      <c r="AP24" s="223">
        <v>9</v>
      </c>
      <c r="AQ24" s="223">
        <v>30</v>
      </c>
      <c r="AR24" s="224">
        <v>132</v>
      </c>
      <c r="AS24" s="224">
        <v>0</v>
      </c>
      <c r="AT24" s="225">
        <v>14.666666666666666</v>
      </c>
      <c r="AU24" s="226">
        <v>90</v>
      </c>
      <c r="AV24" s="227">
        <f t="shared" si="7"/>
        <v>1.4666666666666666</v>
      </c>
      <c r="AW24" s="232" t="s">
        <v>341</v>
      </c>
    </row>
    <row r="25" spans="1:49" s="415" customFormat="1" ht="30" x14ac:dyDescent="0.25">
      <c r="A25" s="418" t="s">
        <v>344</v>
      </c>
      <c r="B25" s="203" t="str">
        <f>VLOOKUP(Table119[[#This Row],[Course]],'TSD-Data'!$A$1:$G$98,7,FALSE)</f>
        <v>N4</v>
      </c>
      <c r="C25" s="382" t="s">
        <v>508</v>
      </c>
      <c r="D25" s="203" t="str">
        <f>VLOOKUP(Table119[[#This Row],[Course]],'TSD-Data'!$A$1:$G$93,2,FALSE)</f>
        <v>A-493-0216</v>
      </c>
      <c r="E25" s="203" t="str">
        <f>VLOOKUP(Table119[[#This Row],[Course]],'TSD-Data'!$A$1:$G$93,3,FALSE)</f>
        <v>12X8</v>
      </c>
      <c r="F25" s="208">
        <f>COUNTIF(Table2[Course Title],Table119[[#This Row],[Course]])</f>
        <v>0</v>
      </c>
      <c r="G25" s="208">
        <f>VLOOKUP(Table119[[#This Row],[Course]],'TSD-Data'!$A$1:$G$93,4,FALSE)</f>
        <v>30</v>
      </c>
      <c r="H25" s="208">
        <f>SUMIF(Table2[Course Title],Table119[[#This Row],[Course]],Table2[Graduates])</f>
        <v>0</v>
      </c>
      <c r="I25" s="208">
        <f>SUMIF(Table2[Course Title],Table119[[#This Row],[Course]],Table2[Fail])</f>
        <v>0</v>
      </c>
      <c r="J25" s="208">
        <f>SUMIF(Table2[Course Title],Table119[[#This Row],[Course]],Table2[No Shows])</f>
        <v>0</v>
      </c>
      <c r="K25" s="433"/>
      <c r="L25" s="208">
        <v>612</v>
      </c>
      <c r="M25" s="434">
        <f t="shared" si="0"/>
        <v>0</v>
      </c>
      <c r="N25" s="383"/>
      <c r="O25" s="204">
        <v>7</v>
      </c>
      <c r="P25" s="204">
        <v>30</v>
      </c>
      <c r="Q25" s="210">
        <v>105</v>
      </c>
      <c r="R25" s="234">
        <v>0</v>
      </c>
      <c r="S25" s="210">
        <v>30</v>
      </c>
      <c r="T25" s="209">
        <f>(Table119[[#This Row],[FY25 Grads]]+Table119[[#This Row],[FY25 Fails]])/Table119[[#This Row],[FY25 Total Courses]]</f>
        <v>15</v>
      </c>
      <c r="U25" s="210">
        <v>436</v>
      </c>
      <c r="V25" s="211">
        <f t="shared" si="1"/>
        <v>0.24082568807339449</v>
      </c>
      <c r="W25" s="422">
        <v>1073</v>
      </c>
      <c r="X25" s="427">
        <v>36</v>
      </c>
      <c r="Y25" s="384"/>
      <c r="Z25" s="212">
        <v>6</v>
      </c>
      <c r="AA25" s="213">
        <v>30</v>
      </c>
      <c r="AB25" s="214">
        <v>132</v>
      </c>
      <c r="AC25" s="215">
        <v>0</v>
      </c>
      <c r="AD25" s="216">
        <f t="shared" si="2"/>
        <v>22</v>
      </c>
      <c r="AE25" s="243">
        <v>1090</v>
      </c>
      <c r="AF25" s="218">
        <f t="shared" si="3"/>
        <v>0.12110091743119267</v>
      </c>
      <c r="AG25" s="384"/>
      <c r="AH25" s="204">
        <v>9</v>
      </c>
      <c r="AI25" s="239">
        <v>30</v>
      </c>
      <c r="AJ25" s="210">
        <v>146</v>
      </c>
      <c r="AK25" s="210">
        <v>0</v>
      </c>
      <c r="AL25" s="220">
        <f t="shared" si="4"/>
        <v>16.222222222222221</v>
      </c>
      <c r="AM25" s="235">
        <v>300</v>
      </c>
      <c r="AN25" s="218">
        <f t="shared" si="5"/>
        <v>0.48666666666666669</v>
      </c>
      <c r="AO25" s="222"/>
      <c r="AP25" s="223">
        <v>9</v>
      </c>
      <c r="AQ25" s="223">
        <v>30</v>
      </c>
      <c r="AR25" s="224">
        <v>192</v>
      </c>
      <c r="AS25" s="224">
        <v>0</v>
      </c>
      <c r="AT25" s="225">
        <v>21.333333333333332</v>
      </c>
      <c r="AU25" s="226">
        <v>270</v>
      </c>
      <c r="AV25" s="227">
        <f t="shared" si="7"/>
        <v>0.71111111111111114</v>
      </c>
      <c r="AW25" s="232" t="s">
        <v>344</v>
      </c>
    </row>
    <row r="26" spans="1:49" s="415" customFormat="1" x14ac:dyDescent="0.25">
      <c r="A26" s="419" t="s">
        <v>72</v>
      </c>
      <c r="B26" s="203" t="str">
        <f>VLOOKUP(Table119[[#This Row],[Course]],'TSD-Data'!$A$1:$G$98,7,FALSE)</f>
        <v>N3</v>
      </c>
      <c r="C26" s="382" t="s">
        <v>508</v>
      </c>
      <c r="D26" s="203" t="str">
        <f>VLOOKUP(Table119[[#This Row],[Course]],'TSD-Data'!$A$1:$G$93,2,FALSE)</f>
        <v>A-493-0092</v>
      </c>
      <c r="E26" s="203">
        <f>VLOOKUP(Table119[[#This Row],[Course]],'TSD-Data'!$A$1:$G$93,3,FALSE)</f>
        <v>5891</v>
      </c>
      <c r="F26" s="208">
        <f>COUNTIF(Table2[Course Title],Table119[[#This Row],[Course]])</f>
        <v>5</v>
      </c>
      <c r="G26" s="208">
        <f>VLOOKUP(Table119[[#This Row],[Course]],'TSD-Data'!$A$1:$G$93,4,FALSE)</f>
        <v>25</v>
      </c>
      <c r="H26" s="208">
        <f>SUMIF(Table2[Course Title],Table119[[#This Row],[Course]],Table2[Graduates])</f>
        <v>22</v>
      </c>
      <c r="I26" s="208">
        <f>SUMIF(Table2[Course Title],Table119[[#This Row],[Course]],Table2[Fail])</f>
        <v>0</v>
      </c>
      <c r="J26" s="208">
        <f>SUMIF(Table2[Course Title],Table119[[#This Row],[Course]],Table2[No Shows])</f>
        <v>7</v>
      </c>
      <c r="K26" s="433">
        <f>(Table119[[#This Row],[FY26 Grads]]+Table119[[#This Row],[FY26 Fails]])/Table119[[#This Row],[FY26 Total Courses]]</f>
        <v>4.4000000000000004</v>
      </c>
      <c r="L26" s="234">
        <v>1044</v>
      </c>
      <c r="M26" s="434">
        <f t="shared" si="0"/>
        <v>2.1072796934865901E-2</v>
      </c>
      <c r="N26" s="383"/>
      <c r="O26" s="204">
        <v>9</v>
      </c>
      <c r="P26" s="205">
        <v>25</v>
      </c>
      <c r="Q26" s="243">
        <v>61</v>
      </c>
      <c r="R26" s="234">
        <v>0</v>
      </c>
      <c r="S26" s="208">
        <v>10</v>
      </c>
      <c r="T26" s="209">
        <f>(Table119[[#This Row],[FY25 Grads]]+Table119[[#This Row],[FY25 Fails]])/Table119[[#This Row],[FY25 Total Courses]]</f>
        <v>6.7777777777777777</v>
      </c>
      <c r="U26" s="210">
        <v>813</v>
      </c>
      <c r="V26" s="211">
        <f t="shared" si="1"/>
        <v>7.5030750307503072E-2</v>
      </c>
      <c r="W26" s="422">
        <v>797</v>
      </c>
      <c r="X26" s="423">
        <v>32</v>
      </c>
      <c r="Y26" s="384"/>
      <c r="Z26" s="223">
        <v>7</v>
      </c>
      <c r="AA26" s="213">
        <v>25</v>
      </c>
      <c r="AB26" s="228">
        <v>77</v>
      </c>
      <c r="AC26" s="229">
        <v>0</v>
      </c>
      <c r="AD26" s="216">
        <f t="shared" si="2"/>
        <v>11</v>
      </c>
      <c r="AE26" s="243">
        <v>930</v>
      </c>
      <c r="AF26" s="218">
        <f t="shared" si="3"/>
        <v>8.2795698924731181E-2</v>
      </c>
      <c r="AG26" s="384"/>
      <c r="AH26" s="205">
        <v>8</v>
      </c>
      <c r="AI26" s="219">
        <v>25</v>
      </c>
      <c r="AJ26" s="208">
        <v>91</v>
      </c>
      <c r="AK26" s="208">
        <v>0</v>
      </c>
      <c r="AL26" s="220">
        <f t="shared" si="4"/>
        <v>11.375</v>
      </c>
      <c r="AM26" s="244">
        <v>385</v>
      </c>
      <c r="AN26" s="218">
        <f t="shared" si="5"/>
        <v>0.23636363636363636</v>
      </c>
      <c r="AO26" s="222"/>
      <c r="AP26" s="223">
        <v>7</v>
      </c>
      <c r="AQ26" s="223">
        <v>25</v>
      </c>
      <c r="AR26" s="224">
        <v>105</v>
      </c>
      <c r="AS26" s="224">
        <v>0</v>
      </c>
      <c r="AT26" s="231">
        <f>(Table119[[#This Row],[FY22 Grads]]+Table119[[#This Row],[FY22 Fails]])/Table119[[#This Row],[FY22 Total Courses]]</f>
        <v>15</v>
      </c>
      <c r="AU26" s="226">
        <v>276</v>
      </c>
      <c r="AV26" s="218">
        <f t="shared" si="7"/>
        <v>0.38043478260869568</v>
      </c>
      <c r="AW26" s="240" t="s">
        <v>72</v>
      </c>
    </row>
    <row r="27" spans="1:49" s="415" customFormat="1" ht="45" x14ac:dyDescent="0.25">
      <c r="A27" s="419" t="s">
        <v>249</v>
      </c>
      <c r="B27" s="203" t="str">
        <f>VLOOKUP(Table119[[#This Row],[Course]],'TSD-Data'!$A$1:$G$98,7,FALSE)</f>
        <v>N3</v>
      </c>
      <c r="C27" s="203" t="s">
        <v>54</v>
      </c>
      <c r="D27" s="203" t="str">
        <f>VLOOKUP(Table119[[#This Row],[Course]],'TSD-Data'!$A$1:$G$93,2,FALSE)</f>
        <v>A-493-0331</v>
      </c>
      <c r="E27" s="203" t="str">
        <f>VLOOKUP(Table119[[#This Row],[Course]],'TSD-Data'!$A$1:$G$93,3,FALSE)</f>
        <v>10UG</v>
      </c>
      <c r="F27" s="208">
        <f>COUNTIF(Table2[Course Title],Table119[[#This Row],[Course]])</f>
        <v>21</v>
      </c>
      <c r="G27" s="208">
        <f>VLOOKUP(Table119[[#This Row],[Course]],'TSD-Data'!$A$1:$G$93,4,FALSE)</f>
        <v>45</v>
      </c>
      <c r="H27" s="208">
        <f>SUMIF(Table2[Course Title],Table119[[#This Row],[Course]],Table2[Graduates])</f>
        <v>598</v>
      </c>
      <c r="I27" s="208">
        <f>SUMIF(Table2[Course Title],Table119[[#This Row],[Course]],Table2[Fail])</f>
        <v>19</v>
      </c>
      <c r="J27" s="208">
        <f>SUMIF(Table2[Course Title],Table119[[#This Row],[Course]],Table2[No Shows])</f>
        <v>123</v>
      </c>
      <c r="K27" s="433">
        <f>(Table119[[#This Row],[FY26 Grads]]+Table119[[#This Row],[FY26 Fails]])/Table119[[#This Row],[FY26 Total Courses]]</f>
        <v>29.38095238095238</v>
      </c>
      <c r="L27" s="208">
        <v>1113</v>
      </c>
      <c r="M27" s="434">
        <f t="shared" si="0"/>
        <v>0.55435759209344115</v>
      </c>
      <c r="N27" s="383"/>
      <c r="O27" s="204">
        <v>19</v>
      </c>
      <c r="P27" s="205">
        <v>40</v>
      </c>
      <c r="Q27" s="243">
        <v>746</v>
      </c>
      <c r="R27" s="234">
        <v>14</v>
      </c>
      <c r="S27" s="208">
        <v>146</v>
      </c>
      <c r="T27" s="209">
        <f>(Table119[[#This Row],[FY25 Grads]]+Table119[[#This Row],[FY25 Fails]])/Table119[[#This Row],[FY25 Total Courses]]</f>
        <v>40</v>
      </c>
      <c r="U27" s="210">
        <v>1075</v>
      </c>
      <c r="V27" s="211">
        <f t="shared" si="1"/>
        <v>0.7069767441860465</v>
      </c>
      <c r="W27" s="422">
        <v>727</v>
      </c>
      <c r="X27" s="423">
        <v>19</v>
      </c>
      <c r="Y27" s="384"/>
      <c r="Z27" s="223">
        <v>15</v>
      </c>
      <c r="AA27" s="213">
        <v>40</v>
      </c>
      <c r="AB27" s="233">
        <v>504</v>
      </c>
      <c r="AC27" s="229">
        <v>12</v>
      </c>
      <c r="AD27" s="216">
        <f t="shared" si="2"/>
        <v>34.4</v>
      </c>
      <c r="AE27" s="243">
        <v>893</v>
      </c>
      <c r="AF27" s="218">
        <f t="shared" si="3"/>
        <v>0.57782754759238519</v>
      </c>
      <c r="AG27" s="384"/>
      <c r="AH27" s="205">
        <v>12</v>
      </c>
      <c r="AI27" s="219">
        <v>40</v>
      </c>
      <c r="AJ27" s="208">
        <v>436</v>
      </c>
      <c r="AK27" s="208">
        <v>5</v>
      </c>
      <c r="AL27" s="220">
        <f t="shared" si="4"/>
        <v>36.75</v>
      </c>
      <c r="AM27" s="244">
        <v>289</v>
      </c>
      <c r="AN27" s="241">
        <f t="shared" si="5"/>
        <v>1.5259515570934257</v>
      </c>
      <c r="AO27" s="222"/>
      <c r="AP27" s="223">
        <v>14</v>
      </c>
      <c r="AQ27" s="223">
        <v>40</v>
      </c>
      <c r="AR27" s="224">
        <v>514</v>
      </c>
      <c r="AS27" s="224">
        <v>10</v>
      </c>
      <c r="AT27" s="231">
        <f>(Table119[[#This Row],[FY22 Grads]]+Table119[[#This Row],[FY22 Fails]])/Table119[[#This Row],[FY22 Total Courses]]</f>
        <v>37.428571428571431</v>
      </c>
      <c r="AU27" s="226">
        <v>253</v>
      </c>
      <c r="AV27" s="211">
        <f t="shared" si="7"/>
        <v>2.0711462450592886</v>
      </c>
      <c r="AW27" s="240" t="s">
        <v>249</v>
      </c>
    </row>
    <row r="28" spans="1:49" s="415" customFormat="1" ht="60" x14ac:dyDescent="0.25">
      <c r="A28" s="419" t="s">
        <v>252</v>
      </c>
      <c r="B28" s="203" t="str">
        <f>VLOOKUP(Table119[[#This Row],[Course]],'TSD-Data'!$A$1:$G$98,7,FALSE)</f>
        <v>N3</v>
      </c>
      <c r="C28" s="203" t="s">
        <v>54</v>
      </c>
      <c r="D28" s="203" t="str">
        <f>VLOOKUP(Table119[[#This Row],[Course]],'TSD-Data'!$A$1:$G$93,2,FALSE)</f>
        <v>A-493-0335</v>
      </c>
      <c r="E28" s="203" t="str">
        <f>VLOOKUP(Table119[[#This Row],[Course]],'TSD-Data'!$A$1:$G$93,3,FALSE)</f>
        <v>09ND</v>
      </c>
      <c r="F28" s="208">
        <f>COUNTIF(Table2[Course Title],Table119[[#This Row],[Course]])</f>
        <v>9</v>
      </c>
      <c r="G28" s="208">
        <f>VLOOKUP(Table119[[#This Row],[Course]],'TSD-Data'!$A$1:$G$93,4,FALSE)</f>
        <v>45</v>
      </c>
      <c r="H28" s="208">
        <f>SUMIF(Table2[Course Title],Table119[[#This Row],[Course]],Table2[Graduates])</f>
        <v>113</v>
      </c>
      <c r="I28" s="208">
        <f>SUMIF(Table2[Course Title],Table119[[#This Row],[Course]],Table2[Fail])</f>
        <v>5</v>
      </c>
      <c r="J28" s="208">
        <f>SUMIF(Table2[Course Title],Table119[[#This Row],[Course]],Table2[No Shows])</f>
        <v>21</v>
      </c>
      <c r="K28" s="433">
        <f>(Table119[[#This Row],[FY26 Grads]]+Table119[[#This Row],[FY26 Fails]])/Table119[[#This Row],[FY26 Total Courses]]</f>
        <v>13.111111111111111</v>
      </c>
      <c r="L28" s="208">
        <v>674</v>
      </c>
      <c r="M28" s="434">
        <f t="shared" si="0"/>
        <v>0.17507418397626112</v>
      </c>
      <c r="N28" s="383"/>
      <c r="O28" s="204">
        <v>14</v>
      </c>
      <c r="P28" s="205">
        <v>30</v>
      </c>
      <c r="Q28" s="243">
        <v>224</v>
      </c>
      <c r="R28" s="234">
        <v>6</v>
      </c>
      <c r="S28" s="208">
        <v>46</v>
      </c>
      <c r="T28" s="209">
        <f>(Table119[[#This Row],[FY25 Grads]]+Table119[[#This Row],[FY25 Fails]])/Table119[[#This Row],[FY25 Total Courses]]</f>
        <v>16.428571428571427</v>
      </c>
      <c r="U28" s="210">
        <v>553</v>
      </c>
      <c r="V28" s="211">
        <f t="shared" si="1"/>
        <v>0.41591320072332733</v>
      </c>
      <c r="W28" s="422">
        <v>510</v>
      </c>
      <c r="X28" s="423">
        <v>17</v>
      </c>
      <c r="Y28" s="384"/>
      <c r="Z28" s="223">
        <v>10</v>
      </c>
      <c r="AA28" s="213">
        <v>30</v>
      </c>
      <c r="AB28" s="233">
        <v>225</v>
      </c>
      <c r="AC28" s="229">
        <v>9</v>
      </c>
      <c r="AD28" s="216">
        <f t="shared" si="2"/>
        <v>23.4</v>
      </c>
      <c r="AE28" s="243">
        <v>619</v>
      </c>
      <c r="AF28" s="218">
        <f t="shared" si="3"/>
        <v>0.37802907915993539</v>
      </c>
      <c r="AG28" s="384"/>
      <c r="AH28" s="205">
        <v>11</v>
      </c>
      <c r="AI28" s="219">
        <v>30</v>
      </c>
      <c r="AJ28" s="208">
        <v>250</v>
      </c>
      <c r="AK28" s="208">
        <v>10</v>
      </c>
      <c r="AL28" s="220">
        <f t="shared" si="4"/>
        <v>23.636363636363637</v>
      </c>
      <c r="AM28" s="244">
        <f>347+96</f>
        <v>443</v>
      </c>
      <c r="AN28" s="218">
        <f t="shared" si="5"/>
        <v>0.58690744920993232</v>
      </c>
      <c r="AO28" s="222"/>
      <c r="AP28" s="223">
        <v>8</v>
      </c>
      <c r="AQ28" s="223">
        <v>30</v>
      </c>
      <c r="AR28" s="224">
        <v>150</v>
      </c>
      <c r="AS28" s="224">
        <v>3</v>
      </c>
      <c r="AT28" s="231">
        <f>(Table119[[#This Row],[FY22 Grads]]+Table119[[#This Row],[FY22 Fails]])/Table119[[#This Row],[FY22 Total Courses]]</f>
        <v>19.125</v>
      </c>
      <c r="AU28" s="226">
        <v>132</v>
      </c>
      <c r="AV28" s="218">
        <f t="shared" si="7"/>
        <v>1.1590909090909092</v>
      </c>
      <c r="AW28" s="240" t="s">
        <v>252</v>
      </c>
    </row>
    <row r="29" spans="1:49" s="415" customFormat="1" ht="60" x14ac:dyDescent="0.25">
      <c r="A29" s="419" t="s">
        <v>56</v>
      </c>
      <c r="B29" s="203" t="str">
        <f>VLOOKUP(Table119[[#This Row],[Course]],'TSD-Data'!$A$1:$G$98,7,FALSE)</f>
        <v>N5</v>
      </c>
      <c r="C29" s="203" t="s">
        <v>54</v>
      </c>
      <c r="D29" s="203" t="str">
        <f>VLOOKUP(Table119[[#This Row],[Course]],'TSD-Data'!$A$1:$G$93,2,FALSE)</f>
        <v>A-493-0550</v>
      </c>
      <c r="E29" s="203" t="str">
        <f>VLOOKUP(Table119[[#This Row],[Course]],'TSD-Data'!$A$1:$G$93,3,FALSE)</f>
        <v>09K5</v>
      </c>
      <c r="F29" s="208">
        <f>COUNTIF(Table2[Course Title],Table119[[#This Row],[Course]])</f>
        <v>24</v>
      </c>
      <c r="G29" s="208">
        <f>VLOOKUP(Table119[[#This Row],[Course]],'TSD-Data'!$A$1:$G$93,4,FALSE)</f>
        <v>45</v>
      </c>
      <c r="H29" s="208">
        <f>SUMIF(Table2[Course Title],Table119[[#This Row],[Course]],Table2[Graduates])</f>
        <v>692</v>
      </c>
      <c r="I29" s="208">
        <f>SUMIF(Table2[Course Title],Table119[[#This Row],[Course]],Table2[Fail])</f>
        <v>6</v>
      </c>
      <c r="J29" s="208">
        <f>SUMIF(Table2[Course Title],Table119[[#This Row],[Course]],Table2[No Shows])</f>
        <v>124</v>
      </c>
      <c r="K29" s="433">
        <f>(Table119[[#This Row],[FY26 Grads]]+Table119[[#This Row],[FY26 Fails]])/Table119[[#This Row],[FY26 Total Courses]]</f>
        <v>29.083333333333332</v>
      </c>
      <c r="L29" s="208">
        <v>1112</v>
      </c>
      <c r="M29" s="434">
        <f t="shared" si="0"/>
        <v>0.62769784172661869</v>
      </c>
      <c r="N29" s="383"/>
      <c r="O29" s="204">
        <v>27</v>
      </c>
      <c r="P29" s="205">
        <v>45</v>
      </c>
      <c r="Q29" s="243">
        <v>962</v>
      </c>
      <c r="R29" s="234">
        <v>11</v>
      </c>
      <c r="S29" s="208">
        <v>173</v>
      </c>
      <c r="T29" s="209">
        <f>(Table119[[#This Row],[FY25 Grads]]+Table119[[#This Row],[FY25 Fails]])/Table119[[#This Row],[FY25 Total Courses]]</f>
        <v>36.037037037037038</v>
      </c>
      <c r="U29" s="210">
        <v>1606</v>
      </c>
      <c r="V29" s="211">
        <f t="shared" si="1"/>
        <v>0.60585305105853049</v>
      </c>
      <c r="W29" s="422">
        <v>919</v>
      </c>
      <c r="X29" s="423">
        <v>31</v>
      </c>
      <c r="Y29" s="384"/>
      <c r="Z29" s="223">
        <v>21</v>
      </c>
      <c r="AA29" s="213">
        <v>45</v>
      </c>
      <c r="AB29" s="245">
        <v>740</v>
      </c>
      <c r="AC29" s="235">
        <v>9</v>
      </c>
      <c r="AD29" s="216">
        <f t="shared" si="2"/>
        <v>35.666666666666664</v>
      </c>
      <c r="AE29" s="243">
        <v>990</v>
      </c>
      <c r="AF29" s="218">
        <f t="shared" si="3"/>
        <v>0.75656565656565655</v>
      </c>
      <c r="AG29" s="384"/>
      <c r="AH29" s="205">
        <v>18</v>
      </c>
      <c r="AI29" s="246">
        <v>30</v>
      </c>
      <c r="AJ29" s="208">
        <v>492</v>
      </c>
      <c r="AK29" s="208">
        <v>14</v>
      </c>
      <c r="AL29" s="220">
        <f t="shared" si="4"/>
        <v>28.111111111111111</v>
      </c>
      <c r="AM29" s="244">
        <f>294+163</f>
        <v>457</v>
      </c>
      <c r="AN29" s="241">
        <f t="shared" si="5"/>
        <v>1.1072210065645514</v>
      </c>
      <c r="AO29" s="222"/>
      <c r="AP29" s="223">
        <v>12</v>
      </c>
      <c r="AQ29" s="223">
        <v>30</v>
      </c>
      <c r="AR29" s="224">
        <v>338</v>
      </c>
      <c r="AS29" s="224">
        <v>4</v>
      </c>
      <c r="AT29" s="231">
        <f>(Table119[[#This Row],[FY22 Grads]]+Table119[[#This Row],[FY22 Fails]])/Table119[[#This Row],[FY22 Total Courses]]</f>
        <v>28.5</v>
      </c>
      <c r="AU29" s="226">
        <v>384</v>
      </c>
      <c r="AV29" s="218">
        <f t="shared" si="7"/>
        <v>0.890625</v>
      </c>
      <c r="AW29" s="240" t="s">
        <v>56</v>
      </c>
    </row>
    <row r="30" spans="1:49" s="415" customFormat="1" ht="45" x14ac:dyDescent="0.25">
      <c r="A30" s="418" t="s">
        <v>288</v>
      </c>
      <c r="B30" s="203" t="str">
        <f>VLOOKUP(Table119[[#This Row],[Course]],'TSD-Data'!$A$1:$G$98,7,FALSE)</f>
        <v>N5</v>
      </c>
      <c r="C30" s="203" t="s">
        <v>54</v>
      </c>
      <c r="D30" s="203" t="str">
        <f>VLOOKUP(Table119[[#This Row],[Course]],'TSD-Data'!$A$1:$G$93,2,FALSE)</f>
        <v>A-493-0073</v>
      </c>
      <c r="E30" s="203" t="str">
        <f>VLOOKUP(Table119[[#This Row],[Course]],'TSD-Data'!$A$1:$G$93,3,FALSE)</f>
        <v>714S</v>
      </c>
      <c r="F30" s="208">
        <f>COUNTIF(Table2[Course Title],Table119[[#This Row],[Course]])</f>
        <v>0</v>
      </c>
      <c r="G30" s="208">
        <f>VLOOKUP(Table119[[#This Row],[Course]],'TSD-Data'!$A$1:$G$93,4,FALSE)</f>
        <v>30</v>
      </c>
      <c r="H30" s="208">
        <f>SUMIF(Table2[Course Title],Table119[[#This Row],[Course]],Table2[Graduates])</f>
        <v>0</v>
      </c>
      <c r="I30" s="208">
        <f>SUMIF(Table2[Course Title],Table119[[#This Row],[Course]],Table2[Fail])</f>
        <v>0</v>
      </c>
      <c r="J30" s="208">
        <f>SUMIF(Table2[Course Title],Table119[[#This Row],[Course]],Table2[No Shows])</f>
        <v>0</v>
      </c>
      <c r="K30" s="433"/>
      <c r="L30" s="234">
        <v>698</v>
      </c>
      <c r="M30" s="434">
        <f t="shared" si="0"/>
        <v>0</v>
      </c>
      <c r="N30" s="383"/>
      <c r="O30" s="204">
        <v>10</v>
      </c>
      <c r="P30" s="205">
        <v>30</v>
      </c>
      <c r="Q30" s="243">
        <v>135</v>
      </c>
      <c r="R30" s="234">
        <v>1</v>
      </c>
      <c r="S30" s="208">
        <v>28</v>
      </c>
      <c r="T30" s="209">
        <f>(Table119[[#This Row],[FY25 Grads]]+Table119[[#This Row],[FY25 Fails]])/Table119[[#This Row],[FY25 Total Courses]]</f>
        <v>13.6</v>
      </c>
      <c r="U30" s="210">
        <v>614</v>
      </c>
      <c r="V30" s="211">
        <f t="shared" si="1"/>
        <v>0.22149837133550487</v>
      </c>
      <c r="W30" s="422">
        <v>536</v>
      </c>
      <c r="X30" s="423">
        <v>18</v>
      </c>
      <c r="Y30" s="384"/>
      <c r="Z30" s="223">
        <v>10</v>
      </c>
      <c r="AA30" s="213">
        <v>30</v>
      </c>
      <c r="AB30" s="247">
        <v>165</v>
      </c>
      <c r="AC30" s="235">
        <v>0</v>
      </c>
      <c r="AD30" s="216">
        <f t="shared" si="2"/>
        <v>16.5</v>
      </c>
      <c r="AE30" s="217">
        <v>572</v>
      </c>
      <c r="AF30" s="218">
        <f t="shared" si="3"/>
        <v>0.28846153846153844</v>
      </c>
      <c r="AG30" s="384"/>
      <c r="AH30" s="205">
        <v>7</v>
      </c>
      <c r="AI30" s="246">
        <v>30</v>
      </c>
      <c r="AJ30" s="208">
        <v>175</v>
      </c>
      <c r="AK30" s="208">
        <v>2</v>
      </c>
      <c r="AL30" s="220">
        <f t="shared" si="4"/>
        <v>25.285714285714285</v>
      </c>
      <c r="AM30" s="244">
        <v>480</v>
      </c>
      <c r="AN30" s="218">
        <f t="shared" si="5"/>
        <v>0.36875000000000002</v>
      </c>
      <c r="AO30" s="222"/>
      <c r="AP30" s="223">
        <v>2</v>
      </c>
      <c r="AQ30" s="223">
        <v>30</v>
      </c>
      <c r="AR30" s="224">
        <v>56</v>
      </c>
      <c r="AS30" s="224">
        <v>0</v>
      </c>
      <c r="AT30" s="231">
        <f>(Table119[[#This Row],[FY22 Grads]]+Table119[[#This Row],[FY22 Fails]])/Table119[[#This Row],[FY22 Total Courses]]</f>
        <v>28</v>
      </c>
      <c r="AU30" s="226">
        <v>421</v>
      </c>
      <c r="AV30" s="218">
        <f t="shared" si="7"/>
        <v>0.1330166270783848</v>
      </c>
      <c r="AW30" s="232" t="s">
        <v>288</v>
      </c>
    </row>
    <row r="31" spans="1:49" s="415" customFormat="1" ht="30" x14ac:dyDescent="0.25">
      <c r="A31" s="419" t="s">
        <v>53</v>
      </c>
      <c r="B31" s="203" t="str">
        <f>VLOOKUP(Table119[[#This Row],[Course]],'TSD-Data'!$A$1:$G$98,7,FALSE)</f>
        <v>N5</v>
      </c>
      <c r="C31" s="203" t="s">
        <v>54</v>
      </c>
      <c r="D31" s="203" t="str">
        <f>VLOOKUP(Table119[[#This Row],[Course]],'TSD-Data'!$A$1:$G$93,2,FALSE)</f>
        <v>A-493-0078</v>
      </c>
      <c r="E31" s="203">
        <f>VLOOKUP(Table119[[#This Row],[Course]],'TSD-Data'!$A$1:$G$93,3,FALSE)</f>
        <v>1228</v>
      </c>
      <c r="F31" s="208">
        <f>COUNTIF(Table2[Course Title],Table119[[#This Row],[Course]])</f>
        <v>17</v>
      </c>
      <c r="G31" s="208">
        <f>VLOOKUP(Table119[[#This Row],[Course]],'TSD-Data'!$A$1:$G$93,4,FALSE)</f>
        <v>45</v>
      </c>
      <c r="H31" s="208">
        <f>SUMIF(Table2[Course Title],Table119[[#This Row],[Course]],Table2[Graduates])</f>
        <v>485</v>
      </c>
      <c r="I31" s="208">
        <f>SUMIF(Table2[Course Title],Table119[[#This Row],[Course]],Table2[Fail])</f>
        <v>11</v>
      </c>
      <c r="J31" s="208">
        <f>SUMIF(Table2[Course Title],Table119[[#This Row],[Course]],Table2[No Shows])</f>
        <v>99</v>
      </c>
      <c r="K31" s="433">
        <f>(Table119[[#This Row],[FY26 Grads]]+Table119[[#This Row],[FY26 Fails]])/Table119[[#This Row],[FY26 Total Courses]]</f>
        <v>29.176470588235293</v>
      </c>
      <c r="L31" s="208">
        <v>1260</v>
      </c>
      <c r="M31" s="434">
        <f t="shared" si="0"/>
        <v>0.39365079365079364</v>
      </c>
      <c r="N31" s="396"/>
      <c r="O31" s="204">
        <v>23</v>
      </c>
      <c r="P31" s="205">
        <v>45</v>
      </c>
      <c r="Q31" s="206">
        <v>722</v>
      </c>
      <c r="R31" s="234">
        <v>4</v>
      </c>
      <c r="S31" s="248">
        <v>113</v>
      </c>
      <c r="T31" s="249">
        <f>(Table119[[#This Row],[FY25 Grads]]+Table119[[#This Row],[FY25 Fails]])/Table119[[#This Row],[FY25 Total Courses]]</f>
        <v>31.565217391304348</v>
      </c>
      <c r="U31" s="250">
        <v>1162</v>
      </c>
      <c r="V31" s="211">
        <f t="shared" si="1"/>
        <v>0.6247848537005164</v>
      </c>
      <c r="W31" s="428">
        <v>1051</v>
      </c>
      <c r="X31" s="429">
        <v>36</v>
      </c>
      <c r="Y31" s="384"/>
      <c r="Z31" s="223">
        <v>23</v>
      </c>
      <c r="AA31" s="251">
        <v>45</v>
      </c>
      <c r="AB31" s="247">
        <v>721</v>
      </c>
      <c r="AC31" s="235">
        <v>6</v>
      </c>
      <c r="AD31" s="216">
        <f t="shared" si="2"/>
        <v>31.608695652173914</v>
      </c>
      <c r="AE31" s="243">
        <v>1033</v>
      </c>
      <c r="AF31" s="218">
        <f t="shared" si="3"/>
        <v>0.70377541142303968</v>
      </c>
      <c r="AG31" s="384"/>
      <c r="AH31" s="205">
        <v>20</v>
      </c>
      <c r="AI31" s="246">
        <v>30</v>
      </c>
      <c r="AJ31" s="208">
        <v>558</v>
      </c>
      <c r="AK31" s="208">
        <v>10</v>
      </c>
      <c r="AL31" s="220">
        <f t="shared" si="4"/>
        <v>28.4</v>
      </c>
      <c r="AM31" s="244">
        <v>607</v>
      </c>
      <c r="AN31" s="218">
        <f t="shared" si="5"/>
        <v>0.93574958813838549</v>
      </c>
      <c r="AO31" s="222"/>
      <c r="AP31" s="252">
        <v>14</v>
      </c>
      <c r="AQ31" s="252">
        <v>30</v>
      </c>
      <c r="AR31" s="253">
        <v>307</v>
      </c>
      <c r="AS31" s="253">
        <v>0</v>
      </c>
      <c r="AT31" s="254">
        <f>(Table119[[#This Row],[FY22 Grads]]+Table119[[#This Row],[FY22 Fails]])/Table119[[#This Row],[FY22 Total Courses]]</f>
        <v>21.928571428571427</v>
      </c>
      <c r="AU31" s="255">
        <v>610</v>
      </c>
      <c r="AV31" s="218">
        <f t="shared" si="7"/>
        <v>0.50327868852459012</v>
      </c>
      <c r="AW31" s="240" t="s">
        <v>53</v>
      </c>
    </row>
    <row r="32" spans="1:49" s="415" customFormat="1" ht="25.5" x14ac:dyDescent="0.25">
      <c r="A32" s="385" t="s">
        <v>138</v>
      </c>
      <c r="B32" s="203" t="str">
        <f>VLOOKUP(Table119[[#This Row],[Course]],'TSD-Data'!$A$1:$G$98,7,FALSE)</f>
        <v>N5</v>
      </c>
      <c r="C32" s="382" t="s">
        <v>508</v>
      </c>
      <c r="D32" s="203" t="str">
        <f>VLOOKUP(Table119[[#This Row],[Course]],'TSD-Data'!$A$1:$G$93,2,FALSE)</f>
        <v>A-493-0078</v>
      </c>
      <c r="E32" s="203" t="str">
        <f>VLOOKUP(Table119[[#This Row],[Course]],'TSD-Data'!$A$1:$G$93,3,FALSE)</f>
        <v>32FJ</v>
      </c>
      <c r="F32" s="208">
        <f>COUNTIF(Table2[Course Title],Table119[[#This Row],[Course]])</f>
        <v>0</v>
      </c>
      <c r="G32" s="208">
        <f>VLOOKUP(Table119[[#This Row],[Course]],'TSD-Data'!$A$1:$G$93,4,FALSE)</f>
        <v>30</v>
      </c>
      <c r="H32" s="208">
        <f>SUMIF(Table2[Course Title],Table119[[#This Row],[Course]],Table2[Graduates])</f>
        <v>0</v>
      </c>
      <c r="I32" s="208">
        <f>SUMIF(Table2[Course Title],Table119[[#This Row],[Course]],Table2[Fail])</f>
        <v>0</v>
      </c>
      <c r="J32" s="208">
        <f>SUMIF(Table2[Course Title],Table119[[#This Row],[Course]],Table2[No Shows])</f>
        <v>0</v>
      </c>
      <c r="K32" s="433" t="e">
        <f>(Table119[[#This Row],[FY26 Grads]]+Table119[[#This Row],[FY26 Fails]])/Table119[[#This Row],[FY26 Total Courses]]</f>
        <v>#DIV/0!</v>
      </c>
      <c r="L32" s="208">
        <v>0</v>
      </c>
      <c r="M32" s="434" t="str">
        <f t="shared" si="0"/>
        <v>0</v>
      </c>
      <c r="N32" s="383"/>
      <c r="O32" s="256"/>
      <c r="P32" s="257"/>
      <c r="Q32" s="258"/>
      <c r="R32" s="259"/>
      <c r="S32" s="257"/>
      <c r="T32" s="260"/>
      <c r="U32" s="256"/>
      <c r="V32" s="261"/>
      <c r="W32" s="430"/>
      <c r="X32" s="431"/>
      <c r="Y32" s="384"/>
      <c r="Z32" s="262"/>
      <c r="AA32" s="263"/>
      <c r="AB32" s="264"/>
      <c r="AC32" s="265"/>
      <c r="AD32" s="266"/>
      <c r="AE32" s="267"/>
      <c r="AF32" s="268"/>
      <c r="AG32" s="384"/>
      <c r="AH32" s="269"/>
      <c r="AI32" s="270"/>
      <c r="AJ32" s="271"/>
      <c r="AK32" s="271"/>
      <c r="AL32" s="272"/>
      <c r="AM32" s="273"/>
      <c r="AN32" s="274"/>
      <c r="AO32" s="222"/>
      <c r="AP32" s="275"/>
      <c r="AQ32" s="276"/>
      <c r="AR32" s="276"/>
      <c r="AS32" s="276"/>
      <c r="AT32" s="277"/>
      <c r="AU32" s="278"/>
      <c r="AV32" s="274"/>
      <c r="AW32" s="385" t="s">
        <v>138</v>
      </c>
    </row>
    <row r="33" spans="1:49" s="415" customFormat="1" ht="25.5" x14ac:dyDescent="0.25">
      <c r="A33" s="381" t="s">
        <v>255</v>
      </c>
      <c r="B33" s="203" t="str">
        <f>VLOOKUP(Table119[[#This Row],[Course]],'TSD-Data'!$A$1:$G$98,7,FALSE)</f>
        <v>N3</v>
      </c>
      <c r="C33" s="203" t="s">
        <v>54</v>
      </c>
      <c r="D33" s="203" t="str">
        <f>VLOOKUP(Table119[[#This Row],[Course]],'TSD-Data'!$A$1:$G$93,2,FALSE)</f>
        <v>A-493-0085</v>
      </c>
      <c r="E33" s="203">
        <f>VLOOKUP(Table119[[#This Row],[Course]],'TSD-Data'!$A$1:$G$93,3,FALSE)</f>
        <v>3555</v>
      </c>
      <c r="F33" s="208">
        <f>COUNTIF(Table2[Course Title],Table119[[#This Row],[Course]])</f>
        <v>9</v>
      </c>
      <c r="G33" s="208">
        <f>VLOOKUP(Table119[[#This Row],[Course]],'TSD-Data'!$A$1:$G$93,4,FALSE)</f>
        <v>45</v>
      </c>
      <c r="H33" s="208">
        <f>SUMIF(Table2[Course Title],Table119[[#This Row],[Course]],Table2[Graduates])</f>
        <v>114</v>
      </c>
      <c r="I33" s="208">
        <f>SUMIF(Table2[Course Title],Table119[[#This Row],[Course]],Table2[Fail])</f>
        <v>6</v>
      </c>
      <c r="J33" s="208">
        <f>SUMIF(Table2[Course Title],Table119[[#This Row],[Course]],Table2[No Shows])</f>
        <v>34</v>
      </c>
      <c r="K33" s="433">
        <f>(Table119[[#This Row],[FY26 Grads]]+Table119[[#This Row],[FY26 Fails]])/Table119[[#This Row],[FY26 Total Courses]]</f>
        <v>13.333333333333334</v>
      </c>
      <c r="L33" s="208">
        <v>835</v>
      </c>
      <c r="M33" s="434">
        <f t="shared" si="0"/>
        <v>0.1437125748502994</v>
      </c>
      <c r="N33" s="383"/>
      <c r="O33" s="204">
        <v>14</v>
      </c>
      <c r="P33" s="205">
        <v>45</v>
      </c>
      <c r="Q33" s="243">
        <v>215</v>
      </c>
      <c r="R33" s="234">
        <v>5</v>
      </c>
      <c r="S33" s="208">
        <v>44</v>
      </c>
      <c r="T33" s="209">
        <f>(Table119[[#This Row],[FY25 Grads]]+Table119[[#This Row],[FY25 Fails]])/Table119[[#This Row],[FY25 Total Courses]]</f>
        <v>15.714285714285714</v>
      </c>
      <c r="U33" s="210">
        <v>685</v>
      </c>
      <c r="V33" s="211">
        <f>IFERROR((Q33+R33)/U33, "N/A")</f>
        <v>0.32116788321167883</v>
      </c>
      <c r="W33" s="521">
        <v>657</v>
      </c>
      <c r="X33" s="431">
        <v>22</v>
      </c>
      <c r="Y33" s="386"/>
      <c r="Z33" s="279">
        <v>10</v>
      </c>
      <c r="AA33" s="213">
        <v>30</v>
      </c>
      <c r="AB33" s="247">
        <v>248</v>
      </c>
      <c r="AC33" s="235">
        <v>11</v>
      </c>
      <c r="AD33" s="216">
        <f>AVERAGE(AB33+AC33)/Z33</f>
        <v>25.9</v>
      </c>
      <c r="AE33" s="217">
        <v>605</v>
      </c>
      <c r="AF33" s="218">
        <f>SUM(AB33+AC33)/AE33</f>
        <v>0.42809917355371901</v>
      </c>
      <c r="AG33" s="387"/>
      <c r="AH33" s="280">
        <v>7</v>
      </c>
      <c r="AI33" s="246">
        <v>30</v>
      </c>
      <c r="AJ33" s="208">
        <v>163</v>
      </c>
      <c r="AK33" s="208">
        <v>6</v>
      </c>
      <c r="AL33" s="220">
        <f>AVERAGE(AJ33+AK33)/AH33</f>
        <v>24.142857142857142</v>
      </c>
      <c r="AM33" s="244">
        <v>168</v>
      </c>
      <c r="AN33" s="241">
        <f>SUM(AJ33+AK33)/AM33</f>
        <v>1.0059523809523809</v>
      </c>
      <c r="AO33" s="281"/>
      <c r="AP33" s="279">
        <v>4</v>
      </c>
      <c r="AQ33" s="223">
        <v>30</v>
      </c>
      <c r="AR33" s="224">
        <v>113</v>
      </c>
      <c r="AS33" s="224">
        <v>0</v>
      </c>
      <c r="AT33" s="231">
        <f>(Table119[[#This Row],[FY22 Grads]]+Table119[[#This Row],[FY22 Fails]])/Table119[[#This Row],[FY22 Total Courses]]</f>
        <v>28.25</v>
      </c>
      <c r="AU33" s="226">
        <v>191</v>
      </c>
      <c r="AV33" s="218">
        <f>SUM(AR33+AS33)/AU33</f>
        <v>0.59162303664921467</v>
      </c>
      <c r="AW33" s="381" t="s">
        <v>255</v>
      </c>
    </row>
    <row r="34" spans="1:49" ht="38.25" x14ac:dyDescent="0.25">
      <c r="A34" s="381" t="s">
        <v>193</v>
      </c>
      <c r="B34" s="203" t="str">
        <f>VLOOKUP(Table119[[#This Row],[Course]],'TSD-Data'!$A$1:$G$98,7,FALSE)</f>
        <v>N3</v>
      </c>
      <c r="C34" s="203" t="s">
        <v>54</v>
      </c>
      <c r="D34" s="203" t="str">
        <f>VLOOKUP(Table119[[#This Row],[Course]],'TSD-Data'!$A$1:$G$93,2,FALSE)</f>
        <v>TBD</v>
      </c>
      <c r="E34" s="203" t="str">
        <f>VLOOKUP(Table119[[#This Row],[Course]],'TSD-Data'!$A$1:$G$93,3,FALSE)</f>
        <v>TBD</v>
      </c>
      <c r="F34" s="208">
        <f>COUNTIF(Table2[Course Title],Table119[[#This Row],[Course]])</f>
        <v>0</v>
      </c>
      <c r="G34" s="208">
        <f>VLOOKUP(Table119[[#This Row],[Course]],'TSD-Data'!$A$1:$G$93,4,FALSE)</f>
        <v>45</v>
      </c>
      <c r="H34" s="208">
        <f>SUMIF(Table2[Course Title],Table119[[#This Row],[Course]],Table2[Graduates])</f>
        <v>0</v>
      </c>
      <c r="I34" s="208">
        <f>SUMIF(Table2[Course Title],Table119[[#This Row],[Course]],Table2[Fail])</f>
        <v>0</v>
      </c>
      <c r="J34" s="208">
        <f>SUMIF(Table2[Course Title],Table119[[#This Row],[Course]],Table2[No Shows])</f>
        <v>0</v>
      </c>
      <c r="K34" s="433"/>
      <c r="L34" s="234">
        <v>547</v>
      </c>
      <c r="M34" s="434">
        <f t="shared" ref="M34:M64" si="8">IFERROR((H34+I34)/L34, "0")</f>
        <v>0</v>
      </c>
      <c r="N34" s="383"/>
      <c r="O34" s="256"/>
      <c r="P34" s="257"/>
      <c r="Q34" s="257"/>
      <c r="R34" s="259"/>
      <c r="S34" s="257"/>
      <c r="T34" s="260"/>
      <c r="U34" s="256"/>
      <c r="V34" s="261"/>
      <c r="W34" s="521"/>
      <c r="X34" s="431"/>
      <c r="Y34" s="386"/>
      <c r="Z34" s="282"/>
      <c r="AA34" s="282"/>
      <c r="AB34" s="282"/>
      <c r="AC34" s="282"/>
      <c r="AD34" s="282"/>
      <c r="AE34" s="282"/>
      <c r="AF34" s="282"/>
      <c r="AG34" s="387"/>
      <c r="AH34" s="282"/>
      <c r="AI34" s="282"/>
      <c r="AJ34" s="282"/>
      <c r="AK34" s="282"/>
      <c r="AL34" s="282"/>
      <c r="AM34" s="282"/>
      <c r="AN34" s="282"/>
      <c r="AO34" s="281"/>
      <c r="AP34" s="282"/>
      <c r="AQ34" s="282"/>
      <c r="AR34" s="282"/>
      <c r="AS34" s="282"/>
      <c r="AT34" s="282"/>
      <c r="AU34" s="282"/>
      <c r="AV34" s="282"/>
      <c r="AW34" s="381" t="s">
        <v>193</v>
      </c>
    </row>
    <row r="35" spans="1:49" ht="60" x14ac:dyDescent="0.25">
      <c r="A35" s="418" t="s">
        <v>99</v>
      </c>
      <c r="B35" s="203" t="str">
        <f>VLOOKUP(Table119[[#This Row],[Course]],'TSD-Data'!$A$1:$G$98,7,FALSE)</f>
        <v>N4</v>
      </c>
      <c r="C35" s="382" t="s">
        <v>508</v>
      </c>
      <c r="D35" s="203" t="str">
        <f>VLOOKUP(Table119[[#This Row],[Course]],'TSD-Data'!$A$1:$G$93,2,FALSE)</f>
        <v>A-493-2501</v>
      </c>
      <c r="E35" s="203" t="str">
        <f>VLOOKUP(Table119[[#This Row],[Course]],'TSD-Data'!$A$1:$G$93,3,FALSE)</f>
        <v>05ZE</v>
      </c>
      <c r="F35" s="208">
        <f>COUNTIF(Table2[Course Title],Table119[[#This Row],[Course]])</f>
        <v>11</v>
      </c>
      <c r="G35" s="208">
        <f>VLOOKUP(Table119[[#This Row],[Course]],'TSD-Data'!$A$1:$G$93,4,FALSE)</f>
        <v>30</v>
      </c>
      <c r="H35" s="208">
        <f>SUMIF(Table2[Course Title],Table119[[#This Row],[Course]],Table2[Graduates])</f>
        <v>151</v>
      </c>
      <c r="I35" s="208">
        <f>SUMIF(Table2[Course Title],Table119[[#This Row],[Course]],Table2[Fail])</f>
        <v>5</v>
      </c>
      <c r="J35" s="208">
        <f>SUMIF(Table2[Course Title],Table119[[#This Row],[Course]],Table2[No Shows])</f>
        <v>46</v>
      </c>
      <c r="K35" s="433">
        <f>(Table119[[#This Row],[FY26 Grads]]+Table119[[#This Row],[FY26 Fails]])/Table119[[#This Row],[FY26 Total Courses]]</f>
        <v>14.181818181818182</v>
      </c>
      <c r="L35" s="208">
        <v>1085</v>
      </c>
      <c r="M35" s="434">
        <f t="shared" si="8"/>
        <v>0.14377880184331798</v>
      </c>
      <c r="N35" s="383"/>
      <c r="O35" s="204">
        <v>20</v>
      </c>
      <c r="P35" s="204">
        <v>30</v>
      </c>
      <c r="Q35" s="210">
        <v>318</v>
      </c>
      <c r="R35" s="234">
        <v>0</v>
      </c>
      <c r="S35" s="210">
        <v>58</v>
      </c>
      <c r="T35" s="209">
        <f>(Table119[[#This Row],[FY25 Grads]]+Table119[[#This Row],[FY25 Fails]])/Table119[[#This Row],[FY25 Total Courses]]</f>
        <v>15.9</v>
      </c>
      <c r="U35" s="210">
        <v>987</v>
      </c>
      <c r="V35" s="211">
        <f>IFERROR((Q35+R35)/U35, "N/A")</f>
        <v>0.32218844984802431</v>
      </c>
      <c r="W35" s="521">
        <v>1323</v>
      </c>
      <c r="X35" s="521">
        <v>45</v>
      </c>
      <c r="Y35" s="386"/>
      <c r="Z35" s="283">
        <v>21</v>
      </c>
      <c r="AA35" s="284">
        <v>25</v>
      </c>
      <c r="AB35" s="285">
        <v>406</v>
      </c>
      <c r="AC35" s="285">
        <v>0</v>
      </c>
      <c r="AD35" s="216">
        <f>AVERAGE(AB35+AC35)/Z35</f>
        <v>19.333333333333332</v>
      </c>
      <c r="AE35" s="217">
        <v>1440</v>
      </c>
      <c r="AF35" s="218">
        <f>SUM(AB35+AC35)/AE35</f>
        <v>0.28194444444444444</v>
      </c>
      <c r="AG35" s="387"/>
      <c r="AH35" s="286">
        <v>21</v>
      </c>
      <c r="AI35" s="204">
        <v>25</v>
      </c>
      <c r="AJ35" s="210">
        <v>269</v>
      </c>
      <c r="AK35" s="210">
        <v>0</v>
      </c>
      <c r="AL35" s="220">
        <f>AVERAGE(AJ35+AK35)/AH35</f>
        <v>12.80952380952381</v>
      </c>
      <c r="AM35" s="235">
        <v>575</v>
      </c>
      <c r="AN35" s="218">
        <f>SUM(AJ35+AK35)/AM35</f>
        <v>0.46782608695652173</v>
      </c>
      <c r="AO35" s="281"/>
      <c r="AP35" s="279">
        <v>20</v>
      </c>
      <c r="AQ35" s="223">
        <v>25</v>
      </c>
      <c r="AR35" s="224">
        <v>303</v>
      </c>
      <c r="AS35" s="224">
        <v>0</v>
      </c>
      <c r="AT35" s="225">
        <v>15.15</v>
      </c>
      <c r="AU35" s="226">
        <v>275</v>
      </c>
      <c r="AV35" s="227">
        <f>SUM(AR35+AS35)/AU35</f>
        <v>1.1018181818181818</v>
      </c>
      <c r="AW35" s="232" t="s">
        <v>99</v>
      </c>
    </row>
    <row r="36" spans="1:49" ht="75" x14ac:dyDescent="0.25">
      <c r="A36" s="419" t="s">
        <v>229</v>
      </c>
      <c r="B36" s="203" t="str">
        <f>VLOOKUP(Table119[[#This Row],[Course]],'TSD-Data'!$A$1:$G$98,7,FALSE)</f>
        <v>N8</v>
      </c>
      <c r="C36" s="203" t="s">
        <v>54</v>
      </c>
      <c r="D36" s="203" t="str">
        <f>VLOOKUP(Table119[[#This Row],[Course]],'TSD-Data'!$A$1:$G$93,2,FALSE)</f>
        <v>A-570-0100</v>
      </c>
      <c r="E36" s="203" t="str">
        <f>VLOOKUP(Table119[[#This Row],[Course]],'TSD-Data'!$A$1:$G$93,3,FALSE)</f>
        <v>18B7</v>
      </c>
      <c r="F36" s="208">
        <f>COUNTIF(Table2[Course Title],Table119[[#This Row],[Course]])</f>
        <v>16</v>
      </c>
      <c r="G36" s="208">
        <f>VLOOKUP(Table119[[#This Row],[Course]],'TSD-Data'!$A$1:$G$93,4,FALSE)</f>
        <v>45</v>
      </c>
      <c r="H36" s="208">
        <f>SUMIF(Table2[Course Title],Table119[[#This Row],[Course]],Table2[Graduates])</f>
        <v>218</v>
      </c>
      <c r="I36" s="208">
        <f>SUMIF(Table2[Course Title],Table119[[#This Row],[Course]],Table2[Fail])</f>
        <v>5</v>
      </c>
      <c r="J36" s="208">
        <f>SUMIF(Table2[Course Title],Table119[[#This Row],[Course]],Table2[No Shows])</f>
        <v>53</v>
      </c>
      <c r="K36" s="433">
        <f>(Table119[[#This Row],[FY26 Grads]]+Table119[[#This Row],[FY26 Fails]])/Table119[[#This Row],[FY26 Total Courses]]</f>
        <v>13.9375</v>
      </c>
      <c r="L36" s="208">
        <v>804</v>
      </c>
      <c r="M36" s="434">
        <f t="shared" si="8"/>
        <v>0.27736318407960198</v>
      </c>
      <c r="N36" s="383"/>
      <c r="O36" s="204">
        <v>18</v>
      </c>
      <c r="P36" s="205">
        <v>45</v>
      </c>
      <c r="Q36" s="243">
        <v>300</v>
      </c>
      <c r="R36" s="234">
        <v>39</v>
      </c>
      <c r="S36" s="208">
        <v>81</v>
      </c>
      <c r="T36" s="209">
        <f>(Table119[[#This Row],[FY25 Grads]]+Table119[[#This Row],[FY25 Fails]])/Table119[[#This Row],[FY25 Total Courses]]</f>
        <v>18.833333333333332</v>
      </c>
      <c r="U36" s="210">
        <v>808</v>
      </c>
      <c r="V36" s="211">
        <f>IFERROR((Q36+R36)/U36, "N/A")</f>
        <v>0.41955445544554454</v>
      </c>
      <c r="W36" s="521">
        <v>659</v>
      </c>
      <c r="X36" s="431">
        <v>22</v>
      </c>
      <c r="Y36" s="386"/>
      <c r="Z36" s="279">
        <v>15</v>
      </c>
      <c r="AA36" s="284">
        <v>30</v>
      </c>
      <c r="AB36" s="287">
        <v>309</v>
      </c>
      <c r="AC36" s="235">
        <v>29</v>
      </c>
      <c r="AD36" s="216">
        <f>AVERAGE(AB36+AC36)/Z36</f>
        <v>22.533333333333335</v>
      </c>
      <c r="AE36" s="217">
        <v>595</v>
      </c>
      <c r="AF36" s="218">
        <f>SUM(AB36+AC36)/AE36</f>
        <v>0.56806722689075628</v>
      </c>
      <c r="AG36" s="387"/>
      <c r="AH36" s="280">
        <v>8</v>
      </c>
      <c r="AI36" s="246">
        <v>30</v>
      </c>
      <c r="AJ36" s="208">
        <v>173</v>
      </c>
      <c r="AK36" s="208">
        <v>24</v>
      </c>
      <c r="AL36" s="220">
        <f>AVERAGE(AJ36+AK36)/AH36</f>
        <v>24.625</v>
      </c>
      <c r="AM36" s="244">
        <v>220</v>
      </c>
      <c r="AN36" s="218">
        <f>SUM(AJ36+AK36)/AM36</f>
        <v>0.8954545454545455</v>
      </c>
      <c r="AO36" s="281"/>
      <c r="AP36" s="279">
        <v>10</v>
      </c>
      <c r="AQ36" s="223">
        <v>30</v>
      </c>
      <c r="AR36" s="224">
        <v>244</v>
      </c>
      <c r="AS36" s="224">
        <v>22</v>
      </c>
      <c r="AT36" s="231">
        <f>(Table119[[#This Row],[FY22 Grads]]+Table119[[#This Row],[FY22 Fails]])/Table119[[#This Row],[FY22 Total Courses]]</f>
        <v>26.6</v>
      </c>
      <c r="AU36" s="226">
        <v>305</v>
      </c>
      <c r="AV36" s="288">
        <f>SUM(AR36+AS36)/AU36</f>
        <v>0.87213114754098364</v>
      </c>
      <c r="AW36" s="240" t="s">
        <v>229</v>
      </c>
    </row>
    <row r="37" spans="1:49" ht="25.5" x14ac:dyDescent="0.25">
      <c r="A37" s="381" t="s">
        <v>77</v>
      </c>
      <c r="B37" s="203" t="str">
        <f>VLOOKUP(Table119[[#This Row],[Course]],'TSD-Data'!$A$1:$G$98,7,FALSE)</f>
        <v>N3</v>
      </c>
      <c r="C37" s="382" t="s">
        <v>508</v>
      </c>
      <c r="D37" s="203" t="str">
        <f>VLOOKUP(Table119[[#This Row],[Course]],'TSD-Data'!$A$1:$G$93,2,FALSE)</f>
        <v>A-493-0072</v>
      </c>
      <c r="E37" s="203" t="str">
        <f>VLOOKUP(Table119[[#This Row],[Course]],'TSD-Data'!$A$1:$G$93,3,FALSE)</f>
        <v>713U</v>
      </c>
      <c r="F37" s="208">
        <f>COUNTIF(Table2[Course Title],Table119[[#This Row],[Course]])</f>
        <v>24</v>
      </c>
      <c r="G37" s="208">
        <f>VLOOKUP(Table119[[#This Row],[Course]],'TSD-Data'!$A$1:$G$93,4,FALSE)</f>
        <v>30</v>
      </c>
      <c r="H37" s="208">
        <f>SUMIF(Table2[Course Title],Table119[[#This Row],[Course]],Table2[Graduates])</f>
        <v>392</v>
      </c>
      <c r="I37" s="208">
        <f>SUMIF(Table2[Course Title],Table119[[#This Row],[Course]],Table2[Fail])</f>
        <v>1</v>
      </c>
      <c r="J37" s="208">
        <f>SUMIF(Table2[Course Title],Table119[[#This Row],[Course]],Table2[No Shows])</f>
        <v>58</v>
      </c>
      <c r="K37" s="433">
        <f>(Table119[[#This Row],[FY26 Grads]]+Table119[[#This Row],[FY26 Fails]])/Table119[[#This Row],[FY26 Total Courses]]</f>
        <v>16.375</v>
      </c>
      <c r="L37" s="234">
        <v>1671</v>
      </c>
      <c r="M37" s="434">
        <f t="shared" si="8"/>
        <v>0.23518850987432674</v>
      </c>
      <c r="N37" s="383"/>
      <c r="O37" s="204">
        <v>25</v>
      </c>
      <c r="P37" s="205">
        <v>30</v>
      </c>
      <c r="Q37" s="243">
        <v>530</v>
      </c>
      <c r="R37" s="234">
        <v>5</v>
      </c>
      <c r="S37" s="208">
        <v>97</v>
      </c>
      <c r="T37" s="209">
        <f>(Table119[[#This Row],[FY25 Grads]]+Table119[[#This Row],[FY25 Fails]])/Table119[[#This Row],[FY25 Total Courses]]</f>
        <v>21.4</v>
      </c>
      <c r="U37" s="210">
        <v>1437</v>
      </c>
      <c r="V37" s="211">
        <f>IFERROR((Q37+R37)/U37, "N/A")</f>
        <v>0.37230340988169797</v>
      </c>
      <c r="W37" s="521">
        <v>1043</v>
      </c>
      <c r="X37" s="431">
        <v>35</v>
      </c>
      <c r="Y37" s="386"/>
      <c r="Z37" s="279">
        <v>25</v>
      </c>
      <c r="AA37" s="284">
        <v>30</v>
      </c>
      <c r="AB37" s="287">
        <v>553</v>
      </c>
      <c r="AC37" s="235">
        <v>1</v>
      </c>
      <c r="AD37" s="216">
        <f>AVERAGE(AB37+AC37)/Z37</f>
        <v>22.16</v>
      </c>
      <c r="AE37" s="217">
        <v>1181</v>
      </c>
      <c r="AF37" s="218">
        <f>SUM(AB37+AC37)/AE37</f>
        <v>0.4690939881456393</v>
      </c>
      <c r="AG37" s="387"/>
      <c r="AH37" s="280">
        <v>24</v>
      </c>
      <c r="AI37" s="246">
        <v>30</v>
      </c>
      <c r="AJ37" s="208">
        <v>596</v>
      </c>
      <c r="AK37" s="208">
        <v>0</v>
      </c>
      <c r="AL37" s="220">
        <f>AVERAGE(AJ37+AK37)/AH37</f>
        <v>24.833333333333332</v>
      </c>
      <c r="AM37" s="244">
        <v>683</v>
      </c>
      <c r="AN37" s="218">
        <f>SUM(AJ37+AK37)/AM37</f>
        <v>0.87262079062957543</v>
      </c>
      <c r="AO37" s="281"/>
      <c r="AP37" s="279">
        <v>22</v>
      </c>
      <c r="AQ37" s="223">
        <v>30</v>
      </c>
      <c r="AR37" s="224">
        <v>535</v>
      </c>
      <c r="AS37" s="224">
        <v>1</v>
      </c>
      <c r="AT37" s="231">
        <f>(Table119[[#This Row],[FY22 Grads]]+Table119[[#This Row],[FY22 Fails]])/Table119[[#This Row],[FY22 Total Courses]]</f>
        <v>24.363636363636363</v>
      </c>
      <c r="AU37" s="226">
        <v>663</v>
      </c>
      <c r="AV37" s="218">
        <f>SUM(AR37+AS37)/AU37</f>
        <v>0.80844645550527905</v>
      </c>
      <c r="AW37" s="381" t="s">
        <v>77</v>
      </c>
    </row>
    <row r="38" spans="1:49" ht="42.75" x14ac:dyDescent="0.25">
      <c r="A38" s="437" t="s">
        <v>396</v>
      </c>
      <c r="B38" s="203" t="str">
        <f>VLOOKUP(Table119[[#This Row],[Course]],'TSD-Data'!$A$1:$G$98,7,FALSE)</f>
        <v>N8-RMI</v>
      </c>
      <c r="C38" s="203" t="s">
        <v>54</v>
      </c>
      <c r="D38" s="203" t="str">
        <f>VLOOKUP(Table119[[#This Row],[Course]],'TSD-Data'!$A$1:$G$93,2,FALSE)</f>
        <v>A-493-3018</v>
      </c>
      <c r="E38" s="203" t="str">
        <f>VLOOKUP(Table119[[#This Row],[Course]],'TSD-Data'!$A$1:$G$93,3,FALSE)</f>
        <v>31YM</v>
      </c>
      <c r="F38" s="208">
        <f>COUNTIF(Table2[Course Title],Table119[[#This Row],[Course]])</f>
        <v>12</v>
      </c>
      <c r="G38" s="208">
        <f>VLOOKUP(Table119[[#This Row],[Course]],'TSD-Data'!$A$1:$G$93,4,FALSE)</f>
        <v>1000</v>
      </c>
      <c r="H38" s="208">
        <f>SUMIF(Table2[Course Title],Table119[[#This Row],[Course]],Table2[Graduates])</f>
        <v>166</v>
      </c>
      <c r="I38" s="208">
        <f>SUMIF(Table2[Course Title],Table119[[#This Row],[Course]],Table2[Fail])</f>
        <v>0</v>
      </c>
      <c r="J38" s="208">
        <f>SUMIF(Table2[Course Title],Table119[[#This Row],[Course]],Table2[No Shows])</f>
        <v>0</v>
      </c>
      <c r="K38" s="433">
        <f>(Table119[[#This Row],[FY26 Grads]]+Table119[[#This Row],[FY26 Fails]])/Table119[[#This Row],[FY26 Total Courses]]</f>
        <v>13.833333333333334</v>
      </c>
      <c r="L38" s="208">
        <v>0</v>
      </c>
      <c r="M38" s="434" t="str">
        <f t="shared" si="8"/>
        <v>0</v>
      </c>
      <c r="N38" s="383"/>
      <c r="O38" s="301"/>
      <c r="P38" s="271"/>
      <c r="Q38" s="270"/>
      <c r="R38" s="302"/>
      <c r="S38" s="271"/>
      <c r="T38" s="277"/>
      <c r="U38" s="301"/>
      <c r="V38" s="303"/>
      <c r="W38" s="430"/>
      <c r="X38" s="431"/>
      <c r="Y38" s="386"/>
      <c r="Z38" s="289"/>
      <c r="AA38" s="282"/>
      <c r="AB38" s="290"/>
      <c r="AC38" s="291"/>
      <c r="AD38" s="292"/>
      <c r="AE38" s="293"/>
      <c r="AF38" s="294"/>
      <c r="AG38" s="387"/>
      <c r="AH38" s="295"/>
      <c r="AI38" s="296"/>
      <c r="AJ38" s="297"/>
      <c r="AK38" s="297"/>
      <c r="AL38" s="292"/>
      <c r="AM38" s="298"/>
      <c r="AN38" s="294"/>
      <c r="AO38" s="281"/>
      <c r="AP38" s="289"/>
      <c r="AQ38" s="291"/>
      <c r="AR38" s="291"/>
      <c r="AS38" s="291"/>
      <c r="AT38" s="299"/>
      <c r="AU38" s="300"/>
      <c r="AV38" s="294"/>
      <c r="AW38" s="440" t="s">
        <v>396</v>
      </c>
    </row>
    <row r="39" spans="1:49" ht="25.5" x14ac:dyDescent="0.25">
      <c r="A39" s="381" t="s">
        <v>397</v>
      </c>
      <c r="B39" s="203" t="str">
        <f>VLOOKUP(Table119[[#This Row],[Course]],'TSD-Data'!$A$1:$G$98,7,FALSE)</f>
        <v>N8-RMI</v>
      </c>
      <c r="C39" s="203" t="s">
        <v>54</v>
      </c>
      <c r="D39" s="203" t="str">
        <f>VLOOKUP(Table119[[#This Row],[Course]],'TSD-Data'!$A$1:$G$93,2,FALSE)</f>
        <v>A-493-3005</v>
      </c>
      <c r="E39" s="203" t="str">
        <f>VLOOKUP(Table119[[#This Row],[Course]],'TSD-Data'!$A$1:$G$93,3,FALSE)</f>
        <v>31V7</v>
      </c>
      <c r="F39" s="208">
        <f>COUNTIF(Table2[Course Title],Table119[[#This Row],[Course]])</f>
        <v>12</v>
      </c>
      <c r="G39" s="208">
        <f>VLOOKUP(Table119[[#This Row],[Course]],'TSD-Data'!$A$1:$G$93,4,FALSE)</f>
        <v>1000</v>
      </c>
      <c r="H39" s="208">
        <f>SUMIF(Table2[Course Title],Table119[[#This Row],[Course]],Table2[Graduates])</f>
        <v>218</v>
      </c>
      <c r="I39" s="208">
        <f>SUMIF(Table2[Course Title],Table119[[#This Row],[Course]],Table2[Fail])</f>
        <v>0</v>
      </c>
      <c r="J39" s="208">
        <f>SUMIF(Table2[Course Title],Table119[[#This Row],[Course]],Table2[No Shows])</f>
        <v>0</v>
      </c>
      <c r="K39" s="433">
        <f>(Table119[[#This Row],[FY26 Grads]]+Table119[[#This Row],[FY26 Fails]])/Table119[[#This Row],[FY26 Total Courses]]</f>
        <v>18.166666666666668</v>
      </c>
      <c r="L39" s="208">
        <v>0</v>
      </c>
      <c r="M39" s="434" t="str">
        <f t="shared" si="8"/>
        <v>0</v>
      </c>
      <c r="N39" s="383"/>
      <c r="O39" s="204">
        <v>3</v>
      </c>
      <c r="P39" s="208">
        <v>100</v>
      </c>
      <c r="Q39" s="243">
        <v>208</v>
      </c>
      <c r="R39" s="234">
        <v>0</v>
      </c>
      <c r="S39" s="208">
        <v>117</v>
      </c>
      <c r="T39" s="209">
        <f>(Table119[[#This Row],[FY25 Grads]]+Table119[[#This Row],[FY25 Fails]])/Table119[[#This Row],[FY25 Total Courses]]</f>
        <v>69.333333333333329</v>
      </c>
      <c r="U39" s="210">
        <v>0</v>
      </c>
      <c r="V39" s="211" t="str">
        <f>IFERROR((Q39+R39)/U39, "N/A")</f>
        <v>N/A</v>
      </c>
      <c r="W39" s="430"/>
      <c r="X39" s="431"/>
      <c r="Y39" s="386"/>
      <c r="Z39" s="289"/>
      <c r="AA39" s="282"/>
      <c r="AB39" s="290"/>
      <c r="AC39" s="291"/>
      <c r="AD39" s="292"/>
      <c r="AE39" s="293"/>
      <c r="AF39" s="294"/>
      <c r="AG39" s="281"/>
      <c r="AH39" s="295"/>
      <c r="AI39" s="296"/>
      <c r="AJ39" s="297"/>
      <c r="AK39" s="297"/>
      <c r="AL39" s="292"/>
      <c r="AM39" s="298"/>
      <c r="AN39" s="294"/>
      <c r="AO39" s="281"/>
      <c r="AP39" s="289"/>
      <c r="AQ39" s="291"/>
      <c r="AR39" s="291"/>
      <c r="AS39" s="291"/>
      <c r="AT39" s="299"/>
      <c r="AU39" s="300"/>
      <c r="AV39" s="294"/>
      <c r="AW39" s="381" t="s">
        <v>397</v>
      </c>
    </row>
    <row r="40" spans="1:49" ht="38.25" x14ac:dyDescent="0.25">
      <c r="A40" s="381" t="s">
        <v>398</v>
      </c>
      <c r="B40" s="203" t="str">
        <f>VLOOKUP(Table119[[#This Row],[Course]],'TSD-Data'!$A$1:$G$98,7,FALSE)</f>
        <v>N8-RMI</v>
      </c>
      <c r="C40" s="203" t="s">
        <v>54</v>
      </c>
      <c r="D40" s="203" t="str">
        <f>VLOOKUP(Table119[[#This Row],[Course]],'TSD-Data'!$A$1:$G$93,2,FALSE)</f>
        <v>A-493-3004</v>
      </c>
      <c r="E40" s="203" t="str">
        <f>VLOOKUP(Table119[[#This Row],[Course]],'TSD-Data'!$A$1:$G$93,3,FALSE)</f>
        <v>31V6</v>
      </c>
      <c r="F40" s="208">
        <f>COUNTIF(Table2[Course Title],Table119[[#This Row],[Course]])</f>
        <v>12</v>
      </c>
      <c r="G40" s="208">
        <f>VLOOKUP(Table119[[#This Row],[Course]],'TSD-Data'!$A$1:$G$93,4,FALSE)</f>
        <v>1000</v>
      </c>
      <c r="H40" s="208">
        <f>SUMIF(Table2[Course Title],Table119[[#This Row],[Course]],Table2[Graduates])</f>
        <v>260</v>
      </c>
      <c r="I40" s="208">
        <f>SUMIF(Table2[Course Title],Table119[[#This Row],[Course]],Table2[Fail])</f>
        <v>0</v>
      </c>
      <c r="J40" s="208">
        <f>SUMIF(Table2[Course Title],Table119[[#This Row],[Course]],Table2[No Shows])</f>
        <v>0</v>
      </c>
      <c r="K40" s="433">
        <f>(Table119[[#This Row],[FY26 Grads]]+Table119[[#This Row],[FY26 Fails]])/Table119[[#This Row],[FY26 Total Courses]]</f>
        <v>21.666666666666668</v>
      </c>
      <c r="L40" s="208">
        <v>0</v>
      </c>
      <c r="M40" s="434" t="str">
        <f t="shared" si="8"/>
        <v>0</v>
      </c>
      <c r="N40" s="383"/>
      <c r="O40" s="204">
        <v>4</v>
      </c>
      <c r="P40" s="208">
        <v>100</v>
      </c>
      <c r="Q40" s="243">
        <v>258</v>
      </c>
      <c r="R40" s="234">
        <v>0</v>
      </c>
      <c r="S40" s="208">
        <v>135</v>
      </c>
      <c r="T40" s="209">
        <f>(Table119[[#This Row],[FY25 Grads]]+Table119[[#This Row],[FY25 Fails]])/Table119[[#This Row],[FY25 Total Courses]]</f>
        <v>64.5</v>
      </c>
      <c r="U40" s="210">
        <v>0</v>
      </c>
      <c r="V40" s="211" t="str">
        <f>IFERROR((Q40+R40)/U40, "N/A")</f>
        <v>N/A</v>
      </c>
      <c r="W40" s="430"/>
      <c r="X40" s="431"/>
      <c r="Y40" s="386"/>
      <c r="Z40" s="289"/>
      <c r="AA40" s="282"/>
      <c r="AB40" s="290"/>
      <c r="AC40" s="291"/>
      <c r="AD40" s="292"/>
      <c r="AE40" s="293"/>
      <c r="AF40" s="294"/>
      <c r="AG40" s="281"/>
      <c r="AH40" s="295"/>
      <c r="AI40" s="296"/>
      <c r="AJ40" s="297"/>
      <c r="AK40" s="297"/>
      <c r="AL40" s="292"/>
      <c r="AM40" s="298"/>
      <c r="AN40" s="294"/>
      <c r="AO40" s="281"/>
      <c r="AP40" s="289"/>
      <c r="AQ40" s="291"/>
      <c r="AR40" s="291"/>
      <c r="AS40" s="291"/>
      <c r="AT40" s="299"/>
      <c r="AU40" s="300"/>
      <c r="AV40" s="294"/>
      <c r="AW40" s="381" t="s">
        <v>398</v>
      </c>
    </row>
    <row r="41" spans="1:49" ht="38.25" x14ac:dyDescent="0.25">
      <c r="A41" s="381" t="s">
        <v>399</v>
      </c>
      <c r="B41" s="203" t="str">
        <f>VLOOKUP(Table119[[#This Row],[Course]],'TSD-Data'!$A$1:$G$98,7,FALSE)</f>
        <v>N8-RMI</v>
      </c>
      <c r="C41" s="203" t="s">
        <v>54</v>
      </c>
      <c r="D41" s="203" t="str">
        <f>VLOOKUP(Table119[[#This Row],[Course]],'TSD-Data'!$A$1:$G$93,2,FALSE)</f>
        <v>A-493-3011</v>
      </c>
      <c r="E41" s="203" t="str">
        <f>VLOOKUP(Table119[[#This Row],[Course]],'TSD-Data'!$A$1:$G$93,3,FALSE)</f>
        <v>31VD</v>
      </c>
      <c r="F41" s="208">
        <f>COUNTIF(Table2[Course Title],Table119[[#This Row],[Course]])</f>
        <v>12</v>
      </c>
      <c r="G41" s="208">
        <f>VLOOKUP(Table119[[#This Row],[Course]],'TSD-Data'!$A$1:$G$93,4,FALSE)</f>
        <v>1000</v>
      </c>
      <c r="H41" s="208">
        <f>SUMIF(Table2[Course Title],Table119[[#This Row],[Course]],Table2[Graduates])</f>
        <v>257</v>
      </c>
      <c r="I41" s="208">
        <f>SUMIF(Table2[Course Title],Table119[[#This Row],[Course]],Table2[Fail])</f>
        <v>0</v>
      </c>
      <c r="J41" s="208">
        <f>SUMIF(Table2[Course Title],Table119[[#This Row],[Course]],Table2[No Shows])</f>
        <v>0</v>
      </c>
      <c r="K41" s="433">
        <f>(Table119[[#This Row],[FY26 Grads]]+Table119[[#This Row],[FY26 Fails]])/Table119[[#This Row],[FY26 Total Courses]]</f>
        <v>21.416666666666668</v>
      </c>
      <c r="L41" s="208">
        <v>0</v>
      </c>
      <c r="M41" s="434" t="str">
        <f t="shared" si="8"/>
        <v>0</v>
      </c>
      <c r="N41" s="383"/>
      <c r="O41" s="204">
        <v>4</v>
      </c>
      <c r="P41" s="208">
        <v>100</v>
      </c>
      <c r="Q41" s="243">
        <v>270</v>
      </c>
      <c r="R41" s="234">
        <v>0</v>
      </c>
      <c r="S41" s="208">
        <v>146</v>
      </c>
      <c r="T41" s="209">
        <f>(Table119[[#This Row],[FY25 Grads]]+Table119[[#This Row],[FY25 Fails]])/Table119[[#This Row],[FY25 Total Courses]]</f>
        <v>67.5</v>
      </c>
      <c r="U41" s="210">
        <v>0</v>
      </c>
      <c r="V41" s="211" t="str">
        <f>IFERROR((Q41+R41)/U41, "N/A")</f>
        <v>N/A</v>
      </c>
      <c r="W41" s="430"/>
      <c r="X41" s="431"/>
      <c r="Y41" s="386"/>
      <c r="Z41" s="289"/>
      <c r="AA41" s="282"/>
      <c r="AB41" s="290"/>
      <c r="AC41" s="291"/>
      <c r="AD41" s="292"/>
      <c r="AE41" s="293"/>
      <c r="AF41" s="294"/>
      <c r="AG41" s="281"/>
      <c r="AH41" s="295"/>
      <c r="AI41" s="296"/>
      <c r="AJ41" s="297"/>
      <c r="AK41" s="297"/>
      <c r="AL41" s="292"/>
      <c r="AM41" s="298"/>
      <c r="AN41" s="294"/>
      <c r="AO41" s="281"/>
      <c r="AP41" s="289"/>
      <c r="AQ41" s="291"/>
      <c r="AR41" s="291"/>
      <c r="AS41" s="291"/>
      <c r="AT41" s="299"/>
      <c r="AU41" s="300"/>
      <c r="AV41" s="294"/>
      <c r="AW41" s="381" t="s">
        <v>399</v>
      </c>
    </row>
    <row r="42" spans="1:49" ht="38.25" x14ac:dyDescent="0.25">
      <c r="A42" s="381" t="s">
        <v>400</v>
      </c>
      <c r="B42" s="203" t="str">
        <f>VLOOKUP(Table119[[#This Row],[Course]],'TSD-Data'!$A$1:$G$98,7,FALSE)</f>
        <v>N8-RMI</v>
      </c>
      <c r="C42" s="203" t="s">
        <v>54</v>
      </c>
      <c r="D42" s="203" t="str">
        <f>VLOOKUP(Table119[[#This Row],[Course]],'TSD-Data'!$A$1:$G$93,2,FALSE)</f>
        <v>A-493-3010</v>
      </c>
      <c r="E42" s="203" t="str">
        <f>VLOOKUP(Table119[[#This Row],[Course]],'TSD-Data'!$A$1:$G$93,3,FALSE)</f>
        <v>31VC</v>
      </c>
      <c r="F42" s="208">
        <f>COUNTIF(Table2[Course Title],Table119[[#This Row],[Course]])</f>
        <v>12</v>
      </c>
      <c r="G42" s="208">
        <f>VLOOKUP(Table119[[#This Row],[Course]],'TSD-Data'!$A$1:$G$93,4,FALSE)</f>
        <v>1000</v>
      </c>
      <c r="H42" s="208">
        <f>SUMIF(Table2[Course Title],Table119[[#This Row],[Course]],Table2[Graduates])</f>
        <v>295</v>
      </c>
      <c r="I42" s="208">
        <f>SUMIF(Table2[Course Title],Table119[[#This Row],[Course]],Table2[Fail])</f>
        <v>0</v>
      </c>
      <c r="J42" s="208">
        <f>SUMIF(Table2[Course Title],Table119[[#This Row],[Course]],Table2[No Shows])</f>
        <v>0</v>
      </c>
      <c r="K42" s="433">
        <f>(Table119[[#This Row],[FY26 Grads]]+Table119[[#This Row],[FY26 Fails]])/Table119[[#This Row],[FY26 Total Courses]]</f>
        <v>24.583333333333332</v>
      </c>
      <c r="L42" s="208">
        <v>0</v>
      </c>
      <c r="M42" s="434" t="str">
        <f t="shared" si="8"/>
        <v>0</v>
      </c>
      <c r="N42" s="383"/>
      <c r="O42" s="204">
        <v>5</v>
      </c>
      <c r="P42" s="208">
        <v>100</v>
      </c>
      <c r="Q42" s="243">
        <v>368</v>
      </c>
      <c r="R42" s="234">
        <v>0</v>
      </c>
      <c r="S42" s="208">
        <v>134</v>
      </c>
      <c r="T42" s="209">
        <f>(Table119[[#This Row],[FY25 Grads]]+Table119[[#This Row],[FY25 Fails]])/Table119[[#This Row],[FY25 Total Courses]]</f>
        <v>73.599999999999994</v>
      </c>
      <c r="U42" s="210">
        <v>0</v>
      </c>
      <c r="V42" s="211" t="str">
        <f>IFERROR((Q42+R42)/U42, "N/A")</f>
        <v>N/A</v>
      </c>
      <c r="W42" s="430"/>
      <c r="X42" s="431"/>
      <c r="Y42" s="386"/>
      <c r="Z42" s="289"/>
      <c r="AA42" s="282"/>
      <c r="AB42" s="290"/>
      <c r="AC42" s="291"/>
      <c r="AD42" s="292"/>
      <c r="AE42" s="293"/>
      <c r="AF42" s="294"/>
      <c r="AG42" s="281"/>
      <c r="AH42" s="295"/>
      <c r="AI42" s="296"/>
      <c r="AJ42" s="297"/>
      <c r="AK42" s="297"/>
      <c r="AL42" s="292"/>
      <c r="AM42" s="298"/>
      <c r="AN42" s="294"/>
      <c r="AO42" s="281"/>
      <c r="AP42" s="289"/>
      <c r="AQ42" s="291"/>
      <c r="AR42" s="291"/>
      <c r="AS42" s="291"/>
      <c r="AT42" s="299"/>
      <c r="AU42" s="300"/>
      <c r="AV42" s="294"/>
      <c r="AW42" s="381" t="s">
        <v>400</v>
      </c>
    </row>
    <row r="43" spans="1:49" ht="38.25" x14ac:dyDescent="0.25">
      <c r="A43" s="381" t="s">
        <v>401</v>
      </c>
      <c r="B43" s="203" t="str">
        <f>VLOOKUP(Table119[[#This Row],[Course]],'TSD-Data'!$A$1:$G$98,7,FALSE)</f>
        <v>N8-RMI</v>
      </c>
      <c r="C43" s="203" t="s">
        <v>54</v>
      </c>
      <c r="D43" s="203" t="str">
        <f>VLOOKUP(Table119[[#This Row],[Course]],'TSD-Data'!$A$1:$G$93,2,FALSE)</f>
        <v>A-493-3002</v>
      </c>
      <c r="E43" s="203" t="str">
        <f>VLOOKUP(Table119[[#This Row],[Course]],'TSD-Data'!$A$1:$G$93,3,FALSE)</f>
        <v>31V4</v>
      </c>
      <c r="F43" s="208">
        <f>COUNTIF(Table2[Course Title],Table119[[#This Row],[Course]])</f>
        <v>12</v>
      </c>
      <c r="G43" s="208">
        <f>VLOOKUP(Table119[[#This Row],[Course]],'TSD-Data'!$A$1:$G$93,4,FALSE)</f>
        <v>1000</v>
      </c>
      <c r="H43" s="208">
        <f>SUMIF(Table2[Course Title],Table119[[#This Row],[Course]],Table2[Graduates])</f>
        <v>287</v>
      </c>
      <c r="I43" s="208">
        <f>SUMIF(Table2[Course Title],Table119[[#This Row],[Course]],Table2[Fail])</f>
        <v>0</v>
      </c>
      <c r="J43" s="208">
        <f>SUMIF(Table2[Course Title],Table119[[#This Row],[Course]],Table2[No Shows])</f>
        <v>0</v>
      </c>
      <c r="K43" s="433">
        <f>(Table119[[#This Row],[FY26 Grads]]+Table119[[#This Row],[FY26 Fails]])/Table119[[#This Row],[FY26 Total Courses]]</f>
        <v>23.916666666666668</v>
      </c>
      <c r="L43" s="208">
        <v>0</v>
      </c>
      <c r="M43" s="434" t="str">
        <f t="shared" si="8"/>
        <v>0</v>
      </c>
      <c r="N43" s="383"/>
      <c r="O43" s="204">
        <v>4</v>
      </c>
      <c r="P43" s="208">
        <v>100</v>
      </c>
      <c r="Q43" s="243">
        <v>307</v>
      </c>
      <c r="R43" s="234">
        <v>0</v>
      </c>
      <c r="S43" s="208">
        <v>103</v>
      </c>
      <c r="T43" s="209">
        <f>(Table119[[#This Row],[FY25 Grads]]+Table119[[#This Row],[FY25 Fails]])/Table119[[#This Row],[FY25 Total Courses]]</f>
        <v>76.75</v>
      </c>
      <c r="U43" s="210">
        <v>0</v>
      </c>
      <c r="V43" s="211" t="str">
        <f>IFERROR((Q43+R43)/U43, "N/A")</f>
        <v>N/A</v>
      </c>
      <c r="W43" s="430"/>
      <c r="X43" s="431"/>
      <c r="Y43" s="386"/>
      <c r="Z43" s="289"/>
      <c r="AA43" s="282"/>
      <c r="AB43" s="290"/>
      <c r="AC43" s="291"/>
      <c r="AD43" s="292"/>
      <c r="AE43" s="293"/>
      <c r="AF43" s="294"/>
      <c r="AG43" s="281"/>
      <c r="AH43" s="295"/>
      <c r="AI43" s="296"/>
      <c r="AJ43" s="297"/>
      <c r="AK43" s="297"/>
      <c r="AL43" s="292"/>
      <c r="AM43" s="298"/>
      <c r="AN43" s="294"/>
      <c r="AO43" s="281"/>
      <c r="AP43" s="289"/>
      <c r="AQ43" s="291"/>
      <c r="AR43" s="291"/>
      <c r="AS43" s="291"/>
      <c r="AT43" s="299"/>
      <c r="AU43" s="300"/>
      <c r="AV43" s="294"/>
      <c r="AW43" s="381" t="s">
        <v>401</v>
      </c>
    </row>
    <row r="44" spans="1:49" ht="42.75" x14ac:dyDescent="0.25">
      <c r="A44" s="437" t="s">
        <v>402</v>
      </c>
      <c r="B44" s="203" t="str">
        <f>VLOOKUP(Table119[[#This Row],[Course]],'TSD-Data'!$A$1:$G$98,7,FALSE)</f>
        <v>N8-RMI</v>
      </c>
      <c r="C44" s="203" t="s">
        <v>54</v>
      </c>
      <c r="D44" s="203" t="str">
        <f>VLOOKUP(Table119[[#This Row],[Course]],'TSD-Data'!$A$1:$G$93,2,FALSE)</f>
        <v>A-493-3017</v>
      </c>
      <c r="E44" s="203" t="str">
        <f>VLOOKUP(Table119[[#This Row],[Course]],'TSD-Data'!$A$1:$G$93,3,FALSE)</f>
        <v>31YL</v>
      </c>
      <c r="F44" s="208">
        <f>COUNTIF(Table2[Course Title],Table119[[#This Row],[Course]])</f>
        <v>12</v>
      </c>
      <c r="G44" s="208">
        <f>VLOOKUP(Table119[[#This Row],[Course]],'TSD-Data'!$A$1:$G$93,4,FALSE)</f>
        <v>1000</v>
      </c>
      <c r="H44" s="208">
        <f>SUMIF(Table2[Course Title],Table119[[#This Row],[Course]],Table2[Graduates])</f>
        <v>181</v>
      </c>
      <c r="I44" s="208">
        <f>SUMIF(Table2[Course Title],Table119[[#This Row],[Course]],Table2[Fail])</f>
        <v>0</v>
      </c>
      <c r="J44" s="208">
        <f>SUMIF(Table2[Course Title],Table119[[#This Row],[Course]],Table2[No Shows])</f>
        <v>0</v>
      </c>
      <c r="K44" s="433">
        <f>(Table119[[#This Row],[FY26 Grads]]+Table119[[#This Row],[FY26 Fails]])/Table119[[#This Row],[FY26 Total Courses]]</f>
        <v>15.083333333333334</v>
      </c>
      <c r="L44" s="208">
        <v>0</v>
      </c>
      <c r="M44" s="434" t="str">
        <f t="shared" si="8"/>
        <v>0</v>
      </c>
      <c r="N44" s="383"/>
      <c r="O44" s="301"/>
      <c r="P44" s="271"/>
      <c r="Q44" s="270"/>
      <c r="R44" s="302"/>
      <c r="S44" s="271"/>
      <c r="T44" s="277"/>
      <c r="U44" s="301"/>
      <c r="V44" s="303"/>
      <c r="W44" s="430"/>
      <c r="X44" s="431"/>
      <c r="Y44" s="386"/>
      <c r="Z44" s="289"/>
      <c r="AA44" s="282"/>
      <c r="AB44" s="290"/>
      <c r="AC44" s="291"/>
      <c r="AD44" s="292"/>
      <c r="AE44" s="293"/>
      <c r="AF44" s="294"/>
      <c r="AG44" s="387"/>
      <c r="AH44" s="295"/>
      <c r="AI44" s="296"/>
      <c r="AJ44" s="297"/>
      <c r="AK44" s="297"/>
      <c r="AL44" s="292"/>
      <c r="AM44" s="298"/>
      <c r="AN44" s="294"/>
      <c r="AO44" s="281"/>
      <c r="AP44" s="289"/>
      <c r="AQ44" s="291"/>
      <c r="AR44" s="291"/>
      <c r="AS44" s="291"/>
      <c r="AT44" s="299"/>
      <c r="AU44" s="300"/>
      <c r="AV44" s="294"/>
      <c r="AW44" s="440" t="s">
        <v>402</v>
      </c>
    </row>
    <row r="45" spans="1:49" ht="57" x14ac:dyDescent="0.25">
      <c r="A45" s="437" t="s">
        <v>403</v>
      </c>
      <c r="B45" s="203" t="str">
        <f>VLOOKUP(Table119[[#This Row],[Course]],'TSD-Data'!$A$1:$G$98,7,FALSE)</f>
        <v>N8-RMI</v>
      </c>
      <c r="C45" s="203" t="s">
        <v>54</v>
      </c>
      <c r="D45" s="203" t="str">
        <f>VLOOKUP(Table119[[#This Row],[Course]],'TSD-Data'!$A$1:$G$93,2,FALSE)</f>
        <v>A-493-3013</v>
      </c>
      <c r="E45" s="203" t="str">
        <f>VLOOKUP(Table119[[#This Row],[Course]],'TSD-Data'!$A$1:$G$93,3,FALSE)</f>
        <v>31YG</v>
      </c>
      <c r="F45" s="208">
        <f>COUNTIF(Table2[Course Title],Table119[[#This Row],[Course]])</f>
        <v>12</v>
      </c>
      <c r="G45" s="208">
        <f>VLOOKUP(Table119[[#This Row],[Course]],'TSD-Data'!$A$1:$G$93,4,FALSE)</f>
        <v>1000</v>
      </c>
      <c r="H45" s="208">
        <f>SUMIF(Table2[Course Title],Table119[[#This Row],[Course]],Table2[Graduates])</f>
        <v>218</v>
      </c>
      <c r="I45" s="208">
        <f>SUMIF(Table2[Course Title],Table119[[#This Row],[Course]],Table2[Fail])</f>
        <v>0</v>
      </c>
      <c r="J45" s="208">
        <f>SUMIF(Table2[Course Title],Table119[[#This Row],[Course]],Table2[No Shows])</f>
        <v>0</v>
      </c>
      <c r="K45" s="433">
        <f>(Table119[[#This Row],[FY26 Grads]]+Table119[[#This Row],[FY26 Fails]])/Table119[[#This Row],[FY26 Total Courses]]</f>
        <v>18.166666666666668</v>
      </c>
      <c r="L45" s="208">
        <v>0</v>
      </c>
      <c r="M45" s="434" t="str">
        <f t="shared" si="8"/>
        <v>0</v>
      </c>
      <c r="N45" s="383"/>
      <c r="O45" s="301"/>
      <c r="P45" s="271"/>
      <c r="Q45" s="270"/>
      <c r="R45" s="302"/>
      <c r="S45" s="271"/>
      <c r="T45" s="277"/>
      <c r="U45" s="301"/>
      <c r="V45" s="303"/>
      <c r="W45" s="430"/>
      <c r="X45" s="431"/>
      <c r="Y45" s="386"/>
      <c r="Z45" s="289"/>
      <c r="AA45" s="282"/>
      <c r="AB45" s="290"/>
      <c r="AC45" s="291"/>
      <c r="AD45" s="292"/>
      <c r="AE45" s="293"/>
      <c r="AF45" s="294"/>
      <c r="AG45" s="387"/>
      <c r="AH45" s="295"/>
      <c r="AI45" s="296"/>
      <c r="AJ45" s="297"/>
      <c r="AK45" s="297"/>
      <c r="AL45" s="292"/>
      <c r="AM45" s="298"/>
      <c r="AN45" s="294"/>
      <c r="AO45" s="281"/>
      <c r="AP45" s="289"/>
      <c r="AQ45" s="291"/>
      <c r="AR45" s="291"/>
      <c r="AS45" s="291"/>
      <c r="AT45" s="299"/>
      <c r="AU45" s="300"/>
      <c r="AV45" s="294"/>
      <c r="AW45" s="440" t="s">
        <v>403</v>
      </c>
    </row>
    <row r="46" spans="1:49" ht="57" x14ac:dyDescent="0.25">
      <c r="A46" s="437" t="s">
        <v>404</v>
      </c>
      <c r="B46" s="203" t="str">
        <f>VLOOKUP(Table119[[#This Row],[Course]],'TSD-Data'!$A$1:$G$98,7,FALSE)</f>
        <v>N8-RMI</v>
      </c>
      <c r="C46" s="203" t="s">
        <v>54</v>
      </c>
      <c r="D46" s="203" t="str">
        <f>VLOOKUP(Table119[[#This Row],[Course]],'TSD-Data'!$A$1:$G$93,2,FALSE)</f>
        <v>A-493-3014</v>
      </c>
      <c r="E46" s="203" t="str">
        <f>VLOOKUP(Table119[[#This Row],[Course]],'TSD-Data'!$A$1:$G$93,3,FALSE)</f>
        <v>31Yh</v>
      </c>
      <c r="F46" s="208">
        <f>COUNTIF(Table2[Course Title],Table119[[#This Row],[Course]])</f>
        <v>12</v>
      </c>
      <c r="G46" s="208">
        <f>VLOOKUP(Table119[[#This Row],[Course]],'TSD-Data'!$A$1:$G$93,4,FALSE)</f>
        <v>1000</v>
      </c>
      <c r="H46" s="208">
        <f>SUMIF(Table2[Course Title],Table119[[#This Row],[Course]],Table2[Graduates])</f>
        <v>193</v>
      </c>
      <c r="I46" s="208">
        <f>SUMIF(Table2[Course Title],Table119[[#This Row],[Course]],Table2[Fail])</f>
        <v>0</v>
      </c>
      <c r="J46" s="208">
        <f>SUMIF(Table2[Course Title],Table119[[#This Row],[Course]],Table2[No Shows])</f>
        <v>0</v>
      </c>
      <c r="K46" s="433">
        <f>(Table119[[#This Row],[FY26 Grads]]+Table119[[#This Row],[FY26 Fails]])/Table119[[#This Row],[FY26 Total Courses]]</f>
        <v>16.083333333333332</v>
      </c>
      <c r="L46" s="208">
        <v>0</v>
      </c>
      <c r="M46" s="434" t="str">
        <f t="shared" si="8"/>
        <v>0</v>
      </c>
      <c r="N46" s="383"/>
      <c r="O46" s="301"/>
      <c r="P46" s="271"/>
      <c r="Q46" s="270"/>
      <c r="R46" s="302"/>
      <c r="S46" s="271"/>
      <c r="T46" s="277"/>
      <c r="U46" s="301"/>
      <c r="V46" s="303"/>
      <c r="W46" s="430"/>
      <c r="X46" s="431"/>
      <c r="Y46" s="386"/>
      <c r="Z46" s="289"/>
      <c r="AA46" s="282"/>
      <c r="AB46" s="290"/>
      <c r="AC46" s="291"/>
      <c r="AD46" s="292"/>
      <c r="AE46" s="293"/>
      <c r="AF46" s="294"/>
      <c r="AG46" s="387"/>
      <c r="AH46" s="295"/>
      <c r="AI46" s="296"/>
      <c r="AJ46" s="297"/>
      <c r="AK46" s="297"/>
      <c r="AL46" s="292"/>
      <c r="AM46" s="298"/>
      <c r="AN46" s="294"/>
      <c r="AO46" s="281"/>
      <c r="AP46" s="289"/>
      <c r="AQ46" s="291"/>
      <c r="AR46" s="291"/>
      <c r="AS46" s="291"/>
      <c r="AT46" s="299"/>
      <c r="AU46" s="300"/>
      <c r="AV46" s="294"/>
      <c r="AW46" s="440" t="s">
        <v>404</v>
      </c>
    </row>
    <row r="47" spans="1:49" ht="42.75" x14ac:dyDescent="0.25">
      <c r="A47" s="437" t="s">
        <v>405</v>
      </c>
      <c r="B47" s="203" t="str">
        <f>VLOOKUP(Table119[[#This Row],[Course]],'TSD-Data'!$A$1:$G$98,7,FALSE)</f>
        <v>N8-RMI</v>
      </c>
      <c r="C47" s="203" t="s">
        <v>54</v>
      </c>
      <c r="D47" s="203" t="str">
        <f>VLOOKUP(Table119[[#This Row],[Course]],'TSD-Data'!$A$1:$G$93,2,FALSE)</f>
        <v>A-493-3015</v>
      </c>
      <c r="E47" s="203" t="str">
        <f>VLOOKUP(Table119[[#This Row],[Course]],'TSD-Data'!$A$1:$G$93,3,FALSE)</f>
        <v>31YJ</v>
      </c>
      <c r="F47" s="208">
        <f>COUNTIF(Table2[Course Title],Table119[[#This Row],[Course]])</f>
        <v>12</v>
      </c>
      <c r="G47" s="208">
        <f>VLOOKUP(Table119[[#This Row],[Course]],'TSD-Data'!$A$1:$G$93,4,FALSE)</f>
        <v>1000</v>
      </c>
      <c r="H47" s="208">
        <f>SUMIF(Table2[Course Title],Table119[[#This Row],[Course]],Table2[Graduates])</f>
        <v>243</v>
      </c>
      <c r="I47" s="208">
        <f>SUMIF(Table2[Course Title],Table119[[#This Row],[Course]],Table2[Fail])</f>
        <v>0</v>
      </c>
      <c r="J47" s="208">
        <f>SUMIF(Table2[Course Title],Table119[[#This Row],[Course]],Table2[No Shows])</f>
        <v>0</v>
      </c>
      <c r="K47" s="433">
        <f>(Table119[[#This Row],[FY26 Grads]]+Table119[[#This Row],[FY26 Fails]])/Table119[[#This Row],[FY26 Total Courses]]</f>
        <v>20.25</v>
      </c>
      <c r="L47" s="208">
        <v>0</v>
      </c>
      <c r="M47" s="434" t="str">
        <f t="shared" si="8"/>
        <v>0</v>
      </c>
      <c r="N47" s="383"/>
      <c r="O47" s="301"/>
      <c r="P47" s="271"/>
      <c r="Q47" s="270"/>
      <c r="R47" s="302"/>
      <c r="S47" s="271"/>
      <c r="T47" s="277"/>
      <c r="U47" s="301"/>
      <c r="V47" s="303"/>
      <c r="W47" s="430"/>
      <c r="X47" s="431"/>
      <c r="Y47" s="386"/>
      <c r="Z47" s="289"/>
      <c r="AA47" s="282"/>
      <c r="AB47" s="290"/>
      <c r="AC47" s="291"/>
      <c r="AD47" s="292"/>
      <c r="AE47" s="293"/>
      <c r="AF47" s="294"/>
      <c r="AG47" s="387"/>
      <c r="AH47" s="295"/>
      <c r="AI47" s="296"/>
      <c r="AJ47" s="297"/>
      <c r="AK47" s="297"/>
      <c r="AL47" s="292"/>
      <c r="AM47" s="298"/>
      <c r="AN47" s="294"/>
      <c r="AO47" s="281"/>
      <c r="AP47" s="289"/>
      <c r="AQ47" s="291"/>
      <c r="AR47" s="291"/>
      <c r="AS47" s="291"/>
      <c r="AT47" s="299"/>
      <c r="AU47" s="300"/>
      <c r="AV47" s="294"/>
      <c r="AW47" s="440" t="s">
        <v>405</v>
      </c>
    </row>
    <row r="48" spans="1:49" ht="42.75" x14ac:dyDescent="0.25">
      <c r="A48" s="437" t="s">
        <v>406</v>
      </c>
      <c r="B48" s="203" t="str">
        <f>VLOOKUP(Table119[[#This Row],[Course]],'TSD-Data'!$A$1:$G$98,7,FALSE)</f>
        <v>N8-RMI</v>
      </c>
      <c r="C48" s="203" t="s">
        <v>54</v>
      </c>
      <c r="D48" s="203" t="str">
        <f>VLOOKUP(Table119[[#This Row],[Course]],'TSD-Data'!$A$1:$G$93,2,FALSE)</f>
        <v>A-493-3016</v>
      </c>
      <c r="E48" s="203" t="str">
        <f>VLOOKUP(Table119[[#This Row],[Course]],'TSD-Data'!$A$1:$G$93,3,FALSE)</f>
        <v>31Yk</v>
      </c>
      <c r="F48" s="208">
        <f>COUNTIF(Table2[Course Title],Table119[[#This Row],[Course]])</f>
        <v>12</v>
      </c>
      <c r="G48" s="208">
        <f>VLOOKUP(Table119[[#This Row],[Course]],'TSD-Data'!$A$1:$G$93,4,FALSE)</f>
        <v>1000</v>
      </c>
      <c r="H48" s="208">
        <f>SUMIF(Table2[Course Title],Table119[[#This Row],[Course]],Table2[Graduates])</f>
        <v>214</v>
      </c>
      <c r="I48" s="208">
        <f>SUMIF(Table2[Course Title],Table119[[#This Row],[Course]],Table2[Fail])</f>
        <v>0</v>
      </c>
      <c r="J48" s="208">
        <f>SUMIF(Table2[Course Title],Table119[[#This Row],[Course]],Table2[No Shows])</f>
        <v>0</v>
      </c>
      <c r="K48" s="433">
        <f>(Table119[[#This Row],[FY26 Grads]]+Table119[[#This Row],[FY26 Fails]])/Table119[[#This Row],[FY26 Total Courses]]</f>
        <v>17.833333333333332</v>
      </c>
      <c r="L48" s="208">
        <v>0</v>
      </c>
      <c r="M48" s="434" t="str">
        <f t="shared" si="8"/>
        <v>0</v>
      </c>
      <c r="N48" s="383"/>
      <c r="O48" s="301"/>
      <c r="P48" s="271"/>
      <c r="Q48" s="270"/>
      <c r="R48" s="302"/>
      <c r="S48" s="271"/>
      <c r="T48" s="277"/>
      <c r="U48" s="301"/>
      <c r="V48" s="303"/>
      <c r="W48" s="430"/>
      <c r="X48" s="431"/>
      <c r="Y48" s="386"/>
      <c r="Z48" s="289"/>
      <c r="AA48" s="282"/>
      <c r="AB48" s="290"/>
      <c r="AC48" s="291"/>
      <c r="AD48" s="292"/>
      <c r="AE48" s="293"/>
      <c r="AF48" s="294"/>
      <c r="AG48" s="387"/>
      <c r="AH48" s="295"/>
      <c r="AI48" s="296"/>
      <c r="AJ48" s="297"/>
      <c r="AK48" s="297"/>
      <c r="AL48" s="292"/>
      <c r="AM48" s="298"/>
      <c r="AN48" s="294"/>
      <c r="AO48" s="281"/>
      <c r="AP48" s="289"/>
      <c r="AQ48" s="291"/>
      <c r="AR48" s="291"/>
      <c r="AS48" s="291"/>
      <c r="AT48" s="299"/>
      <c r="AU48" s="300"/>
      <c r="AV48" s="294"/>
      <c r="AW48" s="440" t="s">
        <v>406</v>
      </c>
    </row>
    <row r="49" spans="1:49" ht="51" x14ac:dyDescent="0.25">
      <c r="A49" s="438" t="s">
        <v>407</v>
      </c>
      <c r="B49" s="203" t="str">
        <f>VLOOKUP(Table119[[#This Row],[Course]],'TSD-Data'!$A$1:$G$98,7,FALSE)</f>
        <v>N8-RMI</v>
      </c>
      <c r="C49" s="203" t="s">
        <v>54</v>
      </c>
      <c r="D49" s="203" t="str">
        <f>VLOOKUP(Table119[[#This Row],[Course]],'TSD-Data'!$A$1:$G$93,2,FALSE)</f>
        <v>A-493-3003</v>
      </c>
      <c r="E49" s="203" t="str">
        <f>VLOOKUP(Table119[[#This Row],[Course]],'TSD-Data'!$A$1:$G$93,3,FALSE)</f>
        <v>31V5</v>
      </c>
      <c r="F49" s="208">
        <f>COUNTIF(Table2[Course Title],Table119[[#This Row],[Course]])</f>
        <v>12</v>
      </c>
      <c r="G49" s="208">
        <f>VLOOKUP(Table119[[#This Row],[Course]],'TSD-Data'!$A$1:$G$93,4,FALSE)</f>
        <v>1000</v>
      </c>
      <c r="H49" s="208">
        <f>SUMIF(Table2[Course Title],Table119[[#This Row],[Course]],Table2[Graduates])</f>
        <v>181</v>
      </c>
      <c r="I49" s="208">
        <f>SUMIF(Table2[Course Title],Table119[[#This Row],[Course]],Table2[Fail])</f>
        <v>0</v>
      </c>
      <c r="J49" s="208">
        <f>SUMIF(Table2[Course Title],Table119[[#This Row],[Course]],Table2[No Shows])</f>
        <v>0</v>
      </c>
      <c r="K49" s="433">
        <f>(Table119[[#This Row],[FY26 Grads]]+Table119[[#This Row],[FY26 Fails]])/Table119[[#This Row],[FY26 Total Courses]]</f>
        <v>15.083333333333334</v>
      </c>
      <c r="L49" s="208">
        <v>0</v>
      </c>
      <c r="M49" s="434" t="str">
        <f t="shared" si="8"/>
        <v>0</v>
      </c>
      <c r="N49" s="383"/>
      <c r="O49" s="204">
        <v>4</v>
      </c>
      <c r="P49" s="208">
        <v>100</v>
      </c>
      <c r="Q49" s="439">
        <v>216</v>
      </c>
      <c r="R49" s="234">
        <v>0</v>
      </c>
      <c r="S49" s="310">
        <v>103</v>
      </c>
      <c r="T49" s="209">
        <f>(Table119[[#This Row],[FY25 Grads]]+Table119[[#This Row],[FY25 Fails]])/Table119[[#This Row],[FY25 Total Courses]]</f>
        <v>54</v>
      </c>
      <c r="U49" s="210">
        <v>0</v>
      </c>
      <c r="V49" s="211" t="str">
        <f>IFERROR((Q49+R49)/U49, "N/A")</f>
        <v>N/A</v>
      </c>
      <c r="W49" s="430"/>
      <c r="X49" s="431"/>
      <c r="Y49" s="386"/>
      <c r="Z49" s="289"/>
      <c r="AA49" s="282"/>
      <c r="AB49" s="290"/>
      <c r="AC49" s="291"/>
      <c r="AD49" s="292"/>
      <c r="AE49" s="293"/>
      <c r="AF49" s="294"/>
      <c r="AG49" s="281"/>
      <c r="AH49" s="295"/>
      <c r="AI49" s="296"/>
      <c r="AJ49" s="297"/>
      <c r="AK49" s="297"/>
      <c r="AL49" s="292"/>
      <c r="AM49" s="298"/>
      <c r="AN49" s="294"/>
      <c r="AO49" s="281"/>
      <c r="AP49" s="289"/>
      <c r="AQ49" s="291"/>
      <c r="AR49" s="291"/>
      <c r="AS49" s="291"/>
      <c r="AT49" s="299"/>
      <c r="AU49" s="300"/>
      <c r="AV49" s="294"/>
      <c r="AW49" s="438" t="s">
        <v>407</v>
      </c>
    </row>
    <row r="50" spans="1:49" ht="51" x14ac:dyDescent="0.25">
      <c r="A50" s="438" t="s">
        <v>408</v>
      </c>
      <c r="B50" s="203" t="str">
        <f>VLOOKUP(Table119[[#This Row],[Course]],'TSD-Data'!$A$1:$G$98,7,FALSE)</f>
        <v>N8-RMI</v>
      </c>
      <c r="C50" s="203" t="s">
        <v>54</v>
      </c>
      <c r="D50" s="203" t="str">
        <f>VLOOKUP(Table119[[#This Row],[Course]],'TSD-Data'!$A$1:$G$93,2,FALSE)</f>
        <v>A-493-3008</v>
      </c>
      <c r="E50" s="203" t="str">
        <f>VLOOKUP(Table119[[#This Row],[Course]],'TSD-Data'!$A$1:$G$93,3,FALSE)</f>
        <v>31VA</v>
      </c>
      <c r="F50" s="208">
        <f>COUNTIF(Table2[Course Title],Table119[[#This Row],[Course]])</f>
        <v>12</v>
      </c>
      <c r="G50" s="208">
        <f>VLOOKUP(Table119[[#This Row],[Course]],'TSD-Data'!$A$1:$G$93,4,FALSE)</f>
        <v>1000</v>
      </c>
      <c r="H50" s="208">
        <f>SUMIF(Table2[Course Title],Table119[[#This Row],[Course]],Table2[Graduates])</f>
        <v>229</v>
      </c>
      <c r="I50" s="208">
        <f>SUMIF(Table2[Course Title],Table119[[#This Row],[Course]],Table2[Fail])</f>
        <v>0</v>
      </c>
      <c r="J50" s="208">
        <f>SUMIF(Table2[Course Title],Table119[[#This Row],[Course]],Table2[No Shows])</f>
        <v>0</v>
      </c>
      <c r="K50" s="433">
        <f>(Table119[[#This Row],[FY26 Grads]]+Table119[[#This Row],[FY26 Fails]])/Table119[[#This Row],[FY26 Total Courses]]</f>
        <v>19.083333333333332</v>
      </c>
      <c r="L50" s="208">
        <v>0</v>
      </c>
      <c r="M50" s="434" t="str">
        <f t="shared" si="8"/>
        <v>0</v>
      </c>
      <c r="N50" s="383"/>
      <c r="O50" s="204">
        <v>4</v>
      </c>
      <c r="P50" s="208">
        <v>100</v>
      </c>
      <c r="Q50" s="439">
        <v>222</v>
      </c>
      <c r="R50" s="234">
        <v>0</v>
      </c>
      <c r="S50" s="310">
        <v>150</v>
      </c>
      <c r="T50" s="209">
        <f>(Table119[[#This Row],[FY25 Grads]]+Table119[[#This Row],[FY25 Fails]])/Table119[[#This Row],[FY25 Total Courses]]</f>
        <v>55.5</v>
      </c>
      <c r="U50" s="210">
        <v>0</v>
      </c>
      <c r="V50" s="211" t="str">
        <f>IFERROR((Q50+R50)/U50, "N/A")</f>
        <v>N/A</v>
      </c>
      <c r="W50" s="430"/>
      <c r="X50" s="431"/>
      <c r="Y50" s="386"/>
      <c r="Z50" s="289"/>
      <c r="AA50" s="282"/>
      <c r="AB50" s="290"/>
      <c r="AC50" s="291"/>
      <c r="AD50" s="292"/>
      <c r="AE50" s="293"/>
      <c r="AF50" s="294"/>
      <c r="AG50" s="281"/>
      <c r="AH50" s="295"/>
      <c r="AI50" s="296"/>
      <c r="AJ50" s="297"/>
      <c r="AK50" s="297"/>
      <c r="AL50" s="292"/>
      <c r="AM50" s="298"/>
      <c r="AN50" s="294"/>
      <c r="AO50" s="281"/>
      <c r="AP50" s="289"/>
      <c r="AQ50" s="291"/>
      <c r="AR50" s="291"/>
      <c r="AS50" s="291"/>
      <c r="AT50" s="299"/>
      <c r="AU50" s="300"/>
      <c r="AV50" s="294"/>
      <c r="AW50" s="438" t="s">
        <v>408</v>
      </c>
    </row>
    <row r="51" spans="1:49" ht="38.25" x14ac:dyDescent="0.25">
      <c r="A51" s="438" t="s">
        <v>409</v>
      </c>
      <c r="B51" s="203" t="str">
        <f>VLOOKUP(Table119[[#This Row],[Course]],'TSD-Data'!$A$1:$G$98,7,FALSE)</f>
        <v>N8-RMI</v>
      </c>
      <c r="C51" s="203" t="s">
        <v>54</v>
      </c>
      <c r="D51" s="203" t="str">
        <f>VLOOKUP(Table119[[#This Row],[Course]],'TSD-Data'!$A$1:$G$93,2,FALSE)</f>
        <v>A-493-3001</v>
      </c>
      <c r="E51" s="203" t="str">
        <f>VLOOKUP(Table119[[#This Row],[Course]],'TSD-Data'!$A$1:$G$93,3,FALSE)</f>
        <v>31V3</v>
      </c>
      <c r="F51" s="208">
        <f>COUNTIF(Table2[Course Title],Table119[[#This Row],[Course]])</f>
        <v>12</v>
      </c>
      <c r="G51" s="208">
        <f>VLOOKUP(Table119[[#This Row],[Course]],'TSD-Data'!$A$1:$G$93,4,FALSE)</f>
        <v>1000</v>
      </c>
      <c r="H51" s="208">
        <f>SUMIF(Table2[Course Title],Table119[[#This Row],[Course]],Table2[Graduates])</f>
        <v>219</v>
      </c>
      <c r="I51" s="208">
        <f>SUMIF(Table2[Course Title],Table119[[#This Row],[Course]],Table2[Fail])</f>
        <v>0</v>
      </c>
      <c r="J51" s="208">
        <f>SUMIF(Table2[Course Title],Table119[[#This Row],[Course]],Table2[No Shows])</f>
        <v>0</v>
      </c>
      <c r="K51" s="433">
        <f>(Table119[[#This Row],[FY26 Grads]]+Table119[[#This Row],[FY26 Fails]])/Table119[[#This Row],[FY26 Total Courses]]</f>
        <v>18.25</v>
      </c>
      <c r="L51" s="208">
        <v>0</v>
      </c>
      <c r="M51" s="434" t="str">
        <f t="shared" si="8"/>
        <v>0</v>
      </c>
      <c r="N51" s="383"/>
      <c r="O51" s="204">
        <v>3</v>
      </c>
      <c r="P51" s="208">
        <v>100</v>
      </c>
      <c r="Q51" s="439">
        <v>204</v>
      </c>
      <c r="R51" s="234">
        <v>0</v>
      </c>
      <c r="S51" s="310">
        <v>110</v>
      </c>
      <c r="T51" s="209">
        <f>(Table119[[#This Row],[FY25 Grads]]+Table119[[#This Row],[FY25 Fails]])/Table119[[#This Row],[FY25 Total Courses]]</f>
        <v>68</v>
      </c>
      <c r="U51" s="210">
        <v>0</v>
      </c>
      <c r="V51" s="211" t="str">
        <f>IFERROR((Q51+R51)/U51, "N/A")</f>
        <v>N/A</v>
      </c>
      <c r="W51" s="430"/>
      <c r="X51" s="431"/>
      <c r="Y51" s="386"/>
      <c r="Z51" s="289"/>
      <c r="AA51" s="282"/>
      <c r="AB51" s="290"/>
      <c r="AC51" s="291"/>
      <c r="AD51" s="292"/>
      <c r="AE51" s="293"/>
      <c r="AF51" s="294"/>
      <c r="AG51" s="281"/>
      <c r="AH51" s="295"/>
      <c r="AI51" s="296"/>
      <c r="AJ51" s="297"/>
      <c r="AK51" s="297"/>
      <c r="AL51" s="292"/>
      <c r="AM51" s="298"/>
      <c r="AN51" s="294"/>
      <c r="AO51" s="281"/>
      <c r="AP51" s="289"/>
      <c r="AQ51" s="291"/>
      <c r="AR51" s="291"/>
      <c r="AS51" s="291"/>
      <c r="AT51" s="299"/>
      <c r="AU51" s="300"/>
      <c r="AV51" s="294"/>
      <c r="AW51" s="438" t="s">
        <v>409</v>
      </c>
    </row>
    <row r="52" spans="1:49" ht="38.25" x14ac:dyDescent="0.25">
      <c r="A52" s="438" t="s">
        <v>410</v>
      </c>
      <c r="B52" s="203" t="str">
        <f>VLOOKUP(Table119[[#This Row],[Course]],'TSD-Data'!$A$1:$G$98,7,FALSE)</f>
        <v>N8-RMI</v>
      </c>
      <c r="C52" s="203" t="s">
        <v>54</v>
      </c>
      <c r="D52" s="203" t="str">
        <f>VLOOKUP(Table119[[#This Row],[Course]],'TSD-Data'!$A$1:$G$93,2,FALSE)</f>
        <v>A-493-3006</v>
      </c>
      <c r="E52" s="203" t="str">
        <f>VLOOKUP(Table119[[#This Row],[Course]],'TSD-Data'!$A$1:$G$93,3,FALSE)</f>
        <v>31V8</v>
      </c>
      <c r="F52" s="208">
        <f>COUNTIF(Table2[Course Title],Table119[[#This Row],[Course]])</f>
        <v>12</v>
      </c>
      <c r="G52" s="208">
        <f>VLOOKUP(Table119[[#This Row],[Course]],'TSD-Data'!$A$1:$G$93,4,FALSE)</f>
        <v>1000</v>
      </c>
      <c r="H52" s="208">
        <f>SUMIF(Table2[Course Title],Table119[[#This Row],[Course]],Table2[Graduates])</f>
        <v>224</v>
      </c>
      <c r="I52" s="208">
        <f>SUMIF(Table2[Course Title],Table119[[#This Row],[Course]],Table2[Fail])</f>
        <v>0</v>
      </c>
      <c r="J52" s="208">
        <f>SUMIF(Table2[Course Title],Table119[[#This Row],[Course]],Table2[No Shows])</f>
        <v>0</v>
      </c>
      <c r="K52" s="433">
        <f>(Table119[[#This Row],[FY26 Grads]]+Table119[[#This Row],[FY26 Fails]])/Table119[[#This Row],[FY26 Total Courses]]</f>
        <v>18.666666666666668</v>
      </c>
      <c r="L52" s="208">
        <v>0</v>
      </c>
      <c r="M52" s="434" t="str">
        <f t="shared" si="8"/>
        <v>0</v>
      </c>
      <c r="N52" s="383"/>
      <c r="O52" s="204">
        <v>3</v>
      </c>
      <c r="P52" s="208">
        <v>100</v>
      </c>
      <c r="Q52" s="439">
        <v>169</v>
      </c>
      <c r="R52" s="234">
        <v>0</v>
      </c>
      <c r="S52" s="310">
        <v>102</v>
      </c>
      <c r="T52" s="209">
        <f>(Table119[[#This Row],[FY25 Grads]]+Table119[[#This Row],[FY25 Fails]])/Table119[[#This Row],[FY25 Total Courses]]</f>
        <v>56.333333333333336</v>
      </c>
      <c r="U52" s="210">
        <v>0</v>
      </c>
      <c r="V52" s="211" t="str">
        <f>IFERROR((Q52+R52)/U52, "N/A")</f>
        <v>N/A</v>
      </c>
      <c r="W52" s="430"/>
      <c r="X52" s="431"/>
      <c r="Y52" s="386"/>
      <c r="Z52" s="289"/>
      <c r="AA52" s="282"/>
      <c r="AB52" s="290"/>
      <c r="AC52" s="291"/>
      <c r="AD52" s="292"/>
      <c r="AE52" s="293"/>
      <c r="AF52" s="294"/>
      <c r="AG52" s="281"/>
      <c r="AH52" s="295"/>
      <c r="AI52" s="296"/>
      <c r="AJ52" s="297"/>
      <c r="AK52" s="297"/>
      <c r="AL52" s="292"/>
      <c r="AM52" s="298"/>
      <c r="AN52" s="294"/>
      <c r="AO52" s="281"/>
      <c r="AP52" s="289"/>
      <c r="AQ52" s="291"/>
      <c r="AR52" s="291"/>
      <c r="AS52" s="291"/>
      <c r="AT52" s="299"/>
      <c r="AU52" s="300"/>
      <c r="AV52" s="294"/>
      <c r="AW52" s="438" t="s">
        <v>410</v>
      </c>
    </row>
    <row r="53" spans="1:49" ht="38.25" x14ac:dyDescent="0.25">
      <c r="A53" s="381" t="s">
        <v>491</v>
      </c>
      <c r="B53" s="203" t="str">
        <f>VLOOKUP(Table119[[#This Row],[Course]],'TSD-Data'!$A$1:$G$98,7,FALSE)</f>
        <v>N8-RMI</v>
      </c>
      <c r="C53" s="203" t="s">
        <v>54</v>
      </c>
      <c r="D53" s="203" t="str">
        <f>VLOOKUP(Table119[[#This Row],[Course]],'TSD-Data'!$A$1:$G$93,2,FALSE)</f>
        <v xml:space="preserve">A-493-2021 </v>
      </c>
      <c r="E53" s="203" t="str">
        <f>VLOOKUP(Table119[[#This Row],[Course]],'TSD-Data'!$A$1:$G$93,3,FALSE)</f>
        <v>33DB</v>
      </c>
      <c r="F53" s="591">
        <f>COUNTIF(Table2[Course Title],Table119[[#This Row],[Course]])</f>
        <v>11</v>
      </c>
      <c r="G53" s="208">
        <f>VLOOKUP(Table119[[#This Row],[Course]],'TSD-Data'!$A$1:$G$93,4,FALSE)</f>
        <v>1000</v>
      </c>
      <c r="H53" s="208">
        <f>SUMIF(Table2[Course Title],Table119[[#This Row],[Course]],Table2[Graduates])</f>
        <v>9</v>
      </c>
      <c r="I53" s="208">
        <f>SUMIF(Table2[Course Title],Table119[[#This Row],[Course]],Table2[Fail])</f>
        <v>0</v>
      </c>
      <c r="J53" s="208">
        <f>SUMIF(Table2[Course Title],Table119[[#This Row],[Course]],Table2[No Shows])</f>
        <v>0</v>
      </c>
      <c r="K53" s="433">
        <f>(Table119[[#This Row],[FY26 Grads]]+Table119[[#This Row],[FY26 Fails]])/Table119[[#This Row],[FY26 Total Courses]]</f>
        <v>0.81818181818181823</v>
      </c>
      <c r="L53" s="208">
        <v>0</v>
      </c>
      <c r="M53" s="434" t="str">
        <f>IFERROR((H53+I53)/L53, "0")</f>
        <v>0</v>
      </c>
      <c r="N53" s="383"/>
      <c r="O53" s="289"/>
      <c r="P53" s="289"/>
      <c r="Q53" s="289"/>
      <c r="R53" s="289"/>
      <c r="S53" s="289"/>
      <c r="T53" s="289"/>
      <c r="U53" s="289"/>
      <c r="V53" s="289"/>
      <c r="W53" s="430"/>
      <c r="X53" s="431"/>
      <c r="Y53" s="386"/>
      <c r="Z53" s="289"/>
      <c r="AA53" s="282"/>
      <c r="AB53" s="290"/>
      <c r="AC53" s="291"/>
      <c r="AD53" s="292"/>
      <c r="AE53" s="293"/>
      <c r="AF53" s="294"/>
      <c r="AG53" s="281"/>
      <c r="AH53" s="295"/>
      <c r="AI53" s="296"/>
      <c r="AJ53" s="297"/>
      <c r="AK53" s="297"/>
      <c r="AL53" s="292"/>
      <c r="AM53" s="298"/>
      <c r="AN53" s="294"/>
      <c r="AO53" s="281"/>
      <c r="AP53" s="289"/>
      <c r="AQ53" s="291"/>
      <c r="AR53" s="291"/>
      <c r="AS53" s="291"/>
      <c r="AT53" s="299"/>
      <c r="AU53" s="300"/>
      <c r="AV53" s="294"/>
      <c r="AW53" s="381" t="s">
        <v>491</v>
      </c>
    </row>
    <row r="54" spans="1:49" ht="38.25" x14ac:dyDescent="0.25">
      <c r="A54" s="381" t="s">
        <v>488</v>
      </c>
      <c r="B54" s="203" t="str">
        <f>VLOOKUP(Table119[[#This Row],[Course]],'TSD-Data'!$A$1:$G$98,7,FALSE)</f>
        <v>N8-RMI</v>
      </c>
      <c r="C54" s="203" t="s">
        <v>54</v>
      </c>
      <c r="D54" s="203" t="str">
        <f>VLOOKUP(Table119[[#This Row],[Course]],'TSD-Data'!$A$1:$G$93,2,FALSE)</f>
        <v xml:space="preserve">A-493-3019 </v>
      </c>
      <c r="E54" s="203" t="str">
        <f>VLOOKUP(Table119[[#This Row],[Course]],'TSD-Data'!$A$1:$G$93,3,FALSE)</f>
        <v>33D9</v>
      </c>
      <c r="F54" s="591">
        <f>COUNTIF(Table2[Course Title],Table119[[#This Row],[Course]])</f>
        <v>11</v>
      </c>
      <c r="G54" s="208">
        <f>VLOOKUP(Table119[[#This Row],[Course]],'TSD-Data'!$A$1:$G$93,4,FALSE)</f>
        <v>1000</v>
      </c>
      <c r="H54" s="208">
        <f>SUMIF(Table2[Course Title],Table119[[#This Row],[Course]],Table2[Graduates])</f>
        <v>15</v>
      </c>
      <c r="I54" s="208">
        <f>SUMIF(Table2[Course Title],Table119[[#This Row],[Course]],Table2[Fail])</f>
        <v>0</v>
      </c>
      <c r="J54" s="208">
        <f>SUMIF(Table2[Course Title],Table119[[#This Row],[Course]],Table2[No Shows])</f>
        <v>0</v>
      </c>
      <c r="K54" s="433">
        <f>(Table119[[#This Row],[FY26 Grads]]+Table119[[#This Row],[FY26 Fails]])/Table119[[#This Row],[FY26 Total Courses]]</f>
        <v>1.3636363636363635</v>
      </c>
      <c r="L54" s="208">
        <v>0</v>
      </c>
      <c r="M54" s="434" t="str">
        <f>IFERROR((H54+I54)/L54, "0")</f>
        <v>0</v>
      </c>
      <c r="N54" s="383"/>
      <c r="O54" s="289"/>
      <c r="P54" s="289"/>
      <c r="Q54" s="289"/>
      <c r="R54" s="289"/>
      <c r="S54" s="289"/>
      <c r="T54" s="289"/>
      <c r="U54" s="289"/>
      <c r="V54" s="289"/>
      <c r="W54" s="430"/>
      <c r="X54" s="431"/>
      <c r="Y54" s="386"/>
      <c r="Z54" s="289"/>
      <c r="AA54" s="282"/>
      <c r="AB54" s="290"/>
      <c r="AC54" s="291"/>
      <c r="AD54" s="292"/>
      <c r="AE54" s="293"/>
      <c r="AF54" s="294"/>
      <c r="AG54" s="281"/>
      <c r="AH54" s="295"/>
      <c r="AI54" s="296"/>
      <c r="AJ54" s="297"/>
      <c r="AK54" s="297"/>
      <c r="AL54" s="292"/>
      <c r="AM54" s="298"/>
      <c r="AN54" s="294"/>
      <c r="AO54" s="281"/>
      <c r="AP54" s="289"/>
      <c r="AQ54" s="291"/>
      <c r="AR54" s="291"/>
      <c r="AS54" s="291"/>
      <c r="AT54" s="299"/>
      <c r="AU54" s="300"/>
      <c r="AV54" s="294"/>
      <c r="AW54" s="381" t="s">
        <v>488</v>
      </c>
    </row>
    <row r="55" spans="1:49" ht="38.25" x14ac:dyDescent="0.25">
      <c r="A55" s="381" t="s">
        <v>489</v>
      </c>
      <c r="B55" s="203" t="str">
        <f>VLOOKUP(Table119[[#This Row],[Course]],'TSD-Data'!$A$1:$G$98,7,FALSE)</f>
        <v>N8-RMI</v>
      </c>
      <c r="C55" s="203" t="s">
        <v>54</v>
      </c>
      <c r="D55" s="203" t="str">
        <f>VLOOKUP(Table119[[#This Row],[Course]],'TSD-Data'!$A$1:$G$93,2,FALSE)</f>
        <v xml:space="preserve">A-493-3020 </v>
      </c>
      <c r="E55" s="203" t="str">
        <f>VLOOKUP(Table119[[#This Row],[Course]],'TSD-Data'!$A$1:$G$93,3,FALSE)</f>
        <v>33DA</v>
      </c>
      <c r="F55" s="591">
        <f>COUNTIF(Table2[Course Title],Table119[[#This Row],[Course]])</f>
        <v>11</v>
      </c>
      <c r="G55" s="208">
        <f>VLOOKUP(Table119[[#This Row],[Course]],'TSD-Data'!$A$1:$G$93,4,FALSE)</f>
        <v>1000</v>
      </c>
      <c r="H55" s="208">
        <f>SUMIF(Table2[Course Title],Table119[[#This Row],[Course]],Table2[Graduates])</f>
        <v>17</v>
      </c>
      <c r="I55" s="208">
        <f>SUMIF(Table2[Course Title],Table119[[#This Row],[Course]],Table2[Fail])</f>
        <v>0</v>
      </c>
      <c r="J55" s="208">
        <f>SUMIF(Table2[Course Title],Table119[[#This Row],[Course]],Table2[No Shows])</f>
        <v>0</v>
      </c>
      <c r="K55" s="433">
        <f>(Table119[[#This Row],[FY26 Grads]]+Table119[[#This Row],[FY26 Fails]])/Table119[[#This Row],[FY26 Total Courses]]</f>
        <v>1.5454545454545454</v>
      </c>
      <c r="L55" s="208">
        <v>0</v>
      </c>
      <c r="M55" s="434" t="str">
        <f>IFERROR((H55+I55)/L55, "0")</f>
        <v>0</v>
      </c>
      <c r="N55" s="383"/>
      <c r="O55" s="289"/>
      <c r="P55" s="289"/>
      <c r="Q55" s="289"/>
      <c r="R55" s="289"/>
      <c r="S55" s="289"/>
      <c r="T55" s="289"/>
      <c r="U55" s="289"/>
      <c r="V55" s="289"/>
      <c r="W55" s="430"/>
      <c r="X55" s="431"/>
      <c r="Y55" s="386"/>
      <c r="Z55" s="289"/>
      <c r="AA55" s="282"/>
      <c r="AB55" s="290"/>
      <c r="AC55" s="291"/>
      <c r="AD55" s="292"/>
      <c r="AE55" s="293"/>
      <c r="AF55" s="294"/>
      <c r="AG55" s="281"/>
      <c r="AH55" s="295"/>
      <c r="AI55" s="296"/>
      <c r="AJ55" s="297"/>
      <c r="AK55" s="297"/>
      <c r="AL55" s="292"/>
      <c r="AM55" s="298"/>
      <c r="AN55" s="294"/>
      <c r="AO55" s="281"/>
      <c r="AP55" s="289"/>
      <c r="AQ55" s="291"/>
      <c r="AR55" s="291"/>
      <c r="AS55" s="291"/>
      <c r="AT55" s="299"/>
      <c r="AU55" s="300"/>
      <c r="AV55" s="294"/>
      <c r="AW55" s="381" t="s">
        <v>489</v>
      </c>
    </row>
    <row r="56" spans="1:49" ht="42.75" x14ac:dyDescent="0.25">
      <c r="A56" s="520" t="s">
        <v>411</v>
      </c>
      <c r="B56" s="203" t="str">
        <f>VLOOKUP(Table119[[#This Row],[Course]],'TSD-Data'!$A$1:$G$98,7,FALSE)</f>
        <v>N8-RMI</v>
      </c>
      <c r="C56" s="203" t="s">
        <v>54</v>
      </c>
      <c r="D56" s="203" t="str">
        <f>VLOOKUP(Table119[[#This Row],[Course]],'TSD-Data'!$A$1:$G$93,2,FALSE)</f>
        <v>A-493-3012</v>
      </c>
      <c r="E56" s="203" t="str">
        <f>VLOOKUP(Table119[[#This Row],[Course]],'TSD-Data'!$A$1:$G$93,3,FALSE)</f>
        <v>31YF</v>
      </c>
      <c r="F56" s="208">
        <f>COUNTIF(Table2[Course Title],Table119[[#This Row],[Course]])</f>
        <v>12</v>
      </c>
      <c r="G56" s="208">
        <f>VLOOKUP(Table119[[#This Row],[Course]],'TSD-Data'!$A$1:$G$93,4,FALSE)</f>
        <v>1000</v>
      </c>
      <c r="H56" s="208">
        <f>SUMIF(Table2[Course Title],Table119[[#This Row],[Course]],Table2[Graduates])</f>
        <v>185</v>
      </c>
      <c r="I56" s="208">
        <f>SUMIF(Table2[Course Title],Table119[[#This Row],[Course]],Table2[Fail])</f>
        <v>0</v>
      </c>
      <c r="J56" s="208">
        <f>SUMIF(Table2[Course Title],Table119[[#This Row],[Course]],Table2[No Shows])</f>
        <v>0</v>
      </c>
      <c r="K56" s="433">
        <f>(Table119[[#This Row],[FY26 Grads]]+Table119[[#This Row],[FY26 Fails]])/Table119[[#This Row],[FY26 Total Courses]]</f>
        <v>15.416666666666666</v>
      </c>
      <c r="L56" s="208">
        <v>0</v>
      </c>
      <c r="M56" s="434" t="str">
        <f t="shared" si="8"/>
        <v>0</v>
      </c>
      <c r="N56" s="383"/>
      <c r="O56" s="289"/>
      <c r="P56" s="289"/>
      <c r="Q56" s="289"/>
      <c r="R56" s="289"/>
      <c r="S56" s="289"/>
      <c r="T56" s="289"/>
      <c r="U56" s="289"/>
      <c r="V56" s="289"/>
      <c r="W56" s="430"/>
      <c r="X56" s="431"/>
      <c r="Y56" s="386"/>
      <c r="Z56" s="289"/>
      <c r="AA56" s="282"/>
      <c r="AB56" s="290"/>
      <c r="AC56" s="291"/>
      <c r="AD56" s="292"/>
      <c r="AE56" s="293"/>
      <c r="AF56" s="294"/>
      <c r="AG56" s="281"/>
      <c r="AH56" s="295"/>
      <c r="AI56" s="296"/>
      <c r="AJ56" s="297"/>
      <c r="AK56" s="297"/>
      <c r="AL56" s="292"/>
      <c r="AM56" s="298"/>
      <c r="AN56" s="294"/>
      <c r="AO56" s="281"/>
      <c r="AP56" s="289"/>
      <c r="AQ56" s="291"/>
      <c r="AR56" s="291"/>
      <c r="AS56" s="291"/>
      <c r="AT56" s="299"/>
      <c r="AU56" s="300"/>
      <c r="AV56" s="294"/>
      <c r="AW56" s="522" t="s">
        <v>411</v>
      </c>
    </row>
    <row r="57" spans="1:49" ht="25.5" x14ac:dyDescent="0.25">
      <c r="A57" s="438" t="s">
        <v>412</v>
      </c>
      <c r="B57" s="203" t="str">
        <f>VLOOKUP(Table119[[#This Row],[Course]],'TSD-Data'!$A$1:$G$98,7,FALSE)</f>
        <v>N8-RMI</v>
      </c>
      <c r="C57" s="203" t="s">
        <v>54</v>
      </c>
      <c r="D57" s="203" t="str">
        <f>VLOOKUP(Table119[[#This Row],[Course]],'TSD-Data'!$A$1:$G$93,2,FALSE)</f>
        <v>A-493-3009</v>
      </c>
      <c r="E57" s="203" t="str">
        <f>VLOOKUP(Table119[[#This Row],[Course]],'TSD-Data'!$A$1:$G$93,3,FALSE)</f>
        <v>31VB</v>
      </c>
      <c r="F57" s="208">
        <f>COUNTIF(Table2[Course Title],Table119[[#This Row],[Course]])</f>
        <v>12</v>
      </c>
      <c r="G57" s="208">
        <f>VLOOKUP(Table119[[#This Row],[Course]],'TSD-Data'!$A$1:$G$93,4,FALSE)</f>
        <v>1000</v>
      </c>
      <c r="H57" s="208">
        <f>SUMIF(Table2[Course Title],Table119[[#This Row],[Course]],Table2[Graduates])</f>
        <v>245</v>
      </c>
      <c r="I57" s="208">
        <f>SUMIF(Table2[Course Title],Table119[[#This Row],[Course]],Table2[Fail])</f>
        <v>0</v>
      </c>
      <c r="J57" s="208">
        <f>SUMIF(Table2[Course Title],Table119[[#This Row],[Course]],Table2[No Shows])</f>
        <v>0</v>
      </c>
      <c r="K57" s="433">
        <f>(Table119[[#This Row],[FY26 Grads]]+Table119[[#This Row],[FY26 Fails]])/Table119[[#This Row],[FY26 Total Courses]]</f>
        <v>20.416666666666668</v>
      </c>
      <c r="L57" s="208">
        <v>0</v>
      </c>
      <c r="M57" s="434" t="str">
        <f t="shared" si="8"/>
        <v>0</v>
      </c>
      <c r="N57" s="383"/>
      <c r="O57" s="204">
        <v>4</v>
      </c>
      <c r="P57" s="208">
        <v>100</v>
      </c>
      <c r="Q57" s="439">
        <v>228</v>
      </c>
      <c r="R57" s="234">
        <v>0</v>
      </c>
      <c r="S57" s="310">
        <v>181</v>
      </c>
      <c r="T57" s="209">
        <f>(Table119[[#This Row],[FY25 Grads]]+Table119[[#This Row],[FY25 Fails]])/Table119[[#This Row],[FY25 Total Courses]]</f>
        <v>57</v>
      </c>
      <c r="U57" s="210">
        <v>0</v>
      </c>
      <c r="V57" s="211" t="str">
        <f t="shared" ref="V57:V63" si="9">IFERROR((Q57+R57)/U57, "N/A")</f>
        <v>N/A</v>
      </c>
      <c r="W57" s="430"/>
      <c r="X57" s="431"/>
      <c r="Y57" s="386"/>
      <c r="Z57" s="289"/>
      <c r="AA57" s="282"/>
      <c r="AB57" s="290"/>
      <c r="AC57" s="291"/>
      <c r="AD57" s="292"/>
      <c r="AE57" s="293"/>
      <c r="AF57" s="294"/>
      <c r="AG57" s="281"/>
      <c r="AH57" s="295"/>
      <c r="AI57" s="296"/>
      <c r="AJ57" s="297"/>
      <c r="AK57" s="297"/>
      <c r="AL57" s="292"/>
      <c r="AM57" s="298"/>
      <c r="AN57" s="294"/>
      <c r="AO57" s="281"/>
      <c r="AP57" s="289"/>
      <c r="AQ57" s="291"/>
      <c r="AR57" s="291"/>
      <c r="AS57" s="291"/>
      <c r="AT57" s="299"/>
      <c r="AU57" s="300"/>
      <c r="AV57" s="294"/>
      <c r="AW57" s="438" t="s">
        <v>412</v>
      </c>
    </row>
    <row r="58" spans="1:49" ht="38.25" x14ac:dyDescent="0.25">
      <c r="A58" s="438" t="s">
        <v>413</v>
      </c>
      <c r="B58" s="203" t="str">
        <f>VLOOKUP(Table119[[#This Row],[Course]],'TSD-Data'!$A$1:$G$98,7,FALSE)</f>
        <v>N8-RMI</v>
      </c>
      <c r="C58" s="203" t="s">
        <v>54</v>
      </c>
      <c r="D58" s="203" t="str">
        <f>VLOOKUP(Table119[[#This Row],[Course]],'TSD-Data'!$A$1:$G$93,2,FALSE)</f>
        <v>A-493-3007</v>
      </c>
      <c r="E58" s="203" t="str">
        <f>VLOOKUP(Table119[[#This Row],[Course]],'TSD-Data'!$A$1:$G$93,3,FALSE)</f>
        <v>31V9</v>
      </c>
      <c r="F58" s="208">
        <f>COUNTIF(Table2[Course Title],Table119[[#This Row],[Course]])</f>
        <v>12</v>
      </c>
      <c r="G58" s="208">
        <f>VLOOKUP(Table119[[#This Row],[Course]],'TSD-Data'!$A$1:$G$93,4,FALSE)</f>
        <v>1000</v>
      </c>
      <c r="H58" s="208">
        <f>SUMIF(Table2[Course Title],Table119[[#This Row],[Course]],Table2[Graduates])</f>
        <v>207</v>
      </c>
      <c r="I58" s="208">
        <f>SUMIF(Table2[Course Title],Table119[[#This Row],[Course]],Table2[Fail])</f>
        <v>0</v>
      </c>
      <c r="J58" s="208">
        <f>SUMIF(Table2[Course Title],Table119[[#This Row],[Course]],Table2[No Shows])</f>
        <v>0</v>
      </c>
      <c r="K58" s="433">
        <f>(Table119[[#This Row],[FY26 Grads]]+Table119[[#This Row],[FY26 Fails]])/Table119[[#This Row],[FY26 Total Courses]]</f>
        <v>17.25</v>
      </c>
      <c r="L58" s="208">
        <v>0</v>
      </c>
      <c r="M58" s="434" t="str">
        <f t="shared" si="8"/>
        <v>0</v>
      </c>
      <c r="N58" s="383"/>
      <c r="O58" s="204">
        <v>3</v>
      </c>
      <c r="P58" s="208">
        <v>100</v>
      </c>
      <c r="Q58" s="439">
        <v>185</v>
      </c>
      <c r="R58" s="234">
        <v>0</v>
      </c>
      <c r="S58" s="310">
        <v>137</v>
      </c>
      <c r="T58" s="209">
        <f>(Table119[[#This Row],[FY25 Grads]]+Table119[[#This Row],[FY25 Fails]])/Table119[[#This Row],[FY25 Total Courses]]</f>
        <v>61.666666666666664</v>
      </c>
      <c r="U58" s="210">
        <v>0</v>
      </c>
      <c r="V58" s="211" t="str">
        <f t="shared" si="9"/>
        <v>N/A</v>
      </c>
      <c r="W58" s="430"/>
      <c r="X58" s="431"/>
      <c r="Y58" s="386"/>
      <c r="Z58" s="289"/>
      <c r="AA58" s="282"/>
      <c r="AB58" s="290"/>
      <c r="AC58" s="291"/>
      <c r="AD58" s="292"/>
      <c r="AE58" s="293"/>
      <c r="AF58" s="294"/>
      <c r="AG58" s="281"/>
      <c r="AH58" s="295"/>
      <c r="AI58" s="296"/>
      <c r="AJ58" s="297"/>
      <c r="AK58" s="297"/>
      <c r="AL58" s="292"/>
      <c r="AM58" s="298"/>
      <c r="AN58" s="294"/>
      <c r="AO58" s="281"/>
      <c r="AP58" s="289"/>
      <c r="AQ58" s="291"/>
      <c r="AR58" s="291"/>
      <c r="AS58" s="291"/>
      <c r="AT58" s="299"/>
      <c r="AU58" s="300"/>
      <c r="AV58" s="294"/>
      <c r="AW58" s="438" t="s">
        <v>413</v>
      </c>
    </row>
    <row r="59" spans="1:49" ht="25.5" x14ac:dyDescent="0.25">
      <c r="A59" s="381" t="s">
        <v>414</v>
      </c>
      <c r="B59" s="203" t="str">
        <f>VLOOKUP(Table119[[#This Row],[Course]],'TSD-Data'!$A$1:$G$98,7,FALSE)</f>
        <v>N8</v>
      </c>
      <c r="C59" s="203" t="s">
        <v>54</v>
      </c>
      <c r="D59" s="203" t="str">
        <f>VLOOKUP(Table119[[#This Row],[Course]],'TSD-Data'!$A$1:$G$93,2,FALSE)</f>
        <v>A-4J-0019</v>
      </c>
      <c r="E59" s="203" t="str">
        <f>VLOOKUP(Table119[[#This Row],[Course]],'TSD-Data'!$A$1:$G$93,3,FALSE)</f>
        <v>28SL/285M</v>
      </c>
      <c r="F59" s="208">
        <f>COUNTIF(Table2[Course Title],Table119[[#This Row],[Course]])</f>
        <v>4</v>
      </c>
      <c r="G59" s="208">
        <f>VLOOKUP(Table119[[#This Row],[Course]],'TSD-Data'!$A$1:$G$93,4,FALSE)</f>
        <v>20</v>
      </c>
      <c r="H59" s="208">
        <f>SUMIF(Table2[Course Title],Table119[[#This Row],[Course]],Table2[Graduates])</f>
        <v>51</v>
      </c>
      <c r="I59" s="208">
        <f>SUMIF(Table2[Course Title],Table119[[#This Row],[Course]],Table2[Fail])</f>
        <v>0</v>
      </c>
      <c r="J59" s="208">
        <f>SUMIF(Table2[Course Title],Table119[[#This Row],[Course]],Table2[No Shows])</f>
        <v>2</v>
      </c>
      <c r="K59" s="433">
        <f>(Table119[[#This Row],[FY26 Grads]]+Table119[[#This Row],[FY26 Fails]])/Table119[[#This Row],[FY26 Total Courses]]</f>
        <v>12.75</v>
      </c>
      <c r="L59" s="234">
        <v>704</v>
      </c>
      <c r="M59" s="434">
        <f t="shared" si="8"/>
        <v>7.2443181818181823E-2</v>
      </c>
      <c r="N59" s="383"/>
      <c r="O59" s="204">
        <v>4</v>
      </c>
      <c r="P59" s="205">
        <v>25</v>
      </c>
      <c r="Q59" s="243">
        <v>73</v>
      </c>
      <c r="R59" s="234">
        <v>0</v>
      </c>
      <c r="S59" s="208">
        <v>3</v>
      </c>
      <c r="T59" s="209">
        <f>(Table119[[#This Row],[FY25 Grads]]+Table119[[#This Row],[FY25 Fails]])/Table119[[#This Row],[FY25 Total Courses]]</f>
        <v>18.25</v>
      </c>
      <c r="U59" s="210">
        <v>711</v>
      </c>
      <c r="V59" s="211">
        <f t="shared" si="9"/>
        <v>0.10267229254571027</v>
      </c>
      <c r="W59" s="521"/>
      <c r="X59" s="431"/>
      <c r="Y59" s="386"/>
      <c r="Z59" s="289"/>
      <c r="AA59" s="282"/>
      <c r="AB59" s="290"/>
      <c r="AC59" s="291"/>
      <c r="AD59" s="292"/>
      <c r="AE59" s="293"/>
      <c r="AF59" s="294"/>
      <c r="AG59" s="281"/>
      <c r="AH59" s="295"/>
      <c r="AI59" s="296"/>
      <c r="AJ59" s="297"/>
      <c r="AK59" s="297"/>
      <c r="AL59" s="292"/>
      <c r="AM59" s="298"/>
      <c r="AN59" s="294"/>
      <c r="AO59" s="281"/>
      <c r="AP59" s="289"/>
      <c r="AQ59" s="291"/>
      <c r="AR59" s="291"/>
      <c r="AS59" s="291"/>
      <c r="AT59" s="299"/>
      <c r="AU59" s="300"/>
      <c r="AV59" s="294"/>
      <c r="AW59" s="381" t="s">
        <v>414</v>
      </c>
    </row>
    <row r="60" spans="1:49" ht="30" x14ac:dyDescent="0.25">
      <c r="A60" s="419" t="s">
        <v>236</v>
      </c>
      <c r="B60" s="203" t="str">
        <f>VLOOKUP(Table119[[#This Row],[Course]],'TSD-Data'!$A$1:$G$98,7,FALSE)</f>
        <v>N8</v>
      </c>
      <c r="C60" s="203" t="s">
        <v>54</v>
      </c>
      <c r="D60" s="203" t="str">
        <f>VLOOKUP(Table119[[#This Row],[Course]],'TSD-Data'!$A$1:$G$93,2,FALSE)</f>
        <v>A-493-2098</v>
      </c>
      <c r="E60" s="203" t="str">
        <f>VLOOKUP(Table119[[#This Row],[Course]],'TSD-Data'!$A$1:$G$93,3,FALSE)</f>
        <v>09WW</v>
      </c>
      <c r="F60" s="208">
        <f>COUNTIF(Table2[Course Title],Table119[[#This Row],[Course]])</f>
        <v>20</v>
      </c>
      <c r="G60" s="208">
        <f>VLOOKUP(Table119[[#This Row],[Course]],'TSD-Data'!$A$1:$G$93,4,FALSE)</f>
        <v>100</v>
      </c>
      <c r="H60" s="208">
        <f>SUMIF(Table2[Course Title],Table119[[#This Row],[Course]],Table2[Graduates])</f>
        <v>1256</v>
      </c>
      <c r="I60" s="208">
        <f>SUMIF(Table2[Course Title],Table119[[#This Row],[Course]],Table2[Fail])</f>
        <v>55</v>
      </c>
      <c r="J60" s="208">
        <f>SUMIF(Table2[Course Title],Table119[[#This Row],[Course]],Table2[No Shows])</f>
        <v>324</v>
      </c>
      <c r="K60" s="433">
        <f>(Table119[[#This Row],[FY26 Grads]]+Table119[[#This Row],[FY26 Fails]])/Table119[[#This Row],[FY26 Total Courses]]</f>
        <v>65.55</v>
      </c>
      <c r="L60" s="208">
        <v>2261</v>
      </c>
      <c r="M60" s="434">
        <f t="shared" si="8"/>
        <v>0.57983193277310929</v>
      </c>
      <c r="N60" s="383"/>
      <c r="O60" s="204">
        <v>17</v>
      </c>
      <c r="P60" s="205">
        <v>100</v>
      </c>
      <c r="Q60" s="243">
        <v>1293</v>
      </c>
      <c r="R60" s="234">
        <v>61</v>
      </c>
      <c r="S60" s="208">
        <v>375</v>
      </c>
      <c r="T60" s="209">
        <f>(Table119[[#This Row],[FY25 Grads]]+Table119[[#This Row],[FY25 Fails]])/Table119[[#This Row],[FY25 Total Courses]]</f>
        <v>79.647058823529406</v>
      </c>
      <c r="U60" s="210">
        <v>1601</v>
      </c>
      <c r="V60" s="211">
        <f t="shared" si="9"/>
        <v>0.84572142410993134</v>
      </c>
      <c r="W60" s="521">
        <v>2718</v>
      </c>
      <c r="X60" s="431">
        <v>28</v>
      </c>
      <c r="Y60" s="386"/>
      <c r="Z60" s="279">
        <v>17</v>
      </c>
      <c r="AA60" s="284">
        <v>100</v>
      </c>
      <c r="AB60" s="287">
        <v>1335</v>
      </c>
      <c r="AC60" s="235">
        <v>37</v>
      </c>
      <c r="AD60" s="216">
        <f>AVERAGE(AB60+AC60)/Z60</f>
        <v>80.705882352941174</v>
      </c>
      <c r="AE60" s="217">
        <v>1499</v>
      </c>
      <c r="AF60" s="218">
        <f>SUM(AB60+AC60)/AE60</f>
        <v>0.91527685123415614</v>
      </c>
      <c r="AG60" s="387"/>
      <c r="AH60" s="280">
        <v>24</v>
      </c>
      <c r="AI60" s="246">
        <v>100</v>
      </c>
      <c r="AJ60" s="208">
        <v>1538</v>
      </c>
      <c r="AK60" s="208">
        <v>88</v>
      </c>
      <c r="AL60" s="220">
        <f>AVERAGE(AJ60+AK60)/AH60</f>
        <v>67.75</v>
      </c>
      <c r="AM60" s="244">
        <v>1665</v>
      </c>
      <c r="AN60" s="218">
        <f>SUM(AJ60+AK60)/AM60</f>
        <v>0.97657657657657659</v>
      </c>
      <c r="AO60" s="281"/>
      <c r="AP60" s="279">
        <v>21</v>
      </c>
      <c r="AQ60" s="223">
        <v>100</v>
      </c>
      <c r="AR60" s="224">
        <v>1584</v>
      </c>
      <c r="AS60" s="224">
        <v>89</v>
      </c>
      <c r="AT60" s="231">
        <f>(Table119[[#This Row],[FY22 Grads]]+Table119[[#This Row],[FY22 Fails]])/Table119[[#This Row],[FY22 Total Courses]]</f>
        <v>79.666666666666671</v>
      </c>
      <c r="AU60" s="226">
        <v>604</v>
      </c>
      <c r="AV60" s="227">
        <f>SUM(AR60+AS60)/AU60</f>
        <v>2.7698675496688741</v>
      </c>
      <c r="AW60" s="240" t="s">
        <v>236</v>
      </c>
    </row>
    <row r="61" spans="1:49" ht="25.5" x14ac:dyDescent="0.25">
      <c r="A61" s="385" t="s">
        <v>38</v>
      </c>
      <c r="B61" s="203" t="str">
        <f>VLOOKUP(Table119[[#This Row],[Course]],'TSD-Data'!$A$1:$G$98,7,FALSE)</f>
        <v>N8</v>
      </c>
      <c r="C61" s="382" t="s">
        <v>508</v>
      </c>
      <c r="D61" s="203" t="str">
        <f>VLOOKUP(Table119[[#This Row],[Course]],'TSD-Data'!$A$1:$G$93,2,FALSE)</f>
        <v>A-493-2099</v>
      </c>
      <c r="E61" s="203" t="str">
        <f>VLOOKUP(Table119[[#This Row],[Course]],'TSD-Data'!$A$1:$G$93,3,FALSE)</f>
        <v>438G</v>
      </c>
      <c r="F61" s="208">
        <f>COUNTIF(Table2[Course Title],Table119[[#This Row],[Course]])</f>
        <v>3</v>
      </c>
      <c r="G61" s="208">
        <f>VLOOKUP(Table119[[#This Row],[Course]],'TSD-Data'!$A$1:$G$93,4,FALSE)</f>
        <v>30</v>
      </c>
      <c r="H61" s="208">
        <f>SUMIF(Table2[Course Title],Table119[[#This Row],[Course]],Table2[Graduates])</f>
        <v>22</v>
      </c>
      <c r="I61" s="208">
        <f>SUMIF(Table2[Course Title],Table119[[#This Row],[Course]],Table2[Fail])</f>
        <v>0</v>
      </c>
      <c r="J61" s="208">
        <f>SUMIF(Table2[Course Title],Table119[[#This Row],[Course]],Table2[No Shows])</f>
        <v>0</v>
      </c>
      <c r="K61" s="433">
        <f>(Table119[[#This Row],[FY26 Grads]]+Table119[[#This Row],[FY26 Fails]])/Table119[[#This Row],[FY26 Total Courses]]</f>
        <v>7.333333333333333</v>
      </c>
      <c r="L61" s="435">
        <v>0</v>
      </c>
      <c r="M61" s="434" t="str">
        <f t="shared" si="8"/>
        <v>0</v>
      </c>
      <c r="N61" s="383"/>
      <c r="O61" s="204">
        <v>2</v>
      </c>
      <c r="P61" s="208"/>
      <c r="Q61" s="243">
        <v>46</v>
      </c>
      <c r="R61" s="234">
        <v>1</v>
      </c>
      <c r="S61" s="208">
        <v>0</v>
      </c>
      <c r="T61" s="209">
        <f>(Table119[[#This Row],[FY25 Grads]]+Table119[[#This Row],[FY25 Fails]])/Table119[[#This Row],[FY25 Total Courses]]</f>
        <v>23.5</v>
      </c>
      <c r="U61" s="210"/>
      <c r="V61" s="211" t="str">
        <f t="shared" si="9"/>
        <v>N/A</v>
      </c>
      <c r="W61" s="430"/>
      <c r="X61" s="431"/>
      <c r="Y61" s="386"/>
      <c r="Z61" s="304"/>
      <c r="AA61" s="213"/>
      <c r="AB61" s="305"/>
      <c r="AC61" s="306"/>
      <c r="AD61" s="307"/>
      <c r="AE61" s="308"/>
      <c r="AF61" s="309" t="e">
        <f>SUM(AB61+AC61)/AE61</f>
        <v>#DIV/0!</v>
      </c>
      <c r="AG61" s="387"/>
      <c r="AH61" s="310"/>
      <c r="AI61" s="246"/>
      <c r="AJ61" s="208"/>
      <c r="AK61" s="208"/>
      <c r="AL61" s="220"/>
      <c r="AM61" s="244"/>
      <c r="AN61" s="218" t="e">
        <f>SUM(AJ61+AK61)/AM61</f>
        <v>#DIV/0!</v>
      </c>
      <c r="AO61" s="281"/>
      <c r="AP61" s="279"/>
      <c r="AQ61" s="223"/>
      <c r="AR61" s="224"/>
      <c r="AS61" s="224"/>
      <c r="AT61" s="225"/>
      <c r="AU61" s="226"/>
      <c r="AV61" s="311" t="e">
        <f>SUM(AR61+AS61)/AU61</f>
        <v>#DIV/0!</v>
      </c>
      <c r="AW61" s="385" t="s">
        <v>38</v>
      </c>
    </row>
    <row r="62" spans="1:49" ht="30" x14ac:dyDescent="0.25">
      <c r="A62" s="419" t="s">
        <v>239</v>
      </c>
      <c r="B62" s="203" t="str">
        <f>VLOOKUP(Table119[[#This Row],[Course]],'TSD-Data'!$A$1:$G$98,7,FALSE)</f>
        <v>N8</v>
      </c>
      <c r="C62" s="203" t="s">
        <v>54</v>
      </c>
      <c r="D62" s="203" t="str">
        <f>VLOOKUP(Table119[[#This Row],[Course]],'TSD-Data'!$A$1:$G$93,2,FALSE)</f>
        <v>F-4J-0023</v>
      </c>
      <c r="E62" s="203" t="str">
        <f>VLOOKUP(Table119[[#This Row],[Course]],'TSD-Data'!$A$1:$G$93,3,FALSE)</f>
        <v>11A2</v>
      </c>
      <c r="F62" s="208">
        <f>COUNTIF(Table2[Course Title],Table119[[#This Row],[Course]])</f>
        <v>5</v>
      </c>
      <c r="G62" s="208">
        <f>VLOOKUP(Table119[[#This Row],[Course]],'TSD-Data'!$A$1:$G$93,4,FALSE)</f>
        <v>45</v>
      </c>
      <c r="H62" s="208">
        <f>SUMIF(Table2[Course Title],Table119[[#This Row],[Course]],Table2[Graduates])</f>
        <v>49</v>
      </c>
      <c r="I62" s="208">
        <f>SUMIF(Table2[Course Title],Table119[[#This Row],[Course]],Table2[Fail])</f>
        <v>1</v>
      </c>
      <c r="J62" s="208">
        <f>SUMIF(Table2[Course Title],Table119[[#This Row],[Course]],Table2[No Shows])</f>
        <v>14</v>
      </c>
      <c r="K62" s="433">
        <f>(Table119[[#This Row],[FY26 Grads]]+Table119[[#This Row],[FY26 Fails]])/Table119[[#This Row],[FY26 Total Courses]]</f>
        <v>10</v>
      </c>
      <c r="L62" s="208">
        <v>120</v>
      </c>
      <c r="M62" s="434">
        <f t="shared" si="8"/>
        <v>0.41666666666666669</v>
      </c>
      <c r="N62" s="383"/>
      <c r="O62" s="204">
        <v>3</v>
      </c>
      <c r="P62" s="205">
        <v>25</v>
      </c>
      <c r="Q62" s="243">
        <v>42</v>
      </c>
      <c r="R62" s="234">
        <v>0</v>
      </c>
      <c r="S62" s="208">
        <v>10</v>
      </c>
      <c r="T62" s="209">
        <f>(Table119[[#This Row],[FY25 Grads]]+Table119[[#This Row],[FY25 Fails]])/Table119[[#This Row],[FY25 Total Courses]]</f>
        <v>14</v>
      </c>
      <c r="U62" s="210">
        <v>92</v>
      </c>
      <c r="V62" s="211">
        <f t="shared" si="9"/>
        <v>0.45652173913043476</v>
      </c>
      <c r="W62" s="521">
        <v>61</v>
      </c>
      <c r="X62" s="431">
        <v>3</v>
      </c>
      <c r="Y62" s="386"/>
      <c r="Z62" s="279">
        <v>4</v>
      </c>
      <c r="AA62" s="284">
        <v>25</v>
      </c>
      <c r="AB62" s="235">
        <v>39</v>
      </c>
      <c r="AC62" s="235">
        <v>1</v>
      </c>
      <c r="AD62" s="216">
        <f>AVERAGE(AB62+AC62)/Z62</f>
        <v>10</v>
      </c>
      <c r="AE62" s="217">
        <v>58</v>
      </c>
      <c r="AF62" s="218">
        <f>SUM(AB62+AC62)/AE62</f>
        <v>0.68965517241379315</v>
      </c>
      <c r="AG62" s="387"/>
      <c r="AH62" s="280">
        <v>4</v>
      </c>
      <c r="AI62" s="246">
        <v>25</v>
      </c>
      <c r="AJ62" s="208">
        <v>54</v>
      </c>
      <c r="AK62" s="208">
        <v>2</v>
      </c>
      <c r="AL62" s="220">
        <f>AVERAGE(AJ62+AK62)/AH62</f>
        <v>14</v>
      </c>
      <c r="AM62" s="244">
        <v>86</v>
      </c>
      <c r="AN62" s="218">
        <f>SUM(AJ62+AK62)/AM62</f>
        <v>0.65116279069767447</v>
      </c>
      <c r="AO62" s="281"/>
      <c r="AP62" s="279">
        <v>5</v>
      </c>
      <c r="AQ62" s="223">
        <v>30</v>
      </c>
      <c r="AR62" s="224">
        <v>32</v>
      </c>
      <c r="AS62" s="224">
        <v>0</v>
      </c>
      <c r="AT62" s="231">
        <f>(Table119[[#This Row],[FY22 Grads]]+Table119[[#This Row],[FY22 Fails]])/Table119[[#This Row],[FY22 Total Courses]]</f>
        <v>6.4</v>
      </c>
      <c r="AU62" s="226">
        <v>19</v>
      </c>
      <c r="AV62" s="227">
        <f>SUM(AR62+AS62)/AU62</f>
        <v>1.6842105263157894</v>
      </c>
      <c r="AW62" s="240" t="s">
        <v>239</v>
      </c>
    </row>
    <row r="63" spans="1:49" x14ac:dyDescent="0.25">
      <c r="A63" s="418" t="s">
        <v>85</v>
      </c>
      <c r="B63" s="203" t="str">
        <f>VLOOKUP(Table119[[#This Row],[Course]],'TSD-Data'!$A$1:$G$98,7,FALSE)</f>
        <v>N4</v>
      </c>
      <c r="C63" s="382" t="s">
        <v>508</v>
      </c>
      <c r="D63" s="203" t="str">
        <f>VLOOKUP(Table119[[#This Row],[Course]],'TSD-Data'!$A$1:$G$93,2,FALSE)</f>
        <v>A-493-2017</v>
      </c>
      <c r="E63" s="203" t="str">
        <f>VLOOKUP(Table119[[#This Row],[Course]],'TSD-Data'!$A$1:$G$93,3,FALSE)</f>
        <v>12x3</v>
      </c>
      <c r="F63" s="208">
        <f>COUNTIF(Table2[Course Title],Table119[[#This Row],[Course]])</f>
        <v>3</v>
      </c>
      <c r="G63" s="208">
        <f>VLOOKUP(Table119[[#This Row],[Course]],'TSD-Data'!$A$1:$G$93,4,FALSE)</f>
        <v>25</v>
      </c>
      <c r="H63" s="208">
        <f>SUMIF(Table2[Course Title],Table119[[#This Row],[Course]],Table2[Graduates])</f>
        <v>33</v>
      </c>
      <c r="I63" s="208">
        <f>SUMIF(Table2[Course Title],Table119[[#This Row],[Course]],Table2[Fail])</f>
        <v>0</v>
      </c>
      <c r="J63" s="208">
        <f>SUMIF(Table2[Course Title],Table119[[#This Row],[Course]],Table2[No Shows])</f>
        <v>4</v>
      </c>
      <c r="K63" s="433">
        <f>(Table119[[#This Row],[FY26 Grads]]+Table119[[#This Row],[FY26 Fails]])/Table119[[#This Row],[FY26 Total Courses]]</f>
        <v>11</v>
      </c>
      <c r="L63" s="208">
        <v>610</v>
      </c>
      <c r="M63" s="434">
        <f t="shared" si="8"/>
        <v>5.4098360655737705E-2</v>
      </c>
      <c r="N63" s="383"/>
      <c r="O63" s="204">
        <v>7</v>
      </c>
      <c r="P63" s="204">
        <v>25</v>
      </c>
      <c r="Q63" s="210">
        <v>120</v>
      </c>
      <c r="R63" s="234">
        <v>1</v>
      </c>
      <c r="S63" s="210">
        <v>17</v>
      </c>
      <c r="T63" s="209">
        <f>(Table119[[#This Row],[FY25 Grads]]+Table119[[#This Row],[FY25 Fails]])/Table119[[#This Row],[FY25 Total Courses]]</f>
        <v>17.285714285714285</v>
      </c>
      <c r="U63" s="210">
        <v>397</v>
      </c>
      <c r="V63" s="211">
        <f t="shared" si="9"/>
        <v>0.30478589420654911</v>
      </c>
      <c r="W63" s="521">
        <v>66</v>
      </c>
      <c r="X63" s="521">
        <v>3</v>
      </c>
      <c r="Y63" s="386"/>
      <c r="Z63" s="283">
        <v>4</v>
      </c>
      <c r="AA63" s="284">
        <v>25</v>
      </c>
      <c r="AB63" s="285">
        <v>81</v>
      </c>
      <c r="AC63" s="285">
        <v>0</v>
      </c>
      <c r="AD63" s="216">
        <f>AVERAGE(AB63+AC63)/Z63</f>
        <v>20.25</v>
      </c>
      <c r="AE63" s="217">
        <v>126</v>
      </c>
      <c r="AF63" s="218">
        <f>SUM(AB63+AC63)/AE63</f>
        <v>0.6428571428571429</v>
      </c>
      <c r="AG63" s="387"/>
      <c r="AH63" s="286">
        <v>2</v>
      </c>
      <c r="AI63" s="204">
        <v>25</v>
      </c>
      <c r="AJ63" s="210">
        <v>38</v>
      </c>
      <c r="AK63" s="210">
        <v>0</v>
      </c>
      <c r="AL63" s="220">
        <f>AVERAGE(AJ63+AK63)/AH63</f>
        <v>19</v>
      </c>
      <c r="AM63" s="235">
        <v>100</v>
      </c>
      <c r="AN63" s="218">
        <f>SUM(AJ63+AK63)/AM63</f>
        <v>0.38</v>
      </c>
      <c r="AO63" s="281"/>
      <c r="AP63" s="279">
        <v>1</v>
      </c>
      <c r="AQ63" s="223">
        <v>25</v>
      </c>
      <c r="AR63" s="224">
        <v>25</v>
      </c>
      <c r="AS63" s="224">
        <v>0</v>
      </c>
      <c r="AT63" s="225">
        <v>25</v>
      </c>
      <c r="AU63" s="226">
        <v>25</v>
      </c>
      <c r="AV63" s="227">
        <f>SUM(AR63+AS63)/AU63</f>
        <v>1</v>
      </c>
      <c r="AW63" s="232" t="s">
        <v>85</v>
      </c>
    </row>
    <row r="64" spans="1:49" ht="26.25" thickBot="1" x14ac:dyDescent="0.3">
      <c r="A64" s="381" t="s">
        <v>605</v>
      </c>
      <c r="B64" s="203" t="str">
        <f>VLOOKUP(Table119[[#This Row],[Course]],'TSD-Data'!$A$1:$G$98,7,FALSE)</f>
        <v>N5</v>
      </c>
      <c r="C64" s="203" t="s">
        <v>54</v>
      </c>
      <c r="D64" s="203" t="str">
        <f>VLOOKUP(Table119[[#This Row],[Course]],'TSD-Data'!$A$1:$G$93,2,FALSE)</f>
        <v>TBD</v>
      </c>
      <c r="E64" s="203" t="str">
        <f>VLOOKUP(Table119[[#This Row],[Course]],'TSD-Data'!$A$1:$G$93,3,FALSE)</f>
        <v>TBD</v>
      </c>
      <c r="F64" s="208">
        <f>COUNTIF(Table2[Course Title],Table119[[#This Row],[Course]])</f>
        <v>0</v>
      </c>
      <c r="G64" s="208">
        <f>VLOOKUP(Table119[[#This Row],[Course]],'TSD-Data'!$A$1:$G$93,4,FALSE)</f>
        <v>45</v>
      </c>
      <c r="H64" s="208">
        <f>SUMIF(Table2[Course Title],Table119[[#This Row],[Course]],Table2[Graduates])</f>
        <v>0</v>
      </c>
      <c r="I64" s="208">
        <f>SUMIF(Table2[Course Title],Table119[[#This Row],[Course]],Table2[Fail])</f>
        <v>0</v>
      </c>
      <c r="J64" s="208">
        <f>SUMIF(Table2[Course Title],Table119[[#This Row],[Course]],Table2[No Shows])</f>
        <v>0</v>
      </c>
      <c r="K64" s="433"/>
      <c r="L64" s="234">
        <v>1304</v>
      </c>
      <c r="M64" s="434">
        <f t="shared" si="8"/>
        <v>0</v>
      </c>
      <c r="N64" s="383"/>
      <c r="O64" s="312"/>
      <c r="P64" s="313"/>
      <c r="Q64" s="314"/>
      <c r="R64" s="315"/>
      <c r="S64" s="313"/>
      <c r="T64" s="316"/>
      <c r="U64" s="312"/>
      <c r="V64" s="317"/>
      <c r="W64" s="521"/>
      <c r="X64" s="431"/>
      <c r="Y64" s="386"/>
      <c r="Z64" s="256"/>
      <c r="AA64" s="257"/>
      <c r="AB64" s="258"/>
      <c r="AC64" s="257"/>
      <c r="AD64" s="257"/>
      <c r="AE64" s="260"/>
      <c r="AF64" s="256"/>
      <c r="AG64" s="387"/>
      <c r="AH64" s="256"/>
      <c r="AI64" s="257"/>
      <c r="AJ64" s="258"/>
      <c r="AK64" s="257"/>
      <c r="AL64" s="257"/>
      <c r="AM64" s="260"/>
      <c r="AN64" s="256"/>
      <c r="AO64" s="281"/>
      <c r="AP64" s="256"/>
      <c r="AQ64" s="257"/>
      <c r="AR64" s="258"/>
      <c r="AS64" s="257"/>
      <c r="AT64" s="257"/>
      <c r="AU64" s="260"/>
      <c r="AV64" s="256"/>
      <c r="AW64" s="381" t="s">
        <v>605</v>
      </c>
    </row>
    <row r="65" spans="1:49" ht="15.75" thickBot="1" x14ac:dyDescent="0.3">
      <c r="A65" s="388" t="s">
        <v>243</v>
      </c>
      <c r="B65" s="389"/>
      <c r="C65" s="389"/>
      <c r="D65" s="389"/>
      <c r="E65" s="389"/>
      <c r="F65" s="436">
        <f>SUBTOTAL(109,Table119[FY26 Total Courses])</f>
        <v>636</v>
      </c>
      <c r="G65" s="436"/>
      <c r="H65" s="436">
        <f>SUBTOTAL(109,Table119[FY26 Grads])</f>
        <v>11887</v>
      </c>
      <c r="I65" s="436">
        <f>SUBTOTAL(109,Table119[FY26 Fails])</f>
        <v>168</v>
      </c>
      <c r="J65" s="436">
        <f>SUBTOTAL(109,Table119[FY26 No Shows])</f>
        <v>1492</v>
      </c>
      <c r="K65" s="436"/>
      <c r="L65" s="436">
        <f>SUBTOTAL(109,Table119[FY26 FLT Quota Need])</f>
        <v>32508</v>
      </c>
      <c r="M65" s="436"/>
      <c r="N65" s="390"/>
      <c r="O65" s="391">
        <f>SUBTOTAL(109,Table119[FY25 Total Courses])</f>
        <v>521</v>
      </c>
      <c r="P65" s="391">
        <f>SUBTOTAL(109,Table119[FY25 Quota Per Course])</f>
        <v>2395</v>
      </c>
      <c r="Q65" s="391">
        <f>SUBTOTAL(109,Table119[FY25 Grads])</f>
        <v>13567</v>
      </c>
      <c r="R65" s="391">
        <f>SUBTOTAL(109,Table119[FY25 Fails])</f>
        <v>213</v>
      </c>
      <c r="S65" s="391">
        <f>SUBTOTAL(109,Table119[FY25 No Shows])</f>
        <v>3602</v>
      </c>
      <c r="T65" s="391"/>
      <c r="U65" s="391">
        <f>SUBTOTAL(109,Table119[FY25 FLT Quota Need])</f>
        <v>27575</v>
      </c>
      <c r="V65" s="391"/>
      <c r="W65" s="432">
        <f>SUBTOTAL(109,Table119[Quotas: All Data])</f>
        <v>27097</v>
      </c>
      <c r="X65" s="432">
        <f>SUBTOTAL(109,Table119[Courses Needed: All Data])</f>
        <v>890</v>
      </c>
      <c r="Y65" s="392"/>
      <c r="Z65" s="204">
        <f>SUM(Z2:Z64)</f>
        <v>430</v>
      </c>
      <c r="AA65" s="204">
        <f>SUM(AA2:AA64)</f>
        <v>1235</v>
      </c>
      <c r="AB65" s="204">
        <f>SUM(AB2:AB64)</f>
        <v>10590</v>
      </c>
      <c r="AC65" s="204">
        <f>SUBTOTAL(109,AC2:AC64)</f>
        <v>216</v>
      </c>
      <c r="AD65" s="204"/>
      <c r="AE65" s="204">
        <f>SUM(AE2:AE64)</f>
        <v>26845</v>
      </c>
      <c r="AF65" s="204"/>
      <c r="AG65" s="392"/>
      <c r="AH65" s="204">
        <f>SUM(AH2:AH64)</f>
        <v>431</v>
      </c>
      <c r="AI65" s="204">
        <f>SUM(AI2:AI64)</f>
        <v>1120</v>
      </c>
      <c r="AJ65" s="204">
        <f>SUM(AJ2:AJ64)</f>
        <v>10137</v>
      </c>
      <c r="AK65" s="204">
        <f>SUM(AS2:AS64)</f>
        <v>173</v>
      </c>
      <c r="AL65" s="204"/>
      <c r="AM65" s="204">
        <f>SUM(AM2:AM64)</f>
        <v>15180</v>
      </c>
      <c r="AN65" s="210"/>
      <c r="AO65" s="393"/>
      <c r="AP65" s="204">
        <f>SUBTOTAL(109,Table119[FY22 Total Courses])</f>
        <v>351</v>
      </c>
      <c r="AQ65" s="204">
        <f>SUM(AQ2:AQ64)</f>
        <v>1000</v>
      </c>
      <c r="AR65" s="204">
        <f>SUM(AR2:AR64)</f>
        <v>8105</v>
      </c>
      <c r="AS65" s="204">
        <f>SUM(AS2:AS64)</f>
        <v>173</v>
      </c>
      <c r="AT65" s="204"/>
      <c r="AU65" s="204">
        <f>SUM(AU2:AU64)</f>
        <v>10836</v>
      </c>
      <c r="AV65" s="394"/>
      <c r="AW65" s="395" t="s">
        <v>243</v>
      </c>
    </row>
    <row r="66" spans="1:49" x14ac:dyDescent="0.25">
      <c r="P66" s="414"/>
      <c r="AR66" s="414"/>
      <c r="AS66" s="414"/>
    </row>
    <row r="67" spans="1:49" x14ac:dyDescent="0.25">
      <c r="P67" s="414"/>
      <c r="AR67" s="414"/>
      <c r="AS67" s="414"/>
    </row>
    <row r="68" spans="1:49" x14ac:dyDescent="0.25">
      <c r="P68" s="414"/>
      <c r="AR68" s="414"/>
      <c r="AS68" s="414"/>
    </row>
    <row r="69" spans="1:49" x14ac:dyDescent="0.25">
      <c r="P69" s="414"/>
      <c r="AR69" s="414"/>
      <c r="AS69" s="414"/>
    </row>
    <row r="70" spans="1:49" x14ac:dyDescent="0.25">
      <c r="P70" s="414"/>
      <c r="AR70" s="414"/>
      <c r="AS70" s="414"/>
    </row>
    <row r="71" spans="1:49" x14ac:dyDescent="0.25">
      <c r="P71" s="414"/>
      <c r="AR71" s="414"/>
      <c r="AS71" s="414"/>
    </row>
    <row r="72" spans="1:49" x14ac:dyDescent="0.25">
      <c r="P72" s="414"/>
      <c r="AR72" s="414"/>
      <c r="AS72" s="414"/>
    </row>
    <row r="73" spans="1:49" x14ac:dyDescent="0.25">
      <c r="P73" s="414"/>
      <c r="AR73" s="414"/>
      <c r="AS73" s="414"/>
    </row>
    <row r="74" spans="1:49" x14ac:dyDescent="0.25">
      <c r="P74" s="414"/>
      <c r="AR74" s="414"/>
      <c r="AS74" s="414"/>
    </row>
    <row r="75" spans="1:49" x14ac:dyDescent="0.25">
      <c r="P75" s="414"/>
      <c r="AR75" s="414"/>
      <c r="AS75" s="414"/>
    </row>
    <row r="76" spans="1:49" x14ac:dyDescent="0.25">
      <c r="P76" s="414"/>
      <c r="AR76" s="414"/>
      <c r="AS76" s="414"/>
    </row>
    <row r="77" spans="1:49" x14ac:dyDescent="0.25">
      <c r="P77" s="414"/>
      <c r="AR77" s="414"/>
      <c r="AS77" s="414"/>
    </row>
    <row r="78" spans="1:49" x14ac:dyDescent="0.25">
      <c r="P78" s="414"/>
      <c r="AR78" s="414"/>
      <c r="AS78" s="414"/>
    </row>
    <row r="79" spans="1:49" x14ac:dyDescent="0.25">
      <c r="P79" s="414"/>
      <c r="AR79" s="414"/>
      <c r="AS79" s="414"/>
    </row>
    <row r="80" spans="1:49" x14ac:dyDescent="0.25">
      <c r="P80" s="414"/>
      <c r="AR80" s="414"/>
      <c r="AS80" s="414"/>
    </row>
    <row r="81" spans="16:16" x14ac:dyDescent="0.25">
      <c r="P81" s="414"/>
    </row>
    <row r="82" spans="16:16" x14ac:dyDescent="0.25">
      <c r="P82" s="414"/>
    </row>
    <row r="83" spans="16:16" x14ac:dyDescent="0.25">
      <c r="P83" s="414"/>
    </row>
    <row r="84" spans="16:16" x14ac:dyDescent="0.25">
      <c r="P84" s="414"/>
    </row>
    <row r="85" spans="16:16" x14ac:dyDescent="0.25">
      <c r="P85" s="414"/>
    </row>
    <row r="86" spans="16:16" x14ac:dyDescent="0.25">
      <c r="P86" s="414"/>
    </row>
  </sheetData>
  <phoneticPr fontId="4" type="noConversion"/>
  <conditionalFormatting sqref="Q2:Q22">
    <cfRule type="cellIs" dxfId="2" priority="1" operator="lessThan">
      <formula>0</formula>
    </cfRule>
  </conditionalFormatting>
  <conditionalFormatting sqref="AE2:AE22 AM2:AM22 AI2:AI28 AA2:AA30 Q24:Q32 AE33 AE35:AE63">
    <cfRule type="cellIs" dxfId="1" priority="3" operator="lessThan">
      <formula>0</formula>
    </cfRule>
  </conditionalFormatting>
  <conditionalFormatting sqref="AE24:AE26 AM24:AM29 AE28:AE30">
    <cfRule type="cellIs" dxfId="0" priority="4" operator="lessThan">
      <formula>0</formula>
    </cfRule>
  </conditionalFormatting>
  <pageMargins left="0.7" right="0.7" top="0.75" bottom="0.75" header="0.3" footer="0.3"/>
  <pageSetup paperSize="5" scale="38" fitToHeight="0" orientation="landscape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F6CD0C-9FE5-46AD-909D-9A0BDAB01E8B}">
          <x14:formula1>
            <xm:f>'TSD-Data'!$A$2:$A$79</xm:f>
          </x14:formula1>
          <xm:sqref>A2:A64 AW2:AW64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032BB-FDF2-4C26-8D37-931C848FAC71}">
  <sheetPr>
    <tabColor theme="9" tint="0.79998168889431442"/>
  </sheetPr>
  <dimension ref="A1:H17"/>
  <sheetViews>
    <sheetView workbookViewId="0">
      <selection activeCell="G28" sqref="G28"/>
    </sheetView>
  </sheetViews>
  <sheetFormatPr defaultRowHeight="15" x14ac:dyDescent="0.25"/>
  <cols>
    <col min="1" max="1" width="76.5703125" bestFit="1" customWidth="1"/>
    <col min="2" max="2" width="10.7109375" bestFit="1" customWidth="1"/>
    <col min="3" max="3" width="15.7109375" bestFit="1" customWidth="1"/>
    <col min="4" max="4" width="14.7109375" bestFit="1" customWidth="1"/>
    <col min="5" max="5" width="10.7109375" bestFit="1" customWidth="1"/>
    <col min="6" max="6" width="10.28515625" bestFit="1" customWidth="1"/>
    <col min="7" max="7" width="15.5703125" bestFit="1" customWidth="1"/>
    <col min="8" max="8" width="6" bestFit="1" customWidth="1"/>
    <col min="9" max="9" width="63.7109375" bestFit="1" customWidth="1"/>
    <col min="10" max="10" width="54.28515625" bestFit="1" customWidth="1"/>
    <col min="11" max="11" width="35" bestFit="1" customWidth="1"/>
    <col min="12" max="12" width="39" bestFit="1" customWidth="1"/>
    <col min="13" max="13" width="52.5703125" bestFit="1" customWidth="1"/>
    <col min="14" max="14" width="74" bestFit="1" customWidth="1"/>
    <col min="15" max="15" width="39.42578125" bestFit="1" customWidth="1"/>
    <col min="16" max="16" width="36.5703125" bestFit="1" customWidth="1"/>
    <col min="17" max="17" width="38.7109375" bestFit="1" customWidth="1"/>
    <col min="18" max="18" width="44" bestFit="1" customWidth="1"/>
    <col min="19" max="19" width="11.28515625" bestFit="1" customWidth="1"/>
    <col min="20" max="34" width="77.42578125" bestFit="1" customWidth="1"/>
    <col min="35" max="35" width="15.7109375" bestFit="1" customWidth="1"/>
    <col min="36" max="36" width="20.7109375" bestFit="1" customWidth="1"/>
  </cols>
  <sheetData>
    <row r="1" spans="1:8" x14ac:dyDescent="0.25">
      <c r="A1" t="s">
        <v>150</v>
      </c>
      <c r="B1" t="s">
        <v>727</v>
      </c>
    </row>
    <row r="3" spans="1:8" x14ac:dyDescent="0.25">
      <c r="A3" t="s">
        <v>355</v>
      </c>
      <c r="B3" t="s">
        <v>728</v>
      </c>
      <c r="C3" t="s">
        <v>729</v>
      </c>
      <c r="D3" t="s">
        <v>730</v>
      </c>
      <c r="E3" t="s">
        <v>731</v>
      </c>
      <c r="F3" t="s">
        <v>732</v>
      </c>
      <c r="G3" t="s">
        <v>733</v>
      </c>
      <c r="H3" s="160" t="s">
        <v>734</v>
      </c>
    </row>
    <row r="4" spans="1:8" x14ac:dyDescent="0.25">
      <c r="A4" s="158" t="s">
        <v>627</v>
      </c>
      <c r="B4" s="54">
        <v>8</v>
      </c>
      <c r="C4" s="54">
        <v>3</v>
      </c>
      <c r="D4" s="54">
        <v>140</v>
      </c>
      <c r="E4" s="54">
        <v>21</v>
      </c>
      <c r="F4" s="54">
        <v>61</v>
      </c>
      <c r="G4" s="54">
        <v>176</v>
      </c>
      <c r="H4" s="160">
        <f>SUM(B4:G4)</f>
        <v>409</v>
      </c>
    </row>
    <row r="5" spans="1:8" x14ac:dyDescent="0.25">
      <c r="A5" s="158" t="s">
        <v>735</v>
      </c>
      <c r="B5" s="54">
        <v>26</v>
      </c>
      <c r="C5" s="54">
        <v>46</v>
      </c>
      <c r="D5" s="54">
        <v>334</v>
      </c>
      <c r="E5" s="54">
        <v>107</v>
      </c>
      <c r="F5" s="54">
        <v>117</v>
      </c>
      <c r="G5" s="54">
        <v>600</v>
      </c>
      <c r="H5" s="160">
        <f t="shared" ref="H5:H17" si="0">SUM(B5:G5)</f>
        <v>1230</v>
      </c>
    </row>
    <row r="6" spans="1:8" x14ac:dyDescent="0.25">
      <c r="A6" s="158" t="s">
        <v>736</v>
      </c>
      <c r="B6" s="54">
        <v>29</v>
      </c>
      <c r="C6" s="54">
        <v>64</v>
      </c>
      <c r="D6" s="54">
        <v>336</v>
      </c>
      <c r="E6" s="54">
        <v>62</v>
      </c>
      <c r="F6" s="54">
        <v>125</v>
      </c>
      <c r="G6" s="54">
        <v>284</v>
      </c>
      <c r="H6" s="160">
        <f t="shared" si="0"/>
        <v>900</v>
      </c>
    </row>
    <row r="7" spans="1:8" x14ac:dyDescent="0.25">
      <c r="A7" s="158" t="s">
        <v>737</v>
      </c>
      <c r="B7" s="54">
        <v>46</v>
      </c>
      <c r="C7" s="54">
        <v>103</v>
      </c>
      <c r="D7" s="54">
        <v>316</v>
      </c>
      <c r="E7" s="54">
        <v>51</v>
      </c>
      <c r="F7" s="54">
        <v>123</v>
      </c>
      <c r="G7" s="54">
        <v>254</v>
      </c>
      <c r="H7" s="160">
        <f t="shared" si="0"/>
        <v>893</v>
      </c>
    </row>
    <row r="8" spans="1:8" x14ac:dyDescent="0.25">
      <c r="A8" s="158" t="s">
        <v>738</v>
      </c>
      <c r="B8" s="54">
        <v>28</v>
      </c>
      <c r="C8" s="54">
        <v>123</v>
      </c>
      <c r="D8" s="54">
        <v>470</v>
      </c>
      <c r="E8" s="54">
        <v>65</v>
      </c>
      <c r="F8" s="54">
        <v>118</v>
      </c>
      <c r="G8" s="54">
        <v>309</v>
      </c>
      <c r="H8" s="160">
        <f t="shared" si="0"/>
        <v>1113</v>
      </c>
    </row>
    <row r="9" spans="1:8" x14ac:dyDescent="0.25">
      <c r="A9" s="158" t="s">
        <v>739</v>
      </c>
      <c r="B9" s="54">
        <v>5</v>
      </c>
      <c r="C9" s="54">
        <v>68</v>
      </c>
      <c r="D9" s="54">
        <v>301</v>
      </c>
      <c r="E9" s="54">
        <v>55</v>
      </c>
      <c r="F9" s="54">
        <v>64</v>
      </c>
      <c r="G9" s="54">
        <v>181</v>
      </c>
      <c r="H9" s="160">
        <f t="shared" si="0"/>
        <v>674</v>
      </c>
    </row>
    <row r="10" spans="1:8" x14ac:dyDescent="0.25">
      <c r="A10" s="158" t="s">
        <v>740</v>
      </c>
      <c r="B10" s="54">
        <v>29</v>
      </c>
      <c r="C10" s="54">
        <v>105</v>
      </c>
      <c r="D10" s="54">
        <v>455</v>
      </c>
      <c r="E10" s="54">
        <v>66</v>
      </c>
      <c r="F10" s="54">
        <v>114</v>
      </c>
      <c r="G10" s="54">
        <v>343</v>
      </c>
      <c r="H10" s="160">
        <f t="shared" si="0"/>
        <v>1112</v>
      </c>
    </row>
    <row r="11" spans="1:8" x14ac:dyDescent="0.25">
      <c r="A11" s="158" t="s">
        <v>741</v>
      </c>
      <c r="B11" s="54">
        <v>7</v>
      </c>
      <c r="C11" s="54">
        <v>50</v>
      </c>
      <c r="D11" s="54">
        <v>252</v>
      </c>
      <c r="E11" s="54">
        <v>49</v>
      </c>
      <c r="F11" s="54">
        <v>72</v>
      </c>
      <c r="G11" s="54">
        <v>267</v>
      </c>
      <c r="H11" s="160">
        <f t="shared" si="0"/>
        <v>697</v>
      </c>
    </row>
    <row r="12" spans="1:8" x14ac:dyDescent="0.25">
      <c r="A12" s="158" t="s">
        <v>742</v>
      </c>
      <c r="B12" s="54">
        <v>55</v>
      </c>
      <c r="C12" s="54">
        <v>92</v>
      </c>
      <c r="D12" s="54">
        <v>454</v>
      </c>
      <c r="E12" s="54">
        <v>83</v>
      </c>
      <c r="F12" s="54">
        <v>98</v>
      </c>
      <c r="G12" s="54">
        <v>477</v>
      </c>
      <c r="H12" s="160">
        <f t="shared" si="0"/>
        <v>1259</v>
      </c>
    </row>
    <row r="13" spans="1:8" x14ac:dyDescent="0.25">
      <c r="A13" s="158" t="s">
        <v>255</v>
      </c>
      <c r="B13" s="54">
        <v>8</v>
      </c>
      <c r="C13" s="54">
        <v>43</v>
      </c>
      <c r="D13" s="54">
        <v>397</v>
      </c>
      <c r="E13" s="54">
        <v>71</v>
      </c>
      <c r="F13" s="54">
        <v>95</v>
      </c>
      <c r="G13" s="54">
        <v>220</v>
      </c>
      <c r="H13" s="160">
        <f t="shared" si="0"/>
        <v>834</v>
      </c>
    </row>
    <row r="14" spans="1:8" x14ac:dyDescent="0.25">
      <c r="A14" s="158" t="s">
        <v>743</v>
      </c>
      <c r="B14" s="54">
        <v>10</v>
      </c>
      <c r="C14" s="54">
        <v>49</v>
      </c>
      <c r="D14" s="54">
        <v>326</v>
      </c>
      <c r="E14" s="54">
        <v>44</v>
      </c>
      <c r="F14" s="54">
        <v>82</v>
      </c>
      <c r="G14" s="54">
        <v>293</v>
      </c>
      <c r="H14" s="160">
        <f t="shared" si="0"/>
        <v>804</v>
      </c>
    </row>
    <row r="15" spans="1:8" x14ac:dyDescent="0.25">
      <c r="A15" s="158" t="s">
        <v>744</v>
      </c>
      <c r="B15" s="54">
        <v>145</v>
      </c>
      <c r="C15" s="54">
        <v>2</v>
      </c>
      <c r="D15" s="54">
        <v>803</v>
      </c>
      <c r="E15" s="54">
        <v>124</v>
      </c>
      <c r="F15" s="54">
        <v>242</v>
      </c>
      <c r="G15" s="54">
        <v>955</v>
      </c>
      <c r="H15" s="160">
        <f t="shared" si="0"/>
        <v>2271</v>
      </c>
    </row>
    <row r="16" spans="1:8" x14ac:dyDescent="0.25">
      <c r="A16" s="158" t="s">
        <v>745</v>
      </c>
      <c r="B16" s="54">
        <v>0</v>
      </c>
      <c r="C16" s="54">
        <v>0</v>
      </c>
      <c r="D16" s="54">
        <v>28</v>
      </c>
      <c r="E16" s="54">
        <v>48</v>
      </c>
      <c r="F16" s="54">
        <v>14</v>
      </c>
      <c r="G16" s="54">
        <v>30</v>
      </c>
      <c r="H16" s="160">
        <f t="shared" si="0"/>
        <v>120</v>
      </c>
    </row>
    <row r="17" spans="1:8" x14ac:dyDescent="0.25">
      <c r="A17" s="161" t="s">
        <v>360</v>
      </c>
      <c r="B17" s="162">
        <v>396</v>
      </c>
      <c r="C17" s="162">
        <v>748</v>
      </c>
      <c r="D17" s="162">
        <v>4612</v>
      </c>
      <c r="E17" s="162">
        <v>846</v>
      </c>
      <c r="F17" s="162">
        <v>1325</v>
      </c>
      <c r="G17" s="163">
        <v>4389</v>
      </c>
      <c r="H17" s="160">
        <f t="shared" si="0"/>
        <v>12316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6A060-0F16-4A11-A3E9-3A5D560C1F85}">
  <sheetPr>
    <tabColor theme="9" tint="0.79998168889431442"/>
  </sheetPr>
  <dimension ref="A1:CJ21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20" sqref="A4:E20"/>
    </sheetView>
  </sheetViews>
  <sheetFormatPr defaultRowHeight="15" x14ac:dyDescent="0.25"/>
  <cols>
    <col min="1" max="1" width="59.140625" bestFit="1" customWidth="1"/>
    <col min="2" max="2" width="16.28515625" bestFit="1" customWidth="1"/>
    <col min="3" max="15" width="3.7109375" bestFit="1" customWidth="1"/>
    <col min="16" max="16" width="4" bestFit="1" customWidth="1"/>
    <col min="17" max="54" width="3.7109375" bestFit="1" customWidth="1"/>
    <col min="55" max="57" width="3.7109375" customWidth="1"/>
    <col min="58" max="58" width="4" bestFit="1" customWidth="1"/>
    <col min="59" max="64" width="3.7109375" customWidth="1"/>
    <col min="65" max="65" width="3.7109375" bestFit="1" customWidth="1"/>
    <col min="66" max="73" width="3.7109375" customWidth="1"/>
    <col min="74" max="74" width="4" bestFit="1" customWidth="1"/>
    <col min="75" max="75" width="3.7109375" bestFit="1" customWidth="1"/>
    <col min="76" max="86" width="3.7109375" customWidth="1"/>
    <col min="87" max="87" width="4" bestFit="1" customWidth="1"/>
    <col min="88" max="88" width="5" bestFit="1" customWidth="1"/>
    <col min="89" max="1184" width="59.28515625" bestFit="1" customWidth="1"/>
    <col min="1185" max="1185" width="29.7109375" bestFit="1" customWidth="1"/>
    <col min="1186" max="1186" width="39.28515625" bestFit="1" customWidth="1"/>
    <col min="1187" max="1187" width="41" bestFit="1" customWidth="1"/>
    <col min="1188" max="1188" width="50.5703125" bestFit="1" customWidth="1"/>
    <col min="1189" max="1189" width="36.7109375" bestFit="1" customWidth="1"/>
    <col min="1190" max="1190" width="40.42578125" bestFit="1" customWidth="1"/>
    <col min="1191" max="1191" width="53.28515625" bestFit="1" customWidth="1"/>
    <col min="1192" max="1192" width="33.28515625" bestFit="1" customWidth="1"/>
    <col min="1193" max="1193" width="39.7109375" bestFit="1" customWidth="1"/>
    <col min="1194" max="1194" width="46" bestFit="1" customWidth="1"/>
    <col min="1195" max="1195" width="38.28515625" bestFit="1" customWidth="1"/>
    <col min="1196" max="1196" width="59.28515625" bestFit="1" customWidth="1"/>
    <col min="1197" max="1197" width="64.28515625" bestFit="1" customWidth="1"/>
    <col min="1198" max="1198" width="53.7109375" bestFit="1" customWidth="1"/>
    <col min="1199" max="1199" width="35" bestFit="1" customWidth="1"/>
    <col min="1200" max="1200" width="56" bestFit="1" customWidth="1"/>
  </cols>
  <sheetData>
    <row r="1" spans="1:88" x14ac:dyDescent="0.25">
      <c r="A1" s="6" t="s">
        <v>150</v>
      </c>
      <c r="B1" t="s">
        <v>727</v>
      </c>
    </row>
    <row r="3" spans="1:88" x14ac:dyDescent="0.25">
      <c r="B3" s="6" t="s">
        <v>746</v>
      </c>
    </row>
    <row r="4" spans="1:88" ht="147" x14ac:dyDescent="0.25">
      <c r="A4" s="164" t="s">
        <v>747</v>
      </c>
      <c r="B4" s="156" t="s">
        <v>748</v>
      </c>
      <c r="C4" s="156" t="s">
        <v>76</v>
      </c>
      <c r="D4" s="156" t="s">
        <v>183</v>
      </c>
      <c r="E4" s="156" t="s">
        <v>749</v>
      </c>
      <c r="F4" s="156" t="s">
        <v>75</v>
      </c>
      <c r="G4" s="156" t="s">
        <v>112</v>
      </c>
      <c r="H4" s="156" t="s">
        <v>88</v>
      </c>
      <c r="I4" s="156" t="s">
        <v>750</v>
      </c>
      <c r="J4" s="156" t="s">
        <v>751</v>
      </c>
      <c r="K4" s="156" t="s">
        <v>89</v>
      </c>
      <c r="L4" s="156" t="s">
        <v>92</v>
      </c>
      <c r="M4" s="505" t="s">
        <v>752</v>
      </c>
      <c r="N4" s="156" t="s">
        <v>115</v>
      </c>
      <c r="O4" s="156" t="s">
        <v>74</v>
      </c>
      <c r="P4" s="156" t="s">
        <v>83</v>
      </c>
      <c r="Q4" s="156" t="s">
        <v>352</v>
      </c>
      <c r="R4" s="156" t="s">
        <v>127</v>
      </c>
      <c r="S4" s="506" t="s">
        <v>753</v>
      </c>
      <c r="T4" s="156" t="s">
        <v>297</v>
      </c>
      <c r="U4" s="506" t="s">
        <v>754</v>
      </c>
      <c r="V4" s="156" t="s">
        <v>118</v>
      </c>
      <c r="W4" s="156" t="s">
        <v>755</v>
      </c>
      <c r="X4" s="156" t="s">
        <v>756</v>
      </c>
      <c r="Y4" s="156" t="s">
        <v>46</v>
      </c>
      <c r="Z4" s="506" t="s">
        <v>303</v>
      </c>
      <c r="AA4" s="156" t="s">
        <v>52</v>
      </c>
      <c r="AB4" s="156" t="s">
        <v>132</v>
      </c>
      <c r="AC4" s="156" t="s">
        <v>257</v>
      </c>
      <c r="AD4" s="156" t="s">
        <v>103</v>
      </c>
      <c r="AE4" s="156" t="s">
        <v>134</v>
      </c>
      <c r="AF4" s="156" t="s">
        <v>258</v>
      </c>
      <c r="AG4" s="156" t="s">
        <v>757</v>
      </c>
      <c r="AH4" s="156" t="s">
        <v>50</v>
      </c>
      <c r="AI4" s="156" t="s">
        <v>758</v>
      </c>
      <c r="AJ4" s="156" t="s">
        <v>759</v>
      </c>
      <c r="AK4" s="506" t="s">
        <v>760</v>
      </c>
      <c r="AL4" s="156" t="s">
        <v>542</v>
      </c>
      <c r="AM4" s="156" t="s">
        <v>96</v>
      </c>
      <c r="AN4" s="156" t="s">
        <v>41</v>
      </c>
      <c r="AO4" s="156" t="s">
        <v>329</v>
      </c>
      <c r="AP4" s="156" t="s">
        <v>761</v>
      </c>
      <c r="AQ4" s="156" t="s">
        <v>477</v>
      </c>
      <c r="AR4" s="156" t="s">
        <v>762</v>
      </c>
      <c r="AS4" s="156" t="s">
        <v>763</v>
      </c>
      <c r="AT4" s="156" t="s">
        <v>309</v>
      </c>
      <c r="AU4" s="156" t="s">
        <v>764</v>
      </c>
      <c r="AV4" s="156" t="s">
        <v>765</v>
      </c>
      <c r="AW4" s="506" t="s">
        <v>766</v>
      </c>
      <c r="AX4" s="156" t="s">
        <v>767</v>
      </c>
      <c r="AY4" s="156" t="s">
        <v>768</v>
      </c>
      <c r="AZ4" s="506" t="s">
        <v>769</v>
      </c>
      <c r="BA4" s="156" t="s">
        <v>133</v>
      </c>
      <c r="BB4" s="506" t="s">
        <v>128</v>
      </c>
      <c r="BC4" s="156" t="s">
        <v>770</v>
      </c>
      <c r="BD4" s="156" t="s">
        <v>259</v>
      </c>
      <c r="BE4" s="156" t="s">
        <v>114</v>
      </c>
      <c r="BF4" s="156" t="s">
        <v>279</v>
      </c>
      <c r="BG4" s="156" t="s">
        <v>78</v>
      </c>
      <c r="BH4" s="156" t="s">
        <v>298</v>
      </c>
      <c r="BI4" s="156" t="s">
        <v>771</v>
      </c>
      <c r="BJ4" s="507" t="s">
        <v>125</v>
      </c>
      <c r="BK4" s="156" t="s">
        <v>81</v>
      </c>
      <c r="BL4" s="156" t="s">
        <v>102</v>
      </c>
      <c r="BM4" s="156" t="s">
        <v>591</v>
      </c>
      <c r="BN4" s="156" t="s">
        <v>120</v>
      </c>
      <c r="BO4" s="156" t="s">
        <v>121</v>
      </c>
      <c r="BP4" s="156" t="s">
        <v>129</v>
      </c>
      <c r="BQ4" s="156" t="s">
        <v>772</v>
      </c>
      <c r="BR4" s="156" t="s">
        <v>610</v>
      </c>
      <c r="BS4" s="156" t="s">
        <v>773</v>
      </c>
      <c r="BT4" s="156" t="s">
        <v>97</v>
      </c>
      <c r="BU4" s="156" t="s">
        <v>327</v>
      </c>
      <c r="BV4" s="156" t="s">
        <v>101</v>
      </c>
      <c r="BW4" s="156" t="s">
        <v>300</v>
      </c>
      <c r="BX4" s="156" t="s">
        <v>359</v>
      </c>
      <c r="BY4" s="156" t="s">
        <v>467</v>
      </c>
      <c r="BZ4" s="506" t="s">
        <v>774</v>
      </c>
      <c r="CA4" s="156" t="s">
        <v>116</v>
      </c>
      <c r="CB4" s="506" t="s">
        <v>775</v>
      </c>
      <c r="CC4" s="156" t="s">
        <v>616</v>
      </c>
      <c r="CD4" s="156" t="s">
        <v>122</v>
      </c>
      <c r="CE4" s="156" t="s">
        <v>71</v>
      </c>
      <c r="CF4" s="156" t="s">
        <v>117</v>
      </c>
      <c r="CG4" s="156" t="s">
        <v>618</v>
      </c>
      <c r="CH4" s="506" t="s">
        <v>776</v>
      </c>
      <c r="CI4" s="156" t="s">
        <v>51</v>
      </c>
      <c r="CJ4" s="157" t="s">
        <v>360</v>
      </c>
    </row>
    <row r="5" spans="1:88" x14ac:dyDescent="0.25">
      <c r="A5" s="158" t="s">
        <v>777</v>
      </c>
      <c r="B5" s="54"/>
      <c r="C5" s="54">
        <v>0</v>
      </c>
      <c r="D5" s="54">
        <v>2</v>
      </c>
      <c r="E5" s="54">
        <v>1</v>
      </c>
      <c r="F5" s="54">
        <v>8</v>
      </c>
      <c r="G5" s="54">
        <v>6</v>
      </c>
      <c r="H5" s="54">
        <v>0</v>
      </c>
      <c r="I5" s="54"/>
      <c r="J5" s="54"/>
      <c r="K5" s="54">
        <v>8</v>
      </c>
      <c r="L5" s="54"/>
      <c r="M5" s="54">
        <v>1</v>
      </c>
      <c r="N5" s="54">
        <v>0</v>
      </c>
      <c r="O5" s="54">
        <v>0</v>
      </c>
      <c r="P5" s="54">
        <v>1</v>
      </c>
      <c r="Q5" s="54">
        <v>0</v>
      </c>
      <c r="R5" s="54">
        <v>0</v>
      </c>
      <c r="S5" s="54"/>
      <c r="T5" s="54">
        <v>0</v>
      </c>
      <c r="U5" s="54">
        <v>1</v>
      </c>
      <c r="V5" s="54">
        <v>0</v>
      </c>
      <c r="W5" s="54">
        <v>1</v>
      </c>
      <c r="X5" s="54">
        <v>2</v>
      </c>
      <c r="Y5" s="54">
        <v>0</v>
      </c>
      <c r="Z5" s="54"/>
      <c r="AA5" s="54">
        <v>14</v>
      </c>
      <c r="AB5" s="54">
        <v>2</v>
      </c>
      <c r="AC5" s="54">
        <v>2</v>
      </c>
      <c r="AD5" s="54">
        <v>15</v>
      </c>
      <c r="AE5" s="54">
        <v>0</v>
      </c>
      <c r="AF5" s="54">
        <v>5</v>
      </c>
      <c r="AG5" s="54">
        <v>0</v>
      </c>
      <c r="AH5" s="54">
        <v>2</v>
      </c>
      <c r="AI5" s="54">
        <v>2</v>
      </c>
      <c r="AJ5" s="54">
        <v>0</v>
      </c>
      <c r="AK5" s="54"/>
      <c r="AL5" s="54">
        <v>2</v>
      </c>
      <c r="AM5" s="54">
        <v>1</v>
      </c>
      <c r="AN5" s="54">
        <v>2</v>
      </c>
      <c r="AO5" s="54"/>
      <c r="AP5" s="54"/>
      <c r="AQ5" s="54"/>
      <c r="AR5" s="54">
        <v>30</v>
      </c>
      <c r="AS5" s="54">
        <v>1</v>
      </c>
      <c r="AT5" s="54"/>
      <c r="AU5" s="54"/>
      <c r="AV5" s="54">
        <v>2</v>
      </c>
      <c r="AW5" s="54">
        <v>3</v>
      </c>
      <c r="AX5" s="54"/>
      <c r="AY5" s="54">
        <v>0</v>
      </c>
      <c r="AZ5" s="54">
        <v>1</v>
      </c>
      <c r="BA5" s="54">
        <v>0</v>
      </c>
      <c r="BB5" s="54"/>
      <c r="BC5" s="54">
        <v>2</v>
      </c>
      <c r="BD5" s="54">
        <v>3</v>
      </c>
      <c r="BE5" s="54">
        <v>2</v>
      </c>
      <c r="BF5" s="54">
        <v>149</v>
      </c>
      <c r="BG5" s="54">
        <v>32</v>
      </c>
      <c r="BH5" s="54">
        <v>2</v>
      </c>
      <c r="BI5" s="54">
        <v>12</v>
      </c>
      <c r="BJ5" s="54"/>
      <c r="BK5" s="54">
        <v>35</v>
      </c>
      <c r="BL5" s="54">
        <v>2</v>
      </c>
      <c r="BM5" s="54">
        <v>4</v>
      </c>
      <c r="BN5" s="54">
        <v>1</v>
      </c>
      <c r="BO5" s="54">
        <v>0</v>
      </c>
      <c r="BP5" s="54">
        <v>4</v>
      </c>
      <c r="BQ5" s="54"/>
      <c r="BR5" s="54">
        <v>7</v>
      </c>
      <c r="BS5" s="54"/>
      <c r="BT5" s="54">
        <v>0</v>
      </c>
      <c r="BU5" s="54">
        <v>0</v>
      </c>
      <c r="BV5" s="54">
        <v>71</v>
      </c>
      <c r="BW5" s="54">
        <v>5</v>
      </c>
      <c r="BX5" s="54">
        <v>1</v>
      </c>
      <c r="BY5" s="54">
        <v>0</v>
      </c>
      <c r="BZ5" s="54">
        <v>0</v>
      </c>
      <c r="CA5" s="54">
        <v>0</v>
      </c>
      <c r="CB5" s="54"/>
      <c r="CC5" s="54">
        <v>1</v>
      </c>
      <c r="CD5" s="54">
        <v>4</v>
      </c>
      <c r="CE5" s="54">
        <v>2</v>
      </c>
      <c r="CF5" s="54">
        <v>3</v>
      </c>
      <c r="CG5" s="54"/>
      <c r="CH5" s="54">
        <v>1</v>
      </c>
      <c r="CI5" s="54">
        <v>14</v>
      </c>
      <c r="CJ5" s="504">
        <v>472</v>
      </c>
    </row>
    <row r="6" spans="1:88" x14ac:dyDescent="0.25">
      <c r="A6" s="158" t="s">
        <v>778</v>
      </c>
      <c r="B6" s="54"/>
      <c r="C6" s="54">
        <v>3</v>
      </c>
      <c r="D6" s="54">
        <v>0</v>
      </c>
      <c r="E6" s="54">
        <v>1</v>
      </c>
      <c r="F6" s="54">
        <v>8</v>
      </c>
      <c r="G6" s="54">
        <v>2</v>
      </c>
      <c r="H6" s="54">
        <v>0</v>
      </c>
      <c r="I6" s="54"/>
      <c r="J6" s="54">
        <v>1</v>
      </c>
      <c r="K6" s="54">
        <v>3</v>
      </c>
      <c r="L6" s="54"/>
      <c r="M6" s="54"/>
      <c r="N6" s="54">
        <v>0</v>
      </c>
      <c r="O6" s="54">
        <v>2</v>
      </c>
      <c r="P6" s="54">
        <v>0</v>
      </c>
      <c r="Q6" s="54">
        <v>0</v>
      </c>
      <c r="R6" s="54">
        <v>0</v>
      </c>
      <c r="S6" s="54"/>
      <c r="T6" s="54">
        <v>0</v>
      </c>
      <c r="U6" s="54"/>
      <c r="V6" s="54">
        <v>0</v>
      </c>
      <c r="W6" s="54">
        <v>0</v>
      </c>
      <c r="X6" s="54"/>
      <c r="Y6" s="54">
        <v>0</v>
      </c>
      <c r="Z6" s="54"/>
      <c r="AA6" s="54">
        <v>0</v>
      </c>
      <c r="AB6" s="54">
        <v>0</v>
      </c>
      <c r="AC6" s="54">
        <v>0</v>
      </c>
      <c r="AD6" s="54">
        <v>2</v>
      </c>
      <c r="AE6" s="54">
        <v>0</v>
      </c>
      <c r="AF6" s="54">
        <v>8</v>
      </c>
      <c r="AG6" s="54">
        <v>0</v>
      </c>
      <c r="AH6" s="54">
        <v>2</v>
      </c>
      <c r="AI6" s="54">
        <v>0</v>
      </c>
      <c r="AJ6" s="54">
        <v>0</v>
      </c>
      <c r="AK6" s="54"/>
      <c r="AL6" s="54">
        <v>0</v>
      </c>
      <c r="AM6" s="54">
        <v>0</v>
      </c>
      <c r="AN6" s="54">
        <v>0</v>
      </c>
      <c r="AO6" s="54"/>
      <c r="AP6" s="54"/>
      <c r="AQ6" s="54"/>
      <c r="AR6" s="54"/>
      <c r="AS6" s="54">
        <v>2</v>
      </c>
      <c r="AT6" s="54"/>
      <c r="AU6" s="54"/>
      <c r="AV6" s="54"/>
      <c r="AW6" s="54">
        <v>3</v>
      </c>
      <c r="AX6" s="54"/>
      <c r="AY6" s="54">
        <v>2</v>
      </c>
      <c r="AZ6" s="54"/>
      <c r="BA6" s="54">
        <v>2</v>
      </c>
      <c r="BB6" s="54"/>
      <c r="BC6" s="54">
        <v>2</v>
      </c>
      <c r="BD6" s="54"/>
      <c r="BE6" s="54">
        <v>3</v>
      </c>
      <c r="BF6" s="54">
        <v>17</v>
      </c>
      <c r="BG6" s="54">
        <v>24</v>
      </c>
      <c r="BH6" s="54">
        <v>0</v>
      </c>
      <c r="BI6" s="54">
        <v>2</v>
      </c>
      <c r="BJ6" s="54"/>
      <c r="BK6" s="54">
        <v>33</v>
      </c>
      <c r="BL6" s="54">
        <v>2</v>
      </c>
      <c r="BM6" s="54">
        <v>5</v>
      </c>
      <c r="BN6" s="54">
        <v>0</v>
      </c>
      <c r="BO6" s="54">
        <v>0</v>
      </c>
      <c r="BP6" s="54">
        <v>2</v>
      </c>
      <c r="BQ6" s="54"/>
      <c r="BR6" s="54">
        <v>1</v>
      </c>
      <c r="BS6" s="54"/>
      <c r="BT6" s="54">
        <v>3</v>
      </c>
      <c r="BU6" s="54">
        <v>0</v>
      </c>
      <c r="BV6" s="54">
        <v>60</v>
      </c>
      <c r="BW6" s="54">
        <v>0</v>
      </c>
      <c r="BX6" s="54">
        <v>0</v>
      </c>
      <c r="BY6" s="54">
        <v>2</v>
      </c>
      <c r="BZ6" s="54">
        <v>0</v>
      </c>
      <c r="CA6" s="54">
        <v>2</v>
      </c>
      <c r="CB6" s="54"/>
      <c r="CC6" s="54">
        <v>0</v>
      </c>
      <c r="CD6" s="54">
        <v>4</v>
      </c>
      <c r="CE6" s="54">
        <v>2</v>
      </c>
      <c r="CF6" s="54">
        <v>0</v>
      </c>
      <c r="CG6" s="54"/>
      <c r="CH6" s="54">
        <v>2</v>
      </c>
      <c r="CI6" s="54">
        <v>9</v>
      </c>
      <c r="CJ6" s="504">
        <v>216</v>
      </c>
    </row>
    <row r="7" spans="1:88" x14ac:dyDescent="0.25">
      <c r="A7" s="158" t="s">
        <v>779</v>
      </c>
      <c r="B7" s="54"/>
      <c r="C7" s="54">
        <v>0</v>
      </c>
      <c r="D7" s="54">
        <v>2</v>
      </c>
      <c r="E7" s="54">
        <v>1</v>
      </c>
      <c r="F7" s="54">
        <v>5</v>
      </c>
      <c r="G7" s="54">
        <v>6</v>
      </c>
      <c r="H7" s="54">
        <v>0</v>
      </c>
      <c r="I7" s="54"/>
      <c r="J7" s="54"/>
      <c r="K7" s="54">
        <v>4</v>
      </c>
      <c r="L7" s="54"/>
      <c r="M7" s="54"/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/>
      <c r="T7" s="54">
        <v>0</v>
      </c>
      <c r="U7" s="54"/>
      <c r="V7" s="54">
        <v>0</v>
      </c>
      <c r="W7" s="54">
        <v>0</v>
      </c>
      <c r="X7" s="54">
        <v>2</v>
      </c>
      <c r="Y7" s="54">
        <v>0</v>
      </c>
      <c r="Z7" s="54"/>
      <c r="AA7" s="54">
        <v>16</v>
      </c>
      <c r="AB7" s="54">
        <v>2</v>
      </c>
      <c r="AC7" s="54">
        <v>2</v>
      </c>
      <c r="AD7" s="54">
        <v>14</v>
      </c>
      <c r="AE7" s="54">
        <v>0</v>
      </c>
      <c r="AF7" s="54">
        <v>3</v>
      </c>
      <c r="AG7" s="54">
        <v>0</v>
      </c>
      <c r="AH7" s="54">
        <v>2</v>
      </c>
      <c r="AI7" s="54">
        <v>2</v>
      </c>
      <c r="AJ7" s="54">
        <v>0</v>
      </c>
      <c r="AK7" s="54"/>
      <c r="AL7" s="54">
        <v>2</v>
      </c>
      <c r="AM7" s="54">
        <v>0</v>
      </c>
      <c r="AN7" s="54">
        <v>2</v>
      </c>
      <c r="AO7" s="54"/>
      <c r="AP7" s="54"/>
      <c r="AQ7" s="54"/>
      <c r="AR7" s="54"/>
      <c r="AS7" s="54"/>
      <c r="AT7" s="54"/>
      <c r="AU7" s="54"/>
      <c r="AV7" s="54">
        <v>2</v>
      </c>
      <c r="AW7" s="54">
        <v>3</v>
      </c>
      <c r="AX7" s="54"/>
      <c r="AY7" s="54">
        <v>0</v>
      </c>
      <c r="AZ7" s="54"/>
      <c r="BA7" s="54">
        <v>0</v>
      </c>
      <c r="BB7" s="54"/>
      <c r="BC7" s="54">
        <v>2</v>
      </c>
      <c r="BD7" s="54"/>
      <c r="BE7" s="54">
        <v>1</v>
      </c>
      <c r="BF7" s="54">
        <v>14</v>
      </c>
      <c r="BG7" s="54">
        <v>22</v>
      </c>
      <c r="BH7" s="54">
        <v>2</v>
      </c>
      <c r="BI7" s="54">
        <v>0</v>
      </c>
      <c r="BJ7" s="54"/>
      <c r="BK7" s="54">
        <v>9</v>
      </c>
      <c r="BL7" s="54">
        <v>2</v>
      </c>
      <c r="BM7" s="54">
        <v>1</v>
      </c>
      <c r="BN7" s="54">
        <v>0</v>
      </c>
      <c r="BO7" s="54">
        <v>0</v>
      </c>
      <c r="BP7" s="54">
        <v>4</v>
      </c>
      <c r="BQ7" s="54"/>
      <c r="BR7" s="54">
        <v>1</v>
      </c>
      <c r="BS7" s="54"/>
      <c r="BT7" s="54">
        <v>0</v>
      </c>
      <c r="BU7" s="54">
        <v>0</v>
      </c>
      <c r="BV7" s="54">
        <v>31</v>
      </c>
      <c r="BW7" s="54">
        <v>5</v>
      </c>
      <c r="BX7" s="54">
        <v>0</v>
      </c>
      <c r="BY7" s="54">
        <v>0</v>
      </c>
      <c r="BZ7" s="54">
        <v>0</v>
      </c>
      <c r="CA7" s="54">
        <v>0</v>
      </c>
      <c r="CB7" s="54"/>
      <c r="CC7" s="54">
        <v>0</v>
      </c>
      <c r="CD7" s="54">
        <v>3</v>
      </c>
      <c r="CE7" s="54">
        <v>2</v>
      </c>
      <c r="CF7" s="54">
        <v>0</v>
      </c>
      <c r="CG7" s="54"/>
      <c r="CH7" s="54"/>
      <c r="CI7" s="54">
        <v>12</v>
      </c>
      <c r="CJ7" s="504">
        <v>181</v>
      </c>
    </row>
    <row r="8" spans="1:88" x14ac:dyDescent="0.25">
      <c r="A8" s="158" t="s">
        <v>780</v>
      </c>
      <c r="B8" s="54"/>
      <c r="C8" s="54">
        <v>3</v>
      </c>
      <c r="D8" s="54">
        <v>0</v>
      </c>
      <c r="E8" s="54">
        <v>1</v>
      </c>
      <c r="F8" s="54">
        <v>4</v>
      </c>
      <c r="G8" s="54">
        <v>4</v>
      </c>
      <c r="H8" s="54">
        <v>0</v>
      </c>
      <c r="I8" s="54"/>
      <c r="J8" s="54">
        <v>1</v>
      </c>
      <c r="K8" s="54">
        <v>3</v>
      </c>
      <c r="L8" s="54"/>
      <c r="M8" s="54"/>
      <c r="N8" s="54">
        <v>0</v>
      </c>
      <c r="O8" s="54">
        <v>2</v>
      </c>
      <c r="P8" s="54">
        <v>0</v>
      </c>
      <c r="Q8" s="54">
        <v>0</v>
      </c>
      <c r="R8" s="54">
        <v>0</v>
      </c>
      <c r="S8" s="54"/>
      <c r="T8" s="54">
        <v>0</v>
      </c>
      <c r="U8" s="54"/>
      <c r="V8" s="54">
        <v>0</v>
      </c>
      <c r="W8" s="54">
        <v>0</v>
      </c>
      <c r="X8" s="54"/>
      <c r="Y8" s="54">
        <v>0</v>
      </c>
      <c r="Z8" s="54"/>
      <c r="AA8" s="54">
        <v>6</v>
      </c>
      <c r="AB8" s="54">
        <v>0</v>
      </c>
      <c r="AC8" s="54">
        <v>0</v>
      </c>
      <c r="AD8" s="54">
        <v>3</v>
      </c>
      <c r="AE8" s="54">
        <v>0</v>
      </c>
      <c r="AF8" s="54">
        <v>3</v>
      </c>
      <c r="AG8" s="54">
        <v>0</v>
      </c>
      <c r="AH8" s="54">
        <v>2</v>
      </c>
      <c r="AI8" s="54">
        <v>0</v>
      </c>
      <c r="AJ8" s="54">
        <v>0</v>
      </c>
      <c r="AK8" s="54"/>
      <c r="AL8" s="54">
        <v>0</v>
      </c>
      <c r="AM8" s="54">
        <v>0</v>
      </c>
      <c r="AN8" s="54">
        <v>0</v>
      </c>
      <c r="AO8" s="54"/>
      <c r="AP8" s="54"/>
      <c r="AQ8" s="54"/>
      <c r="AR8" s="54"/>
      <c r="AS8" s="54">
        <v>2</v>
      </c>
      <c r="AT8" s="54"/>
      <c r="AU8" s="54"/>
      <c r="AV8" s="54"/>
      <c r="AW8" s="54">
        <v>3</v>
      </c>
      <c r="AX8" s="54"/>
      <c r="AY8" s="54">
        <v>2</v>
      </c>
      <c r="AZ8" s="54"/>
      <c r="BA8" s="54">
        <v>1</v>
      </c>
      <c r="BB8" s="54"/>
      <c r="BC8" s="54">
        <v>2</v>
      </c>
      <c r="BD8" s="54"/>
      <c r="BE8" s="54">
        <v>2</v>
      </c>
      <c r="BF8" s="54">
        <v>13</v>
      </c>
      <c r="BG8" s="54">
        <v>22</v>
      </c>
      <c r="BH8" s="54">
        <v>0</v>
      </c>
      <c r="BI8" s="54">
        <v>2</v>
      </c>
      <c r="BJ8" s="54"/>
      <c r="BK8" s="54">
        <v>36</v>
      </c>
      <c r="BL8" s="54">
        <v>2</v>
      </c>
      <c r="BM8" s="54">
        <v>3</v>
      </c>
      <c r="BN8" s="54">
        <v>0</v>
      </c>
      <c r="BO8" s="54">
        <v>0</v>
      </c>
      <c r="BP8" s="54">
        <v>2</v>
      </c>
      <c r="BQ8" s="54"/>
      <c r="BR8" s="54">
        <v>1</v>
      </c>
      <c r="BS8" s="54"/>
      <c r="BT8" s="54">
        <v>0</v>
      </c>
      <c r="BU8" s="54">
        <v>0</v>
      </c>
      <c r="BV8" s="54">
        <v>30</v>
      </c>
      <c r="BW8" s="54">
        <v>2</v>
      </c>
      <c r="BX8" s="54">
        <v>0</v>
      </c>
      <c r="BY8" s="54">
        <v>0</v>
      </c>
      <c r="BZ8" s="54">
        <v>0</v>
      </c>
      <c r="CA8" s="54">
        <v>0</v>
      </c>
      <c r="CB8" s="54"/>
      <c r="CC8" s="54">
        <v>0</v>
      </c>
      <c r="CD8" s="54">
        <v>4</v>
      </c>
      <c r="CE8" s="54">
        <v>2</v>
      </c>
      <c r="CF8" s="54">
        <v>0</v>
      </c>
      <c r="CG8" s="54"/>
      <c r="CH8" s="54"/>
      <c r="CI8" s="54">
        <v>0</v>
      </c>
      <c r="CJ8" s="504">
        <v>163</v>
      </c>
    </row>
    <row r="9" spans="1:88" x14ac:dyDescent="0.25">
      <c r="A9" s="158" t="s">
        <v>781</v>
      </c>
      <c r="B9" s="54"/>
      <c r="C9" s="54">
        <v>0</v>
      </c>
      <c r="D9" s="54">
        <v>2</v>
      </c>
      <c r="E9" s="54">
        <v>1</v>
      </c>
      <c r="F9" s="54">
        <v>4</v>
      </c>
      <c r="G9" s="54">
        <v>6</v>
      </c>
      <c r="H9" s="54">
        <v>0</v>
      </c>
      <c r="I9" s="54"/>
      <c r="J9" s="54"/>
      <c r="K9" s="54">
        <v>3</v>
      </c>
      <c r="L9" s="54"/>
      <c r="M9" s="54"/>
      <c r="N9" s="54">
        <v>0</v>
      </c>
      <c r="O9" s="54">
        <v>0</v>
      </c>
      <c r="P9" s="54">
        <v>0</v>
      </c>
      <c r="Q9" s="54">
        <v>0</v>
      </c>
      <c r="R9" s="54">
        <v>0</v>
      </c>
      <c r="S9" s="54"/>
      <c r="T9" s="54">
        <v>3</v>
      </c>
      <c r="U9" s="54"/>
      <c r="V9" s="54">
        <v>0</v>
      </c>
      <c r="W9" s="54">
        <v>0</v>
      </c>
      <c r="X9" s="54">
        <v>2</v>
      </c>
      <c r="Y9" s="54">
        <v>0</v>
      </c>
      <c r="Z9" s="54"/>
      <c r="AA9" s="54">
        <v>16</v>
      </c>
      <c r="AB9" s="54">
        <v>2</v>
      </c>
      <c r="AC9" s="54">
        <v>2</v>
      </c>
      <c r="AD9" s="54">
        <v>2</v>
      </c>
      <c r="AE9" s="54">
        <v>0</v>
      </c>
      <c r="AF9" s="54">
        <v>3</v>
      </c>
      <c r="AG9" s="54">
        <v>0</v>
      </c>
      <c r="AH9" s="54">
        <v>2</v>
      </c>
      <c r="AI9" s="54">
        <v>0</v>
      </c>
      <c r="AJ9" s="54">
        <v>0</v>
      </c>
      <c r="AK9" s="54"/>
      <c r="AL9" s="54">
        <v>2</v>
      </c>
      <c r="AM9" s="54">
        <v>0</v>
      </c>
      <c r="AN9" s="54">
        <v>2</v>
      </c>
      <c r="AO9" s="54"/>
      <c r="AP9" s="54"/>
      <c r="AQ9" s="54"/>
      <c r="AR9" s="54">
        <v>30</v>
      </c>
      <c r="AS9" s="54">
        <v>8</v>
      </c>
      <c r="AT9" s="54"/>
      <c r="AU9" s="54">
        <v>3</v>
      </c>
      <c r="AV9" s="54">
        <v>2</v>
      </c>
      <c r="AW9" s="54"/>
      <c r="AX9" s="54"/>
      <c r="AY9" s="54">
        <v>0</v>
      </c>
      <c r="AZ9" s="54"/>
      <c r="BA9" s="54">
        <v>3</v>
      </c>
      <c r="BB9" s="54"/>
      <c r="BC9" s="54">
        <v>2</v>
      </c>
      <c r="BD9" s="54"/>
      <c r="BE9" s="54">
        <v>1</v>
      </c>
      <c r="BF9" s="54">
        <v>15</v>
      </c>
      <c r="BG9" s="54">
        <v>8</v>
      </c>
      <c r="BH9" s="54">
        <v>2</v>
      </c>
      <c r="BI9" s="54">
        <v>0</v>
      </c>
      <c r="BJ9" s="54"/>
      <c r="BK9" s="54">
        <v>27</v>
      </c>
      <c r="BL9" s="54">
        <v>10</v>
      </c>
      <c r="BM9" s="54">
        <v>2</v>
      </c>
      <c r="BN9" s="54">
        <v>0</v>
      </c>
      <c r="BO9" s="54">
        <v>0</v>
      </c>
      <c r="BP9" s="54">
        <v>4</v>
      </c>
      <c r="BQ9" s="54"/>
      <c r="BR9" s="54">
        <v>0</v>
      </c>
      <c r="BS9" s="54"/>
      <c r="BT9" s="54">
        <v>0</v>
      </c>
      <c r="BU9" s="54">
        <v>0</v>
      </c>
      <c r="BV9" s="54">
        <v>30</v>
      </c>
      <c r="BW9" s="54">
        <v>5</v>
      </c>
      <c r="BX9" s="54">
        <v>0</v>
      </c>
      <c r="BY9" s="54">
        <v>1</v>
      </c>
      <c r="BZ9" s="54">
        <v>0</v>
      </c>
      <c r="CA9" s="54">
        <v>1</v>
      </c>
      <c r="CB9" s="54"/>
      <c r="CC9" s="54">
        <v>0</v>
      </c>
      <c r="CD9" s="54">
        <v>1</v>
      </c>
      <c r="CE9" s="54">
        <v>2</v>
      </c>
      <c r="CF9" s="54">
        <v>0</v>
      </c>
      <c r="CG9" s="54"/>
      <c r="CH9" s="54"/>
      <c r="CI9" s="54">
        <v>7</v>
      </c>
      <c r="CJ9" s="504">
        <v>216</v>
      </c>
    </row>
    <row r="10" spans="1:88" x14ac:dyDescent="0.25">
      <c r="A10" s="158" t="s">
        <v>782</v>
      </c>
      <c r="B10" s="54"/>
      <c r="C10" s="54">
        <v>3</v>
      </c>
      <c r="D10" s="54">
        <v>0</v>
      </c>
      <c r="E10" s="54">
        <v>1</v>
      </c>
      <c r="F10" s="54">
        <v>2</v>
      </c>
      <c r="G10" s="54">
        <v>2</v>
      </c>
      <c r="H10" s="54">
        <v>0</v>
      </c>
      <c r="I10" s="54"/>
      <c r="J10" s="54">
        <v>1</v>
      </c>
      <c r="K10" s="54">
        <v>3</v>
      </c>
      <c r="L10" s="54"/>
      <c r="M10" s="54"/>
      <c r="N10" s="54">
        <v>0</v>
      </c>
      <c r="O10" s="54">
        <v>2</v>
      </c>
      <c r="P10" s="54">
        <v>0</v>
      </c>
      <c r="Q10" s="54">
        <v>0</v>
      </c>
      <c r="R10" s="54">
        <v>0</v>
      </c>
      <c r="S10" s="54"/>
      <c r="T10" s="54">
        <v>0</v>
      </c>
      <c r="U10" s="54"/>
      <c r="V10" s="54">
        <v>0</v>
      </c>
      <c r="W10" s="54">
        <v>0</v>
      </c>
      <c r="X10" s="54"/>
      <c r="Y10" s="54">
        <v>0</v>
      </c>
      <c r="Z10" s="54"/>
      <c r="AA10" s="54">
        <v>4</v>
      </c>
      <c r="AB10" s="54">
        <v>0</v>
      </c>
      <c r="AC10" s="54">
        <v>0</v>
      </c>
      <c r="AD10" s="54">
        <v>1</v>
      </c>
      <c r="AE10" s="54">
        <v>0</v>
      </c>
      <c r="AF10" s="54">
        <v>6</v>
      </c>
      <c r="AG10" s="54">
        <v>0</v>
      </c>
      <c r="AH10" s="54">
        <v>2</v>
      </c>
      <c r="AI10" s="54">
        <v>0</v>
      </c>
      <c r="AJ10" s="54">
        <v>0</v>
      </c>
      <c r="AK10" s="54"/>
      <c r="AL10" s="54">
        <v>0</v>
      </c>
      <c r="AM10" s="54">
        <v>0</v>
      </c>
      <c r="AN10" s="54">
        <v>0</v>
      </c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>
        <v>2</v>
      </c>
      <c r="AZ10" s="54"/>
      <c r="BA10" s="54">
        <v>2</v>
      </c>
      <c r="BB10" s="54"/>
      <c r="BC10" s="54">
        <v>2</v>
      </c>
      <c r="BD10" s="54"/>
      <c r="BE10" s="54">
        <v>1</v>
      </c>
      <c r="BF10" s="54">
        <v>13</v>
      </c>
      <c r="BG10" s="54">
        <v>8</v>
      </c>
      <c r="BH10" s="54">
        <v>0</v>
      </c>
      <c r="BI10" s="54">
        <v>2</v>
      </c>
      <c r="BJ10" s="54"/>
      <c r="BK10" s="54">
        <v>13</v>
      </c>
      <c r="BL10" s="54">
        <v>14</v>
      </c>
      <c r="BM10" s="54">
        <v>6</v>
      </c>
      <c r="BN10" s="54">
        <v>0</v>
      </c>
      <c r="BO10" s="54">
        <v>0</v>
      </c>
      <c r="BP10" s="54">
        <v>2</v>
      </c>
      <c r="BQ10" s="54"/>
      <c r="BR10" s="54">
        <v>1</v>
      </c>
      <c r="BS10" s="54"/>
      <c r="BT10" s="54">
        <v>0</v>
      </c>
      <c r="BU10" s="54">
        <v>0</v>
      </c>
      <c r="BV10" s="54">
        <v>30</v>
      </c>
      <c r="BW10" s="54">
        <v>0</v>
      </c>
      <c r="BX10" s="54">
        <v>0</v>
      </c>
      <c r="BY10" s="54">
        <v>0</v>
      </c>
      <c r="BZ10" s="54">
        <v>0</v>
      </c>
      <c r="CA10" s="54">
        <v>0</v>
      </c>
      <c r="CB10" s="54"/>
      <c r="CC10" s="54">
        <v>0</v>
      </c>
      <c r="CD10" s="54">
        <v>1</v>
      </c>
      <c r="CE10" s="54">
        <v>2</v>
      </c>
      <c r="CF10" s="54">
        <v>0</v>
      </c>
      <c r="CG10" s="54"/>
      <c r="CH10" s="54"/>
      <c r="CI10" s="54">
        <v>1</v>
      </c>
      <c r="CJ10" s="504">
        <v>127</v>
      </c>
    </row>
    <row r="11" spans="1:88" x14ac:dyDescent="0.25">
      <c r="A11" s="158" t="s">
        <v>783</v>
      </c>
      <c r="B11" s="54">
        <v>4</v>
      </c>
      <c r="C11" s="54">
        <v>4</v>
      </c>
      <c r="D11" s="54">
        <v>17</v>
      </c>
      <c r="E11" s="54">
        <v>13</v>
      </c>
      <c r="F11" s="54">
        <v>28</v>
      </c>
      <c r="G11" s="54">
        <v>90</v>
      </c>
      <c r="H11" s="54">
        <v>17</v>
      </c>
      <c r="I11" s="54"/>
      <c r="J11" s="54">
        <v>2</v>
      </c>
      <c r="K11" s="54">
        <v>33</v>
      </c>
      <c r="L11" s="54"/>
      <c r="M11" s="54">
        <v>3</v>
      </c>
      <c r="N11" s="54">
        <v>2</v>
      </c>
      <c r="O11" s="54">
        <v>1</v>
      </c>
      <c r="P11" s="54">
        <v>87</v>
      </c>
      <c r="Q11" s="54">
        <v>11</v>
      </c>
      <c r="R11" s="54">
        <v>1</v>
      </c>
      <c r="S11" s="54"/>
      <c r="T11" s="54">
        <v>1</v>
      </c>
      <c r="U11" s="54">
        <v>1</v>
      </c>
      <c r="V11" s="54">
        <v>52</v>
      </c>
      <c r="W11" s="54">
        <v>4</v>
      </c>
      <c r="X11" s="54">
        <v>2</v>
      </c>
      <c r="Y11" s="54">
        <v>9</v>
      </c>
      <c r="Z11" s="54"/>
      <c r="AA11" s="54">
        <v>25</v>
      </c>
      <c r="AB11" s="54">
        <v>2</v>
      </c>
      <c r="AC11" s="54">
        <v>6</v>
      </c>
      <c r="AD11" s="54">
        <v>39</v>
      </c>
      <c r="AE11" s="54">
        <v>0</v>
      </c>
      <c r="AF11" s="54">
        <v>67</v>
      </c>
      <c r="AG11" s="54">
        <v>1</v>
      </c>
      <c r="AH11" s="54"/>
      <c r="AI11" s="54">
        <v>3</v>
      </c>
      <c r="AJ11" s="54">
        <v>5</v>
      </c>
      <c r="AK11" s="54"/>
      <c r="AL11" s="54">
        <v>5</v>
      </c>
      <c r="AM11" s="54">
        <v>67</v>
      </c>
      <c r="AN11" s="54">
        <v>49</v>
      </c>
      <c r="AO11" s="54"/>
      <c r="AP11" s="54"/>
      <c r="AQ11" s="54">
        <v>10</v>
      </c>
      <c r="AR11" s="54">
        <v>30</v>
      </c>
      <c r="AS11" s="54">
        <v>5</v>
      </c>
      <c r="AT11" s="54">
        <v>10</v>
      </c>
      <c r="AU11" s="54">
        <v>1</v>
      </c>
      <c r="AV11" s="54">
        <v>6</v>
      </c>
      <c r="AW11" s="54">
        <v>2</v>
      </c>
      <c r="AX11" s="54"/>
      <c r="AY11" s="54">
        <v>1</v>
      </c>
      <c r="AZ11" s="54">
        <v>1</v>
      </c>
      <c r="BA11" s="54">
        <v>4</v>
      </c>
      <c r="BB11" s="54"/>
      <c r="BC11" s="54">
        <v>19</v>
      </c>
      <c r="BD11" s="54">
        <v>11</v>
      </c>
      <c r="BE11" s="54">
        <v>21</v>
      </c>
      <c r="BF11" s="54">
        <v>476</v>
      </c>
      <c r="BG11" s="54">
        <v>25</v>
      </c>
      <c r="BH11" s="54">
        <v>4</v>
      </c>
      <c r="BI11" s="54">
        <v>9</v>
      </c>
      <c r="BJ11" s="54"/>
      <c r="BK11" s="54">
        <v>84</v>
      </c>
      <c r="BL11" s="54">
        <v>35</v>
      </c>
      <c r="BM11" s="54">
        <v>18</v>
      </c>
      <c r="BN11" s="54">
        <v>2</v>
      </c>
      <c r="BO11" s="54">
        <v>11</v>
      </c>
      <c r="BP11" s="54">
        <v>25</v>
      </c>
      <c r="BQ11" s="54"/>
      <c r="BR11" s="54">
        <v>14</v>
      </c>
      <c r="BS11" s="54"/>
      <c r="BT11" s="54">
        <v>10</v>
      </c>
      <c r="BU11" s="54">
        <v>0</v>
      </c>
      <c r="BV11" s="54">
        <v>429</v>
      </c>
      <c r="BW11" s="54">
        <v>27</v>
      </c>
      <c r="BX11" s="54">
        <v>22</v>
      </c>
      <c r="BY11" s="54">
        <v>7</v>
      </c>
      <c r="BZ11" s="54">
        <v>2</v>
      </c>
      <c r="CA11" s="54">
        <v>5</v>
      </c>
      <c r="CB11" s="54"/>
      <c r="CC11" s="54">
        <v>4</v>
      </c>
      <c r="CD11" s="54">
        <v>36</v>
      </c>
      <c r="CE11" s="54">
        <v>11</v>
      </c>
      <c r="CF11" s="54">
        <v>55</v>
      </c>
      <c r="CG11" s="54"/>
      <c r="CH11" s="54"/>
      <c r="CI11" s="54">
        <v>107</v>
      </c>
      <c r="CJ11" s="326">
        <v>2190</v>
      </c>
    </row>
    <row r="12" spans="1:88" x14ac:dyDescent="0.25">
      <c r="A12" s="158" t="s">
        <v>784</v>
      </c>
      <c r="B12" s="54"/>
      <c r="C12" s="54">
        <v>4</v>
      </c>
      <c r="D12" s="54">
        <v>17</v>
      </c>
      <c r="E12" s="54">
        <v>12</v>
      </c>
      <c r="F12" s="54">
        <v>18</v>
      </c>
      <c r="G12" s="54">
        <v>94</v>
      </c>
      <c r="H12" s="54">
        <v>12</v>
      </c>
      <c r="I12" s="54">
        <v>2</v>
      </c>
      <c r="J12" s="54">
        <v>1</v>
      </c>
      <c r="K12" s="54">
        <v>29</v>
      </c>
      <c r="L12" s="54"/>
      <c r="M12" s="54">
        <v>3</v>
      </c>
      <c r="N12" s="54">
        <v>0</v>
      </c>
      <c r="O12" s="54">
        <v>0</v>
      </c>
      <c r="P12" s="54">
        <v>10</v>
      </c>
      <c r="Q12" s="54">
        <v>2</v>
      </c>
      <c r="R12" s="54">
        <v>0</v>
      </c>
      <c r="S12" s="54">
        <v>1</v>
      </c>
      <c r="T12" s="54">
        <v>0</v>
      </c>
      <c r="U12" s="54">
        <v>1</v>
      </c>
      <c r="V12" s="54">
        <v>24</v>
      </c>
      <c r="W12" s="54">
        <v>2</v>
      </c>
      <c r="X12" s="54"/>
      <c r="Y12" s="54">
        <v>7</v>
      </c>
      <c r="Z12" s="54"/>
      <c r="AA12" s="54">
        <v>17</v>
      </c>
      <c r="AB12" s="54">
        <v>2</v>
      </c>
      <c r="AC12" s="54">
        <v>1</v>
      </c>
      <c r="AD12" s="54">
        <v>10</v>
      </c>
      <c r="AE12" s="54">
        <v>0</v>
      </c>
      <c r="AF12" s="54">
        <v>43</v>
      </c>
      <c r="AG12" s="54">
        <v>1</v>
      </c>
      <c r="AH12" s="54"/>
      <c r="AI12" s="54">
        <v>2</v>
      </c>
      <c r="AJ12" s="54">
        <v>15</v>
      </c>
      <c r="AK12" s="54"/>
      <c r="AL12" s="54">
        <v>1</v>
      </c>
      <c r="AM12" s="54">
        <v>2</v>
      </c>
      <c r="AN12" s="54">
        <v>27</v>
      </c>
      <c r="AO12" s="54">
        <v>3</v>
      </c>
      <c r="AP12" s="54"/>
      <c r="AQ12" s="54">
        <v>5</v>
      </c>
      <c r="AR12" s="54">
        <v>30</v>
      </c>
      <c r="AS12" s="54">
        <v>5</v>
      </c>
      <c r="AT12" s="54"/>
      <c r="AU12" s="54"/>
      <c r="AV12" s="54">
        <v>6</v>
      </c>
      <c r="AW12" s="54">
        <v>2</v>
      </c>
      <c r="AX12" s="54"/>
      <c r="AY12" s="54">
        <v>1</v>
      </c>
      <c r="AZ12" s="54">
        <v>1</v>
      </c>
      <c r="BA12" s="54">
        <v>6</v>
      </c>
      <c r="BB12" s="54"/>
      <c r="BC12" s="54">
        <v>7</v>
      </c>
      <c r="BD12" s="54">
        <v>4</v>
      </c>
      <c r="BE12" s="54">
        <v>9</v>
      </c>
      <c r="BF12" s="54">
        <v>195</v>
      </c>
      <c r="BG12" s="54">
        <v>6</v>
      </c>
      <c r="BH12" s="54">
        <v>4</v>
      </c>
      <c r="BI12" s="54">
        <v>3</v>
      </c>
      <c r="BJ12" s="54"/>
      <c r="BK12" s="54">
        <v>47</v>
      </c>
      <c r="BL12" s="54">
        <v>17</v>
      </c>
      <c r="BM12" s="54">
        <v>12</v>
      </c>
      <c r="BN12" s="54">
        <v>3</v>
      </c>
      <c r="BO12" s="54">
        <v>6</v>
      </c>
      <c r="BP12" s="54">
        <v>15</v>
      </c>
      <c r="BQ12" s="54"/>
      <c r="BR12" s="54">
        <v>2</v>
      </c>
      <c r="BS12" s="54"/>
      <c r="BT12" s="54">
        <v>5</v>
      </c>
      <c r="BU12" s="54">
        <v>0</v>
      </c>
      <c r="BV12" s="54">
        <v>85</v>
      </c>
      <c r="BW12" s="54">
        <v>15</v>
      </c>
      <c r="BX12" s="54">
        <v>11</v>
      </c>
      <c r="BY12" s="54">
        <v>3</v>
      </c>
      <c r="BZ12" s="54">
        <v>2</v>
      </c>
      <c r="CA12" s="54">
        <v>2</v>
      </c>
      <c r="CB12" s="54"/>
      <c r="CC12" s="54">
        <v>0</v>
      </c>
      <c r="CD12" s="54">
        <v>5</v>
      </c>
      <c r="CE12" s="54">
        <v>19</v>
      </c>
      <c r="CF12" s="54">
        <v>5</v>
      </c>
      <c r="CG12" s="54"/>
      <c r="CH12" s="54"/>
      <c r="CI12" s="54">
        <v>31</v>
      </c>
      <c r="CJ12" s="504">
        <v>932</v>
      </c>
    </row>
    <row r="13" spans="1:88" x14ac:dyDescent="0.25">
      <c r="A13" s="158" t="s">
        <v>785</v>
      </c>
      <c r="B13" s="54"/>
      <c r="C13" s="54">
        <v>0</v>
      </c>
      <c r="D13" s="54">
        <v>1</v>
      </c>
      <c r="E13" s="54">
        <v>2</v>
      </c>
      <c r="F13" s="54">
        <v>23</v>
      </c>
      <c r="G13" s="54">
        <v>36</v>
      </c>
      <c r="H13" s="54">
        <v>38</v>
      </c>
      <c r="I13" s="54"/>
      <c r="J13" s="54">
        <v>1</v>
      </c>
      <c r="K13" s="54">
        <v>42</v>
      </c>
      <c r="L13" s="54"/>
      <c r="M13" s="54">
        <v>2</v>
      </c>
      <c r="N13" s="54">
        <v>0</v>
      </c>
      <c r="O13" s="54">
        <v>0</v>
      </c>
      <c r="P13" s="54">
        <v>1</v>
      </c>
      <c r="Q13" s="54">
        <v>0</v>
      </c>
      <c r="R13" s="54">
        <v>0</v>
      </c>
      <c r="S13" s="54">
        <v>1</v>
      </c>
      <c r="T13" s="54">
        <v>0</v>
      </c>
      <c r="U13" s="54">
        <v>1</v>
      </c>
      <c r="V13" s="54">
        <v>1</v>
      </c>
      <c r="W13" s="54">
        <v>1</v>
      </c>
      <c r="X13" s="54"/>
      <c r="Y13" s="54">
        <v>2</v>
      </c>
      <c r="Z13" s="54"/>
      <c r="AA13" s="54">
        <v>22</v>
      </c>
      <c r="AB13" s="54">
        <v>0</v>
      </c>
      <c r="AC13" s="54">
        <v>8</v>
      </c>
      <c r="AD13" s="54">
        <v>9</v>
      </c>
      <c r="AE13" s="54">
        <v>0</v>
      </c>
      <c r="AF13" s="54">
        <v>10</v>
      </c>
      <c r="AG13" s="54">
        <v>0</v>
      </c>
      <c r="AH13" s="54">
        <v>2</v>
      </c>
      <c r="AI13" s="54">
        <v>1</v>
      </c>
      <c r="AJ13" s="54">
        <v>1</v>
      </c>
      <c r="AK13" s="54"/>
      <c r="AL13" s="54">
        <v>0</v>
      </c>
      <c r="AM13" s="54">
        <v>1</v>
      </c>
      <c r="AN13" s="54">
        <v>1</v>
      </c>
      <c r="AO13" s="54">
        <v>3</v>
      </c>
      <c r="AP13" s="54"/>
      <c r="AQ13" s="54"/>
      <c r="AR13" s="54">
        <v>30</v>
      </c>
      <c r="AS13" s="54"/>
      <c r="AT13" s="54">
        <v>10</v>
      </c>
      <c r="AU13" s="54"/>
      <c r="AV13" s="54"/>
      <c r="AW13" s="54">
        <v>3</v>
      </c>
      <c r="AX13" s="54">
        <v>2</v>
      </c>
      <c r="AY13" s="54">
        <v>0</v>
      </c>
      <c r="AZ13" s="54">
        <v>1</v>
      </c>
      <c r="BA13" s="54">
        <v>2</v>
      </c>
      <c r="BB13" s="54"/>
      <c r="BC13" s="54">
        <v>15</v>
      </c>
      <c r="BD13" s="54">
        <v>2</v>
      </c>
      <c r="BE13" s="54">
        <v>14</v>
      </c>
      <c r="BF13" s="54">
        <v>33</v>
      </c>
      <c r="BG13" s="54">
        <v>10</v>
      </c>
      <c r="BH13" s="54">
        <v>1</v>
      </c>
      <c r="BI13" s="54">
        <v>2</v>
      </c>
      <c r="BJ13" s="54"/>
      <c r="BK13" s="54">
        <v>21</v>
      </c>
      <c r="BL13" s="54">
        <v>11</v>
      </c>
      <c r="BM13" s="54">
        <v>18</v>
      </c>
      <c r="BN13" s="54">
        <v>2</v>
      </c>
      <c r="BO13" s="54">
        <v>20</v>
      </c>
      <c r="BP13" s="54">
        <v>19</v>
      </c>
      <c r="BQ13" s="54"/>
      <c r="BR13" s="54">
        <v>6</v>
      </c>
      <c r="BS13" s="54"/>
      <c r="BT13" s="54">
        <v>1</v>
      </c>
      <c r="BU13" s="54">
        <v>0</v>
      </c>
      <c r="BV13" s="54">
        <v>11</v>
      </c>
      <c r="BW13" s="54">
        <v>3</v>
      </c>
      <c r="BX13" s="54">
        <v>1</v>
      </c>
      <c r="BY13" s="54">
        <v>4</v>
      </c>
      <c r="BZ13" s="54">
        <v>0</v>
      </c>
      <c r="CA13" s="54">
        <v>7</v>
      </c>
      <c r="CB13" s="54"/>
      <c r="CC13" s="54">
        <v>2</v>
      </c>
      <c r="CD13" s="54">
        <v>5</v>
      </c>
      <c r="CE13" s="54">
        <v>2</v>
      </c>
      <c r="CF13" s="54">
        <v>2</v>
      </c>
      <c r="CG13" s="54"/>
      <c r="CH13" s="54"/>
      <c r="CI13" s="54">
        <v>5</v>
      </c>
      <c r="CJ13" s="504">
        <v>475</v>
      </c>
    </row>
    <row r="14" spans="1:88" x14ac:dyDescent="0.25">
      <c r="A14" s="158" t="s">
        <v>786</v>
      </c>
      <c r="B14" s="54"/>
      <c r="C14" s="54">
        <v>1</v>
      </c>
      <c r="D14" s="54">
        <v>0</v>
      </c>
      <c r="E14" s="54">
        <v>1</v>
      </c>
      <c r="F14" s="54">
        <v>11</v>
      </c>
      <c r="G14" s="54">
        <v>18</v>
      </c>
      <c r="H14" s="54">
        <v>0</v>
      </c>
      <c r="I14" s="54"/>
      <c r="J14" s="54"/>
      <c r="K14" s="54">
        <v>7</v>
      </c>
      <c r="L14" s="54"/>
      <c r="M14" s="54"/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/>
      <c r="T14" s="54">
        <v>0</v>
      </c>
      <c r="U14" s="54"/>
      <c r="V14" s="54">
        <v>0</v>
      </c>
      <c r="W14" s="54">
        <v>0</v>
      </c>
      <c r="X14" s="54">
        <v>2</v>
      </c>
      <c r="Y14" s="54">
        <v>0</v>
      </c>
      <c r="Z14" s="54"/>
      <c r="AA14" s="54">
        <v>12</v>
      </c>
      <c r="AB14" s="54">
        <v>0</v>
      </c>
      <c r="AC14" s="54">
        <v>1</v>
      </c>
      <c r="AD14" s="54">
        <v>0</v>
      </c>
      <c r="AE14" s="54">
        <v>0</v>
      </c>
      <c r="AF14" s="54">
        <v>12</v>
      </c>
      <c r="AG14" s="54">
        <v>0</v>
      </c>
      <c r="AH14" s="54"/>
      <c r="AI14" s="54">
        <v>0</v>
      </c>
      <c r="AJ14" s="54">
        <v>12</v>
      </c>
      <c r="AK14" s="54"/>
      <c r="AL14" s="54">
        <v>0</v>
      </c>
      <c r="AM14" s="54">
        <v>0</v>
      </c>
      <c r="AN14" s="54">
        <v>12</v>
      </c>
      <c r="AO14" s="54"/>
      <c r="AP14" s="54"/>
      <c r="AQ14" s="54"/>
      <c r="AR14" s="54"/>
      <c r="AS14" s="54"/>
      <c r="AT14" s="54"/>
      <c r="AU14" s="54"/>
      <c r="AV14" s="54"/>
      <c r="AW14" s="54"/>
      <c r="AX14" s="54"/>
      <c r="AY14" s="54">
        <v>0</v>
      </c>
      <c r="AZ14" s="54"/>
      <c r="BA14" s="54">
        <v>0</v>
      </c>
      <c r="BB14" s="54"/>
      <c r="BC14" s="54">
        <v>0</v>
      </c>
      <c r="BD14" s="54"/>
      <c r="BE14" s="54">
        <v>0</v>
      </c>
      <c r="BF14" s="54">
        <v>13</v>
      </c>
      <c r="BG14" s="54">
        <v>4</v>
      </c>
      <c r="BH14" s="54">
        <v>0</v>
      </c>
      <c r="BI14" s="54">
        <v>0</v>
      </c>
      <c r="BJ14" s="54"/>
      <c r="BK14" s="54">
        <v>12</v>
      </c>
      <c r="BL14" s="54">
        <v>0</v>
      </c>
      <c r="BM14" s="54"/>
      <c r="BN14" s="54">
        <v>0</v>
      </c>
      <c r="BO14" s="54">
        <v>0</v>
      </c>
      <c r="BP14" s="54">
        <v>0</v>
      </c>
      <c r="BQ14" s="54"/>
      <c r="BR14" s="54">
        <v>5</v>
      </c>
      <c r="BS14" s="54"/>
      <c r="BT14" s="54">
        <v>0</v>
      </c>
      <c r="BU14" s="54">
        <v>0</v>
      </c>
      <c r="BV14" s="54">
        <v>60</v>
      </c>
      <c r="BW14" s="54">
        <v>0</v>
      </c>
      <c r="BX14" s="54">
        <v>0</v>
      </c>
      <c r="BY14" s="54">
        <v>0</v>
      </c>
      <c r="BZ14" s="54">
        <v>0</v>
      </c>
      <c r="CA14" s="54">
        <v>0</v>
      </c>
      <c r="CB14" s="54"/>
      <c r="CC14" s="54">
        <v>0</v>
      </c>
      <c r="CD14" s="54">
        <v>0</v>
      </c>
      <c r="CE14" s="54">
        <v>0</v>
      </c>
      <c r="CF14" s="54">
        <v>0</v>
      </c>
      <c r="CG14" s="54"/>
      <c r="CH14" s="54"/>
      <c r="CI14" s="54">
        <v>2</v>
      </c>
      <c r="CJ14" s="504">
        <v>185</v>
      </c>
    </row>
    <row r="15" spans="1:88" x14ac:dyDescent="0.25">
      <c r="A15" s="158" t="s">
        <v>787</v>
      </c>
      <c r="B15" s="54">
        <v>4</v>
      </c>
      <c r="C15" s="54">
        <v>0</v>
      </c>
      <c r="D15" s="54">
        <v>1</v>
      </c>
      <c r="E15" s="54">
        <v>4</v>
      </c>
      <c r="F15" s="54">
        <v>27</v>
      </c>
      <c r="G15" s="54">
        <v>48</v>
      </c>
      <c r="H15" s="54">
        <v>43</v>
      </c>
      <c r="I15" s="54"/>
      <c r="J15" s="54">
        <v>2</v>
      </c>
      <c r="K15" s="54">
        <v>16</v>
      </c>
      <c r="L15" s="54"/>
      <c r="M15" s="54">
        <v>3</v>
      </c>
      <c r="N15" s="54">
        <v>0</v>
      </c>
      <c r="O15" s="54">
        <v>2</v>
      </c>
      <c r="P15" s="54">
        <v>4</v>
      </c>
      <c r="Q15" s="54">
        <v>10</v>
      </c>
      <c r="R15" s="54">
        <v>0</v>
      </c>
      <c r="S15" s="54"/>
      <c r="T15" s="54">
        <v>2</v>
      </c>
      <c r="U15" s="54">
        <v>1</v>
      </c>
      <c r="V15" s="54">
        <v>5</v>
      </c>
      <c r="W15" s="54">
        <v>4</v>
      </c>
      <c r="X15" s="54"/>
      <c r="Y15" s="54">
        <v>8</v>
      </c>
      <c r="Z15" s="54"/>
      <c r="AA15" s="54">
        <v>4</v>
      </c>
      <c r="AB15" s="54">
        <v>2</v>
      </c>
      <c r="AC15" s="54">
        <v>1</v>
      </c>
      <c r="AD15" s="54">
        <v>6</v>
      </c>
      <c r="AE15" s="54">
        <v>0</v>
      </c>
      <c r="AF15" s="54">
        <v>32</v>
      </c>
      <c r="AG15" s="54">
        <v>1</v>
      </c>
      <c r="AH15" s="54"/>
      <c r="AI15" s="54">
        <v>4</v>
      </c>
      <c r="AJ15" s="54">
        <v>4</v>
      </c>
      <c r="AK15" s="54"/>
      <c r="AL15" s="54">
        <v>3</v>
      </c>
      <c r="AM15" s="54">
        <v>40</v>
      </c>
      <c r="AN15" s="54">
        <v>17</v>
      </c>
      <c r="AO15" s="54">
        <v>3</v>
      </c>
      <c r="AP15" s="54">
        <v>8</v>
      </c>
      <c r="AQ15" s="54"/>
      <c r="AR15" s="54">
        <v>30</v>
      </c>
      <c r="AS15" s="54">
        <v>1</v>
      </c>
      <c r="AT15" s="54">
        <v>16</v>
      </c>
      <c r="AU15" s="54"/>
      <c r="AV15" s="54">
        <v>2</v>
      </c>
      <c r="AW15" s="54">
        <v>2</v>
      </c>
      <c r="AX15" s="54">
        <v>2</v>
      </c>
      <c r="AY15" s="54">
        <v>1</v>
      </c>
      <c r="AZ15" s="54">
        <v>1</v>
      </c>
      <c r="BA15" s="54">
        <v>13</v>
      </c>
      <c r="BB15" s="54"/>
      <c r="BC15" s="54">
        <v>10</v>
      </c>
      <c r="BD15" s="54">
        <v>5</v>
      </c>
      <c r="BE15" s="54">
        <v>24</v>
      </c>
      <c r="BF15" s="54">
        <v>87</v>
      </c>
      <c r="BG15" s="54">
        <v>25</v>
      </c>
      <c r="BH15" s="54">
        <v>3</v>
      </c>
      <c r="BI15" s="54">
        <v>2</v>
      </c>
      <c r="BJ15" s="54"/>
      <c r="BK15" s="54">
        <v>47</v>
      </c>
      <c r="BL15" s="54">
        <v>16</v>
      </c>
      <c r="BM15" s="54">
        <v>4</v>
      </c>
      <c r="BN15" s="54">
        <v>4</v>
      </c>
      <c r="BO15" s="54">
        <v>6</v>
      </c>
      <c r="BP15" s="54">
        <v>17</v>
      </c>
      <c r="BQ15" s="54"/>
      <c r="BR15" s="54">
        <v>13</v>
      </c>
      <c r="BS15" s="54"/>
      <c r="BT15" s="54">
        <v>8</v>
      </c>
      <c r="BU15" s="54">
        <v>0</v>
      </c>
      <c r="BV15" s="54">
        <v>106</v>
      </c>
      <c r="BW15" s="54">
        <v>14</v>
      </c>
      <c r="BX15" s="54">
        <v>16</v>
      </c>
      <c r="BY15" s="54">
        <v>3</v>
      </c>
      <c r="BZ15" s="54">
        <v>0</v>
      </c>
      <c r="CA15" s="54">
        <v>1</v>
      </c>
      <c r="CB15" s="54"/>
      <c r="CC15" s="54">
        <v>4</v>
      </c>
      <c r="CD15" s="54">
        <v>6</v>
      </c>
      <c r="CE15" s="54">
        <v>5</v>
      </c>
      <c r="CF15" s="54">
        <v>9</v>
      </c>
      <c r="CG15" s="54"/>
      <c r="CH15" s="54"/>
      <c r="CI15" s="54">
        <v>10</v>
      </c>
      <c r="CJ15" s="504">
        <v>822</v>
      </c>
    </row>
    <row r="16" spans="1:88" x14ac:dyDescent="0.25">
      <c r="A16" s="158" t="s">
        <v>788</v>
      </c>
      <c r="B16" s="54">
        <v>4</v>
      </c>
      <c r="C16" s="54">
        <v>0</v>
      </c>
      <c r="D16" s="54">
        <v>7</v>
      </c>
      <c r="E16" s="54">
        <v>2</v>
      </c>
      <c r="F16" s="54">
        <v>22</v>
      </c>
      <c r="G16" s="54">
        <v>41</v>
      </c>
      <c r="H16" s="54">
        <v>41</v>
      </c>
      <c r="I16" s="54"/>
      <c r="J16" s="54">
        <v>2</v>
      </c>
      <c r="K16" s="54">
        <v>39</v>
      </c>
      <c r="L16" s="54">
        <v>9</v>
      </c>
      <c r="M16" s="54">
        <v>2</v>
      </c>
      <c r="N16" s="54">
        <v>0</v>
      </c>
      <c r="O16" s="54">
        <v>0</v>
      </c>
      <c r="P16" s="54">
        <v>13</v>
      </c>
      <c r="Q16" s="54">
        <v>3</v>
      </c>
      <c r="R16" s="54">
        <v>0</v>
      </c>
      <c r="S16" s="54"/>
      <c r="T16" s="54">
        <v>2</v>
      </c>
      <c r="U16" s="54">
        <v>1</v>
      </c>
      <c r="V16" s="54">
        <v>28</v>
      </c>
      <c r="W16" s="54">
        <v>1</v>
      </c>
      <c r="X16" s="54">
        <v>2</v>
      </c>
      <c r="Y16" s="54">
        <v>10</v>
      </c>
      <c r="Z16" s="54"/>
      <c r="AA16" s="54">
        <v>26</v>
      </c>
      <c r="AB16" s="54">
        <v>0</v>
      </c>
      <c r="AC16" s="54">
        <v>0</v>
      </c>
      <c r="AD16" s="54">
        <v>9</v>
      </c>
      <c r="AE16" s="54">
        <v>0</v>
      </c>
      <c r="AF16" s="54">
        <v>49</v>
      </c>
      <c r="AG16" s="54">
        <v>1</v>
      </c>
      <c r="AH16" s="54"/>
      <c r="AI16" s="54">
        <v>1</v>
      </c>
      <c r="AJ16" s="54">
        <v>25</v>
      </c>
      <c r="AK16" s="54"/>
      <c r="AL16" s="54">
        <v>2</v>
      </c>
      <c r="AM16" s="54">
        <v>3</v>
      </c>
      <c r="AN16" s="54">
        <v>42</v>
      </c>
      <c r="AO16" s="54">
        <v>1</v>
      </c>
      <c r="AP16" s="54">
        <v>8</v>
      </c>
      <c r="AQ16" s="54"/>
      <c r="AR16" s="54">
        <v>30</v>
      </c>
      <c r="AS16" s="54"/>
      <c r="AT16" s="54">
        <v>12</v>
      </c>
      <c r="AU16" s="54"/>
      <c r="AV16" s="54">
        <v>2</v>
      </c>
      <c r="AW16" s="54">
        <v>4</v>
      </c>
      <c r="AX16" s="54"/>
      <c r="AY16" s="54">
        <v>4</v>
      </c>
      <c r="AZ16" s="54">
        <v>1</v>
      </c>
      <c r="BA16" s="54">
        <v>9</v>
      </c>
      <c r="BB16" s="54"/>
      <c r="BC16" s="54">
        <v>16</v>
      </c>
      <c r="BD16" s="54">
        <v>5</v>
      </c>
      <c r="BE16" s="54">
        <v>17</v>
      </c>
      <c r="BF16" s="54">
        <v>138</v>
      </c>
      <c r="BG16" s="54">
        <v>39</v>
      </c>
      <c r="BH16" s="54">
        <v>1</v>
      </c>
      <c r="BI16" s="54">
        <v>14</v>
      </c>
      <c r="BJ16" s="54"/>
      <c r="BK16" s="54">
        <v>63</v>
      </c>
      <c r="BL16" s="54">
        <v>21</v>
      </c>
      <c r="BM16" s="54">
        <v>1</v>
      </c>
      <c r="BN16" s="54">
        <v>1</v>
      </c>
      <c r="BO16" s="54">
        <v>6</v>
      </c>
      <c r="BP16" s="54">
        <v>24</v>
      </c>
      <c r="BQ16" s="54">
        <v>2</v>
      </c>
      <c r="BR16" s="54">
        <v>10</v>
      </c>
      <c r="BS16" s="54"/>
      <c r="BT16" s="54">
        <v>1</v>
      </c>
      <c r="BU16" s="54">
        <v>0</v>
      </c>
      <c r="BV16" s="54">
        <v>114</v>
      </c>
      <c r="BW16" s="54">
        <v>18</v>
      </c>
      <c r="BX16" s="54">
        <v>11</v>
      </c>
      <c r="BY16" s="54">
        <v>2</v>
      </c>
      <c r="BZ16" s="54">
        <v>1</v>
      </c>
      <c r="CA16" s="54">
        <v>1</v>
      </c>
      <c r="CB16" s="54"/>
      <c r="CC16" s="54">
        <v>8</v>
      </c>
      <c r="CD16" s="54">
        <v>5</v>
      </c>
      <c r="CE16" s="54">
        <v>7</v>
      </c>
      <c r="CF16" s="54">
        <v>7</v>
      </c>
      <c r="CG16" s="54"/>
      <c r="CH16" s="54">
        <v>2</v>
      </c>
      <c r="CI16" s="54">
        <v>51</v>
      </c>
      <c r="CJ16" s="504">
        <v>1044</v>
      </c>
    </row>
    <row r="17" spans="1:88" x14ac:dyDescent="0.25">
      <c r="A17" s="158" t="s">
        <v>789</v>
      </c>
      <c r="B17" s="54">
        <v>4</v>
      </c>
      <c r="C17" s="54">
        <v>0</v>
      </c>
      <c r="D17" s="54">
        <v>8</v>
      </c>
      <c r="E17" s="54">
        <v>1</v>
      </c>
      <c r="F17" s="54">
        <v>19</v>
      </c>
      <c r="G17" s="54">
        <v>29</v>
      </c>
      <c r="H17" s="54">
        <v>28</v>
      </c>
      <c r="I17" s="54"/>
      <c r="J17" s="54">
        <v>2</v>
      </c>
      <c r="K17" s="54">
        <v>18</v>
      </c>
      <c r="L17" s="54"/>
      <c r="M17" s="54"/>
      <c r="N17" s="54">
        <v>0</v>
      </c>
      <c r="O17" s="54">
        <v>1</v>
      </c>
      <c r="P17" s="54">
        <v>0</v>
      </c>
      <c r="Q17" s="54">
        <v>8</v>
      </c>
      <c r="R17" s="54">
        <v>0</v>
      </c>
      <c r="S17" s="54"/>
      <c r="T17" s="54">
        <v>1</v>
      </c>
      <c r="U17" s="54"/>
      <c r="V17" s="54">
        <v>0</v>
      </c>
      <c r="W17" s="54">
        <v>0</v>
      </c>
      <c r="X17" s="54">
        <v>2</v>
      </c>
      <c r="Y17" s="54">
        <v>4</v>
      </c>
      <c r="Z17" s="54"/>
      <c r="AA17" s="54">
        <v>14</v>
      </c>
      <c r="AB17" s="54">
        <v>0</v>
      </c>
      <c r="AC17" s="54">
        <v>2</v>
      </c>
      <c r="AD17" s="54">
        <v>1</v>
      </c>
      <c r="AE17" s="54">
        <v>0</v>
      </c>
      <c r="AF17" s="54">
        <v>15</v>
      </c>
      <c r="AG17" s="54">
        <v>0</v>
      </c>
      <c r="AH17" s="54">
        <v>2</v>
      </c>
      <c r="AI17" s="54">
        <v>3</v>
      </c>
      <c r="AJ17" s="54">
        <v>6</v>
      </c>
      <c r="AK17" s="54"/>
      <c r="AL17" s="54">
        <v>2</v>
      </c>
      <c r="AM17" s="54">
        <v>2</v>
      </c>
      <c r="AN17" s="54">
        <v>6</v>
      </c>
      <c r="AO17" s="54"/>
      <c r="AP17" s="54">
        <v>8</v>
      </c>
      <c r="AQ17" s="54">
        <v>2</v>
      </c>
      <c r="AR17" s="54"/>
      <c r="AS17" s="54">
        <v>2</v>
      </c>
      <c r="AT17" s="54">
        <v>12</v>
      </c>
      <c r="AU17" s="54"/>
      <c r="AV17" s="54">
        <v>2</v>
      </c>
      <c r="AW17" s="54"/>
      <c r="AX17" s="54">
        <v>2</v>
      </c>
      <c r="AY17" s="54">
        <v>0</v>
      </c>
      <c r="AZ17" s="54"/>
      <c r="BA17" s="54">
        <v>11</v>
      </c>
      <c r="BB17" s="54"/>
      <c r="BC17" s="54">
        <v>13</v>
      </c>
      <c r="BD17" s="54">
        <v>8</v>
      </c>
      <c r="BE17" s="54">
        <v>3</v>
      </c>
      <c r="BF17" s="54">
        <v>96</v>
      </c>
      <c r="BG17" s="54">
        <v>54</v>
      </c>
      <c r="BH17" s="54">
        <v>3</v>
      </c>
      <c r="BI17" s="54">
        <v>7</v>
      </c>
      <c r="BJ17" s="54"/>
      <c r="BK17" s="54">
        <v>16</v>
      </c>
      <c r="BL17" s="54">
        <v>14</v>
      </c>
      <c r="BM17" s="54">
        <v>4</v>
      </c>
      <c r="BN17" s="54">
        <v>0</v>
      </c>
      <c r="BO17" s="54">
        <v>6</v>
      </c>
      <c r="BP17" s="54">
        <v>34</v>
      </c>
      <c r="BQ17" s="54"/>
      <c r="BR17" s="54">
        <v>3</v>
      </c>
      <c r="BS17" s="54">
        <v>2</v>
      </c>
      <c r="BT17" s="54">
        <v>1</v>
      </c>
      <c r="BU17" s="54">
        <v>0</v>
      </c>
      <c r="BV17" s="54">
        <v>21</v>
      </c>
      <c r="BW17" s="54">
        <v>2</v>
      </c>
      <c r="BX17" s="54">
        <v>1</v>
      </c>
      <c r="BY17" s="54">
        <v>0</v>
      </c>
      <c r="BZ17" s="54">
        <v>1</v>
      </c>
      <c r="CA17" s="54">
        <v>0</v>
      </c>
      <c r="CB17" s="54"/>
      <c r="CC17" s="54">
        <v>6</v>
      </c>
      <c r="CD17" s="54">
        <v>14</v>
      </c>
      <c r="CE17" s="54">
        <v>4</v>
      </c>
      <c r="CF17" s="54">
        <v>5</v>
      </c>
      <c r="CG17" s="54">
        <v>2</v>
      </c>
      <c r="CH17" s="54"/>
      <c r="CI17" s="54">
        <v>10</v>
      </c>
      <c r="CJ17" s="504">
        <v>547</v>
      </c>
    </row>
    <row r="18" spans="1:88" x14ac:dyDescent="0.25">
      <c r="A18" s="158" t="s">
        <v>790</v>
      </c>
      <c r="B18" s="54">
        <v>4</v>
      </c>
      <c r="C18" s="54">
        <v>0</v>
      </c>
      <c r="D18" s="54">
        <v>8</v>
      </c>
      <c r="E18" s="54">
        <v>3</v>
      </c>
      <c r="F18" s="54">
        <v>29</v>
      </c>
      <c r="G18" s="54">
        <v>67</v>
      </c>
      <c r="H18" s="54">
        <v>36</v>
      </c>
      <c r="I18" s="54"/>
      <c r="J18" s="54"/>
      <c r="K18" s="54">
        <v>41</v>
      </c>
      <c r="L18" s="54">
        <v>7</v>
      </c>
      <c r="M18" s="54">
        <v>2</v>
      </c>
      <c r="N18" s="54">
        <v>0</v>
      </c>
      <c r="O18" s="54">
        <v>0</v>
      </c>
      <c r="P18" s="54">
        <v>117</v>
      </c>
      <c r="Q18" s="54">
        <v>5</v>
      </c>
      <c r="R18" s="54">
        <v>0</v>
      </c>
      <c r="S18" s="54">
        <v>1</v>
      </c>
      <c r="T18" s="54">
        <v>0</v>
      </c>
      <c r="U18" s="54">
        <v>1</v>
      </c>
      <c r="V18" s="54">
        <v>66</v>
      </c>
      <c r="W18" s="54">
        <v>2</v>
      </c>
      <c r="X18" s="54">
        <v>2</v>
      </c>
      <c r="Y18" s="54">
        <v>4</v>
      </c>
      <c r="Z18" s="54"/>
      <c r="AA18" s="54">
        <v>36</v>
      </c>
      <c r="AB18" s="54">
        <v>2</v>
      </c>
      <c r="AC18" s="54">
        <v>9</v>
      </c>
      <c r="AD18" s="54">
        <v>4</v>
      </c>
      <c r="AE18" s="54">
        <v>0</v>
      </c>
      <c r="AF18" s="54">
        <v>56</v>
      </c>
      <c r="AG18" s="54">
        <v>1</v>
      </c>
      <c r="AH18" s="54"/>
      <c r="AI18" s="54">
        <v>1</v>
      </c>
      <c r="AJ18" s="54">
        <v>19</v>
      </c>
      <c r="AK18" s="54"/>
      <c r="AL18" s="54">
        <v>1</v>
      </c>
      <c r="AM18" s="54">
        <v>50</v>
      </c>
      <c r="AN18" s="54">
        <v>33</v>
      </c>
      <c r="AO18" s="54">
        <v>1</v>
      </c>
      <c r="AP18" s="54">
        <v>4</v>
      </c>
      <c r="AQ18" s="54">
        <v>15</v>
      </c>
      <c r="AR18" s="54">
        <v>30</v>
      </c>
      <c r="AS18" s="54">
        <v>15</v>
      </c>
      <c r="AT18" s="54">
        <v>7</v>
      </c>
      <c r="AU18" s="54"/>
      <c r="AV18" s="54"/>
      <c r="AW18" s="54">
        <v>2</v>
      </c>
      <c r="AX18" s="54">
        <v>2</v>
      </c>
      <c r="AY18" s="54">
        <v>1</v>
      </c>
      <c r="AZ18" s="54">
        <v>1</v>
      </c>
      <c r="BA18" s="54">
        <v>10</v>
      </c>
      <c r="BB18" s="54"/>
      <c r="BC18" s="54">
        <v>14</v>
      </c>
      <c r="BD18" s="54">
        <v>2</v>
      </c>
      <c r="BE18" s="54">
        <v>17</v>
      </c>
      <c r="BF18" s="54">
        <v>178</v>
      </c>
      <c r="BG18" s="54">
        <v>33</v>
      </c>
      <c r="BH18" s="54">
        <v>2</v>
      </c>
      <c r="BI18" s="54">
        <v>4</v>
      </c>
      <c r="BJ18" s="54"/>
      <c r="BK18" s="54">
        <v>99</v>
      </c>
      <c r="BL18" s="54">
        <v>16</v>
      </c>
      <c r="BM18" s="54">
        <v>2</v>
      </c>
      <c r="BN18" s="54">
        <v>3</v>
      </c>
      <c r="BO18" s="54">
        <v>18</v>
      </c>
      <c r="BP18" s="54">
        <v>12</v>
      </c>
      <c r="BQ18" s="54">
        <v>2</v>
      </c>
      <c r="BR18" s="54">
        <v>31</v>
      </c>
      <c r="BS18" s="54"/>
      <c r="BT18" s="54">
        <v>9</v>
      </c>
      <c r="BU18" s="54">
        <v>0</v>
      </c>
      <c r="BV18" s="54">
        <v>265</v>
      </c>
      <c r="BW18" s="54">
        <v>23</v>
      </c>
      <c r="BX18" s="54">
        <v>25</v>
      </c>
      <c r="BY18" s="54">
        <v>11</v>
      </c>
      <c r="BZ18" s="54">
        <v>2</v>
      </c>
      <c r="CA18" s="54">
        <v>7</v>
      </c>
      <c r="CB18" s="54"/>
      <c r="CC18" s="54">
        <v>11</v>
      </c>
      <c r="CD18" s="54">
        <v>69</v>
      </c>
      <c r="CE18" s="54">
        <v>6</v>
      </c>
      <c r="CF18" s="54">
        <v>35</v>
      </c>
      <c r="CG18" s="54"/>
      <c r="CH18" s="54">
        <v>2</v>
      </c>
      <c r="CI18" s="54">
        <v>78</v>
      </c>
      <c r="CJ18" s="504">
        <v>1671</v>
      </c>
    </row>
    <row r="19" spans="1:88" x14ac:dyDescent="0.25">
      <c r="A19" s="158" t="s">
        <v>791</v>
      </c>
      <c r="B19" s="54">
        <v>4</v>
      </c>
      <c r="C19" s="54">
        <v>1</v>
      </c>
      <c r="D19" s="54">
        <v>6</v>
      </c>
      <c r="E19" s="54">
        <v>2</v>
      </c>
      <c r="F19" s="54">
        <v>17</v>
      </c>
      <c r="G19" s="54">
        <v>37</v>
      </c>
      <c r="H19" s="54">
        <v>9</v>
      </c>
      <c r="I19" s="54">
        <v>1</v>
      </c>
      <c r="J19" s="54">
        <v>1</v>
      </c>
      <c r="K19" s="54">
        <v>30</v>
      </c>
      <c r="L19" s="54"/>
      <c r="M19" s="54">
        <v>2</v>
      </c>
      <c r="N19" s="54">
        <v>0</v>
      </c>
      <c r="O19" s="54">
        <v>2</v>
      </c>
      <c r="P19" s="54">
        <v>14</v>
      </c>
      <c r="Q19" s="54">
        <v>9</v>
      </c>
      <c r="R19" s="54">
        <v>0</v>
      </c>
      <c r="S19" s="54"/>
      <c r="T19" s="54">
        <v>2</v>
      </c>
      <c r="U19" s="54">
        <v>1</v>
      </c>
      <c r="V19" s="54">
        <v>1</v>
      </c>
      <c r="W19" s="54">
        <v>2</v>
      </c>
      <c r="X19" s="54"/>
      <c r="Y19" s="54">
        <v>7</v>
      </c>
      <c r="Z19" s="54"/>
      <c r="AA19" s="54">
        <v>24</v>
      </c>
      <c r="AB19" s="54">
        <v>1</v>
      </c>
      <c r="AC19" s="54">
        <v>5</v>
      </c>
      <c r="AD19" s="54">
        <v>4</v>
      </c>
      <c r="AE19" s="54">
        <v>0</v>
      </c>
      <c r="AF19" s="54">
        <v>30</v>
      </c>
      <c r="AG19" s="54">
        <v>1</v>
      </c>
      <c r="AH19" s="54">
        <v>2</v>
      </c>
      <c r="AI19" s="54">
        <v>5</v>
      </c>
      <c r="AJ19" s="54">
        <v>5</v>
      </c>
      <c r="AK19" s="54"/>
      <c r="AL19" s="54">
        <v>3</v>
      </c>
      <c r="AM19" s="54">
        <v>16</v>
      </c>
      <c r="AN19" s="54">
        <v>12</v>
      </c>
      <c r="AO19" s="54"/>
      <c r="AP19" s="54">
        <v>8</v>
      </c>
      <c r="AQ19" s="54">
        <v>15</v>
      </c>
      <c r="AR19" s="54"/>
      <c r="AS19" s="54">
        <v>3</v>
      </c>
      <c r="AT19" s="54">
        <v>12</v>
      </c>
      <c r="AU19" s="54"/>
      <c r="AV19" s="54">
        <v>2</v>
      </c>
      <c r="AW19" s="54">
        <v>2</v>
      </c>
      <c r="AX19" s="54"/>
      <c r="AY19" s="54">
        <v>1</v>
      </c>
      <c r="AZ19" s="54">
        <v>1</v>
      </c>
      <c r="BA19" s="54">
        <v>9</v>
      </c>
      <c r="BB19" s="54"/>
      <c r="BC19" s="54">
        <v>5</v>
      </c>
      <c r="BD19" s="54">
        <v>12</v>
      </c>
      <c r="BE19" s="54">
        <v>4</v>
      </c>
      <c r="BF19" s="54">
        <v>148</v>
      </c>
      <c r="BG19" s="54">
        <v>42</v>
      </c>
      <c r="BH19" s="54">
        <v>4</v>
      </c>
      <c r="BI19" s="54">
        <v>5</v>
      </c>
      <c r="BJ19" s="54"/>
      <c r="BK19" s="54">
        <v>27</v>
      </c>
      <c r="BL19" s="54">
        <v>15</v>
      </c>
      <c r="BM19" s="54">
        <v>4</v>
      </c>
      <c r="BN19" s="54">
        <v>2</v>
      </c>
      <c r="BO19" s="54">
        <v>4</v>
      </c>
      <c r="BP19" s="54">
        <v>10</v>
      </c>
      <c r="BQ19" s="54"/>
      <c r="BR19" s="54">
        <v>3</v>
      </c>
      <c r="BS19" s="54"/>
      <c r="BT19" s="54">
        <v>7</v>
      </c>
      <c r="BU19" s="54">
        <v>0</v>
      </c>
      <c r="BV19" s="54">
        <v>37</v>
      </c>
      <c r="BW19" s="54">
        <v>3</v>
      </c>
      <c r="BX19" s="54">
        <v>3</v>
      </c>
      <c r="BY19" s="54">
        <v>5</v>
      </c>
      <c r="BZ19" s="54">
        <v>2</v>
      </c>
      <c r="CA19" s="54">
        <v>3</v>
      </c>
      <c r="CB19" s="54"/>
      <c r="CC19" s="54">
        <v>6</v>
      </c>
      <c r="CD19" s="54">
        <v>6</v>
      </c>
      <c r="CE19" s="54">
        <v>11</v>
      </c>
      <c r="CF19" s="54">
        <v>8</v>
      </c>
      <c r="CG19" s="54">
        <v>2</v>
      </c>
      <c r="CH19" s="54"/>
      <c r="CI19" s="54">
        <v>17</v>
      </c>
      <c r="CJ19" s="504">
        <v>704</v>
      </c>
    </row>
    <row r="20" spans="1:88" x14ac:dyDescent="0.25">
      <c r="A20" s="158" t="s">
        <v>792</v>
      </c>
      <c r="B20" s="54">
        <v>4</v>
      </c>
      <c r="C20" s="54">
        <v>5</v>
      </c>
      <c r="D20" s="54">
        <v>6</v>
      </c>
      <c r="E20" s="54">
        <v>8</v>
      </c>
      <c r="F20" s="54">
        <v>28</v>
      </c>
      <c r="G20" s="54">
        <v>18</v>
      </c>
      <c r="H20" s="54">
        <v>34</v>
      </c>
      <c r="I20" s="54">
        <v>1</v>
      </c>
      <c r="J20" s="54">
        <v>3</v>
      </c>
      <c r="K20" s="54">
        <v>65</v>
      </c>
      <c r="L20" s="54">
        <v>9</v>
      </c>
      <c r="M20" s="54">
        <v>6</v>
      </c>
      <c r="N20" s="54">
        <v>0</v>
      </c>
      <c r="O20" s="54">
        <v>1</v>
      </c>
      <c r="P20" s="54">
        <v>9</v>
      </c>
      <c r="Q20" s="54">
        <v>14</v>
      </c>
      <c r="R20" s="54">
        <v>1</v>
      </c>
      <c r="S20" s="54">
        <v>1</v>
      </c>
      <c r="T20" s="54">
        <v>4</v>
      </c>
      <c r="U20" s="54">
        <v>2</v>
      </c>
      <c r="V20" s="54">
        <v>4</v>
      </c>
      <c r="W20" s="54">
        <v>4</v>
      </c>
      <c r="X20" s="54">
        <v>2</v>
      </c>
      <c r="Y20" s="54">
        <v>7</v>
      </c>
      <c r="Z20" s="54"/>
      <c r="AA20" s="54">
        <v>33</v>
      </c>
      <c r="AB20" s="54">
        <v>3</v>
      </c>
      <c r="AC20" s="54">
        <v>6</v>
      </c>
      <c r="AD20" s="54">
        <v>17</v>
      </c>
      <c r="AE20" s="54">
        <v>0</v>
      </c>
      <c r="AF20" s="54">
        <v>29</v>
      </c>
      <c r="AG20" s="54">
        <v>4</v>
      </c>
      <c r="AH20" s="54">
        <v>2</v>
      </c>
      <c r="AI20" s="54">
        <v>9</v>
      </c>
      <c r="AJ20" s="54">
        <v>11</v>
      </c>
      <c r="AK20" s="54"/>
      <c r="AL20" s="54">
        <v>5</v>
      </c>
      <c r="AM20" s="54">
        <v>11</v>
      </c>
      <c r="AN20" s="54">
        <v>18</v>
      </c>
      <c r="AO20" s="54"/>
      <c r="AP20" s="54">
        <v>8</v>
      </c>
      <c r="AQ20" s="54">
        <v>2</v>
      </c>
      <c r="AR20" s="54"/>
      <c r="AS20" s="54">
        <v>2</v>
      </c>
      <c r="AT20" s="54">
        <v>16</v>
      </c>
      <c r="AU20" s="54"/>
      <c r="AV20" s="54">
        <v>2</v>
      </c>
      <c r="AW20" s="54">
        <v>4</v>
      </c>
      <c r="AX20" s="54">
        <v>2</v>
      </c>
      <c r="AY20" s="54">
        <v>2</v>
      </c>
      <c r="AZ20" s="54">
        <v>3</v>
      </c>
      <c r="BA20" s="54">
        <v>15</v>
      </c>
      <c r="BB20" s="54"/>
      <c r="BC20" s="54">
        <v>38</v>
      </c>
      <c r="BD20" s="54">
        <v>15</v>
      </c>
      <c r="BE20" s="54">
        <v>28</v>
      </c>
      <c r="BF20" s="54">
        <v>244</v>
      </c>
      <c r="BG20" s="54">
        <v>65</v>
      </c>
      <c r="BH20" s="54">
        <v>7</v>
      </c>
      <c r="BI20" s="54">
        <v>10</v>
      </c>
      <c r="BJ20" s="54"/>
      <c r="BK20" s="54">
        <v>54</v>
      </c>
      <c r="BL20" s="54">
        <v>56</v>
      </c>
      <c r="BM20" s="54">
        <v>4</v>
      </c>
      <c r="BN20" s="54">
        <v>5</v>
      </c>
      <c r="BO20" s="54">
        <v>7</v>
      </c>
      <c r="BP20" s="54">
        <v>57</v>
      </c>
      <c r="BQ20" s="54"/>
      <c r="BR20" s="54">
        <v>5</v>
      </c>
      <c r="BS20" s="54">
        <v>2</v>
      </c>
      <c r="BT20" s="54">
        <v>11</v>
      </c>
      <c r="BU20" s="54">
        <v>0</v>
      </c>
      <c r="BV20" s="54">
        <v>76</v>
      </c>
      <c r="BW20" s="54">
        <v>13</v>
      </c>
      <c r="BX20" s="54">
        <v>6</v>
      </c>
      <c r="BY20" s="54">
        <v>8</v>
      </c>
      <c r="BZ20" s="54">
        <v>1</v>
      </c>
      <c r="CA20" s="54">
        <v>7</v>
      </c>
      <c r="CB20" s="54"/>
      <c r="CC20" s="54">
        <v>37</v>
      </c>
      <c r="CD20" s="54">
        <v>20</v>
      </c>
      <c r="CE20" s="54">
        <v>22</v>
      </c>
      <c r="CF20" s="54">
        <v>23</v>
      </c>
      <c r="CG20" s="54">
        <v>2</v>
      </c>
      <c r="CH20" s="54"/>
      <c r="CI20" s="54">
        <v>41</v>
      </c>
      <c r="CJ20" s="504">
        <v>1304</v>
      </c>
    </row>
    <row r="21" spans="1:88" x14ac:dyDescent="0.25">
      <c r="A21" s="159" t="s">
        <v>169</v>
      </c>
      <c r="B21" s="160">
        <f>SUM(B5:B20)</f>
        <v>28</v>
      </c>
      <c r="C21" s="160">
        <f t="shared" ref="C21:BN21" si="0">SUM(C5:C20)</f>
        <v>24</v>
      </c>
      <c r="D21" s="160">
        <f t="shared" si="0"/>
        <v>77</v>
      </c>
      <c r="E21" s="160">
        <f t="shared" si="0"/>
        <v>54</v>
      </c>
      <c r="F21" s="160">
        <f t="shared" si="0"/>
        <v>253</v>
      </c>
      <c r="G21" s="160">
        <f t="shared" si="0"/>
        <v>504</v>
      </c>
      <c r="H21" s="160">
        <f t="shared" si="0"/>
        <v>258</v>
      </c>
      <c r="I21" s="160">
        <f t="shared" si="0"/>
        <v>4</v>
      </c>
      <c r="J21" s="160">
        <f t="shared" si="0"/>
        <v>17</v>
      </c>
      <c r="K21" s="160">
        <f t="shared" si="0"/>
        <v>344</v>
      </c>
      <c r="L21" s="160">
        <f t="shared" si="0"/>
        <v>25</v>
      </c>
      <c r="M21" s="160">
        <f t="shared" si="0"/>
        <v>24</v>
      </c>
      <c r="N21" s="160">
        <f t="shared" si="0"/>
        <v>2</v>
      </c>
      <c r="O21" s="160">
        <f t="shared" si="0"/>
        <v>13</v>
      </c>
      <c r="P21" s="160">
        <f t="shared" si="0"/>
        <v>256</v>
      </c>
      <c r="Q21" s="160">
        <f t="shared" si="0"/>
        <v>62</v>
      </c>
      <c r="R21" s="160">
        <f t="shared" si="0"/>
        <v>2</v>
      </c>
      <c r="S21" s="160">
        <f t="shared" si="0"/>
        <v>4</v>
      </c>
      <c r="T21" s="160">
        <f t="shared" si="0"/>
        <v>15</v>
      </c>
      <c r="U21" s="160">
        <f t="shared" si="0"/>
        <v>10</v>
      </c>
      <c r="V21" s="160">
        <f t="shared" si="0"/>
        <v>181</v>
      </c>
      <c r="W21" s="160">
        <f t="shared" si="0"/>
        <v>21</v>
      </c>
      <c r="X21" s="160">
        <f t="shared" si="0"/>
        <v>18</v>
      </c>
      <c r="Y21" s="160">
        <f t="shared" si="0"/>
        <v>58</v>
      </c>
      <c r="Z21" s="160">
        <f t="shared" si="0"/>
        <v>0</v>
      </c>
      <c r="AA21" s="160">
        <f t="shared" si="0"/>
        <v>269</v>
      </c>
      <c r="AB21" s="160">
        <f t="shared" si="0"/>
        <v>18</v>
      </c>
      <c r="AC21" s="160">
        <f t="shared" si="0"/>
        <v>45</v>
      </c>
      <c r="AD21" s="160">
        <f t="shared" si="0"/>
        <v>136</v>
      </c>
      <c r="AE21" s="160">
        <f t="shared" si="0"/>
        <v>0</v>
      </c>
      <c r="AF21" s="160">
        <f t="shared" si="0"/>
        <v>371</v>
      </c>
      <c r="AG21" s="160">
        <f t="shared" si="0"/>
        <v>10</v>
      </c>
      <c r="AH21" s="160">
        <f t="shared" si="0"/>
        <v>20</v>
      </c>
      <c r="AI21" s="160">
        <f t="shared" si="0"/>
        <v>33</v>
      </c>
      <c r="AJ21" s="160">
        <f t="shared" si="0"/>
        <v>103</v>
      </c>
      <c r="AK21" s="160">
        <f t="shared" si="0"/>
        <v>0</v>
      </c>
      <c r="AL21" s="160">
        <f t="shared" si="0"/>
        <v>28</v>
      </c>
      <c r="AM21" s="160">
        <f t="shared" si="0"/>
        <v>193</v>
      </c>
      <c r="AN21" s="160">
        <f t="shared" si="0"/>
        <v>223</v>
      </c>
      <c r="AO21" s="160">
        <f t="shared" si="0"/>
        <v>11</v>
      </c>
      <c r="AP21" s="160">
        <f t="shared" si="0"/>
        <v>44</v>
      </c>
      <c r="AQ21" s="160">
        <f t="shared" si="0"/>
        <v>49</v>
      </c>
      <c r="AR21" s="160">
        <f t="shared" si="0"/>
        <v>240</v>
      </c>
      <c r="AS21" s="160">
        <f t="shared" si="0"/>
        <v>46</v>
      </c>
      <c r="AT21" s="160">
        <f t="shared" si="0"/>
        <v>95</v>
      </c>
      <c r="AU21" s="160">
        <f t="shared" si="0"/>
        <v>4</v>
      </c>
      <c r="AV21" s="160">
        <f t="shared" si="0"/>
        <v>28</v>
      </c>
      <c r="AW21" s="160">
        <f t="shared" si="0"/>
        <v>33</v>
      </c>
      <c r="AX21" s="160">
        <f t="shared" si="0"/>
        <v>10</v>
      </c>
      <c r="AY21" s="160">
        <f t="shared" si="0"/>
        <v>17</v>
      </c>
      <c r="AZ21" s="160">
        <f t="shared" si="0"/>
        <v>11</v>
      </c>
      <c r="BA21" s="160">
        <f t="shared" si="0"/>
        <v>87</v>
      </c>
      <c r="BB21" s="160">
        <f t="shared" si="0"/>
        <v>0</v>
      </c>
      <c r="BC21" s="160">
        <f t="shared" si="0"/>
        <v>149</v>
      </c>
      <c r="BD21" s="160">
        <f t="shared" si="0"/>
        <v>67</v>
      </c>
      <c r="BE21" s="160">
        <f t="shared" si="0"/>
        <v>147</v>
      </c>
      <c r="BF21" s="160">
        <f t="shared" si="0"/>
        <v>1829</v>
      </c>
      <c r="BG21" s="160">
        <f t="shared" si="0"/>
        <v>419</v>
      </c>
      <c r="BH21" s="160">
        <f t="shared" si="0"/>
        <v>35</v>
      </c>
      <c r="BI21" s="160">
        <f t="shared" si="0"/>
        <v>74</v>
      </c>
      <c r="BJ21" s="160">
        <f t="shared" si="0"/>
        <v>0</v>
      </c>
      <c r="BK21" s="160">
        <f t="shared" si="0"/>
        <v>623</v>
      </c>
      <c r="BL21" s="160">
        <f t="shared" si="0"/>
        <v>233</v>
      </c>
      <c r="BM21" s="160">
        <f t="shared" si="0"/>
        <v>88</v>
      </c>
      <c r="BN21" s="160">
        <f t="shared" si="0"/>
        <v>23</v>
      </c>
      <c r="BO21" s="160">
        <f t="shared" ref="BO21:CJ21" si="1">SUM(BO5:BO20)</f>
        <v>84</v>
      </c>
      <c r="BP21" s="160">
        <f t="shared" si="1"/>
        <v>231</v>
      </c>
      <c r="BQ21" s="160">
        <f t="shared" si="1"/>
        <v>4</v>
      </c>
      <c r="BR21" s="160">
        <f t="shared" si="1"/>
        <v>103</v>
      </c>
      <c r="BS21" s="160">
        <f t="shared" si="1"/>
        <v>4</v>
      </c>
      <c r="BT21" s="160">
        <f t="shared" si="1"/>
        <v>56</v>
      </c>
      <c r="BU21" s="160">
        <f t="shared" si="1"/>
        <v>0</v>
      </c>
      <c r="BV21" s="160">
        <f t="shared" si="1"/>
        <v>1456</v>
      </c>
      <c r="BW21" s="160">
        <f t="shared" si="1"/>
        <v>135</v>
      </c>
      <c r="BX21" s="160">
        <f t="shared" si="1"/>
        <v>97</v>
      </c>
      <c r="BY21" s="160">
        <f t="shared" si="1"/>
        <v>46</v>
      </c>
      <c r="BZ21" s="160">
        <f t="shared" si="1"/>
        <v>11</v>
      </c>
      <c r="CA21" s="160">
        <f t="shared" si="1"/>
        <v>36</v>
      </c>
      <c r="CB21" s="160">
        <f t="shared" si="1"/>
        <v>0</v>
      </c>
      <c r="CC21" s="160">
        <f t="shared" si="1"/>
        <v>79</v>
      </c>
      <c r="CD21" s="160">
        <f t="shared" si="1"/>
        <v>183</v>
      </c>
      <c r="CE21" s="160">
        <f t="shared" si="1"/>
        <v>99</v>
      </c>
      <c r="CF21" s="160">
        <f t="shared" si="1"/>
        <v>152</v>
      </c>
      <c r="CG21" s="160">
        <f t="shared" si="1"/>
        <v>6</v>
      </c>
      <c r="CH21" s="160">
        <f t="shared" si="1"/>
        <v>7</v>
      </c>
      <c r="CI21" s="160">
        <f t="shared" si="1"/>
        <v>395</v>
      </c>
      <c r="CJ21" s="160">
        <f t="shared" si="1"/>
        <v>11249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16EE2-5896-45C2-83A9-667DBCC209A0}">
  <sheetPr>
    <tabColor theme="9" tint="-0.249977111117893"/>
  </sheetPr>
  <dimension ref="A1:H91"/>
  <sheetViews>
    <sheetView workbookViewId="0">
      <pane ySplit="3" topLeftCell="A4" activePane="bottomLeft" state="frozen"/>
      <selection pane="bottomLeft" activeCell="Q7" sqref="Q6:Q7"/>
    </sheetView>
  </sheetViews>
  <sheetFormatPr defaultRowHeight="15" x14ac:dyDescent="0.25"/>
  <cols>
    <col min="1" max="1" width="28" bestFit="1" customWidth="1"/>
    <col min="2" max="2" width="21.85546875" bestFit="1" customWidth="1"/>
    <col min="3" max="3" width="12.7109375" bestFit="1" customWidth="1"/>
    <col min="4" max="4" width="11.5703125" bestFit="1" customWidth="1"/>
    <col min="5" max="5" width="16.7109375" bestFit="1" customWidth="1"/>
    <col min="6" max="6" width="15.5703125" bestFit="1" customWidth="1"/>
    <col min="7" max="7" width="21.5703125" bestFit="1" customWidth="1"/>
    <col min="8" max="8" width="22" bestFit="1" customWidth="1"/>
  </cols>
  <sheetData>
    <row r="1" spans="1:8" x14ac:dyDescent="0.25">
      <c r="A1" t="s">
        <v>793</v>
      </c>
      <c r="B1" t="s">
        <v>727</v>
      </c>
      <c r="C1" t="s">
        <v>794</v>
      </c>
    </row>
    <row r="3" spans="1:8" x14ac:dyDescent="0.25">
      <c r="A3" t="s">
        <v>355</v>
      </c>
      <c r="B3" t="s">
        <v>795</v>
      </c>
      <c r="C3" t="s">
        <v>796</v>
      </c>
      <c r="D3" t="s">
        <v>797</v>
      </c>
      <c r="E3" t="s">
        <v>798</v>
      </c>
      <c r="F3" t="s">
        <v>799</v>
      </c>
      <c r="G3" t="s">
        <v>800</v>
      </c>
      <c r="H3" t="s">
        <v>801</v>
      </c>
    </row>
    <row r="4" spans="1:8" x14ac:dyDescent="0.25">
      <c r="A4" s="4" t="s">
        <v>748</v>
      </c>
      <c r="B4">
        <v>24</v>
      </c>
    </row>
    <row r="5" spans="1:8" x14ac:dyDescent="0.25">
      <c r="A5" s="4" t="s">
        <v>76</v>
      </c>
      <c r="B5">
        <v>23</v>
      </c>
    </row>
    <row r="6" spans="1:8" x14ac:dyDescent="0.25">
      <c r="A6" s="4" t="s">
        <v>183</v>
      </c>
      <c r="B6">
        <v>71</v>
      </c>
    </row>
    <row r="7" spans="1:8" x14ac:dyDescent="0.25">
      <c r="A7" s="4" t="s">
        <v>749</v>
      </c>
      <c r="B7">
        <v>52</v>
      </c>
    </row>
    <row r="8" spans="1:8" x14ac:dyDescent="0.25">
      <c r="A8" s="4" t="s">
        <v>75</v>
      </c>
      <c r="B8">
        <v>236</v>
      </c>
      <c r="G8">
        <v>50</v>
      </c>
      <c r="H8">
        <v>50</v>
      </c>
    </row>
    <row r="9" spans="1:8" x14ac:dyDescent="0.25">
      <c r="A9" s="4" t="s">
        <v>112</v>
      </c>
      <c r="B9">
        <v>467</v>
      </c>
      <c r="C9">
        <v>16</v>
      </c>
      <c r="D9">
        <v>0</v>
      </c>
      <c r="E9">
        <v>2</v>
      </c>
      <c r="F9">
        <v>3</v>
      </c>
      <c r="G9">
        <v>89</v>
      </c>
      <c r="H9">
        <v>105</v>
      </c>
    </row>
    <row r="10" spans="1:8" x14ac:dyDescent="0.25">
      <c r="A10" s="4" t="s">
        <v>90</v>
      </c>
      <c r="G10">
        <v>55</v>
      </c>
      <c r="H10">
        <v>55</v>
      </c>
    </row>
    <row r="11" spans="1:8" x14ac:dyDescent="0.25">
      <c r="A11" s="4" t="s">
        <v>88</v>
      </c>
      <c r="B11">
        <v>249</v>
      </c>
      <c r="C11">
        <v>20</v>
      </c>
      <c r="D11">
        <v>0</v>
      </c>
      <c r="E11">
        <v>4</v>
      </c>
      <c r="F11">
        <v>0</v>
      </c>
      <c r="G11">
        <v>10</v>
      </c>
      <c r="H11">
        <v>30</v>
      </c>
    </row>
    <row r="12" spans="1:8" x14ac:dyDescent="0.25">
      <c r="A12" s="4" t="s">
        <v>750</v>
      </c>
      <c r="B12">
        <v>3</v>
      </c>
    </row>
    <row r="13" spans="1:8" x14ac:dyDescent="0.25">
      <c r="A13" s="4" t="s">
        <v>751</v>
      </c>
      <c r="B13">
        <v>16</v>
      </c>
    </row>
    <row r="14" spans="1:8" x14ac:dyDescent="0.25">
      <c r="A14" s="4" t="s">
        <v>89</v>
      </c>
      <c r="B14">
        <v>314</v>
      </c>
    </row>
    <row r="15" spans="1:8" x14ac:dyDescent="0.25">
      <c r="A15" s="4" t="s">
        <v>92</v>
      </c>
      <c r="B15">
        <v>25</v>
      </c>
    </row>
    <row r="16" spans="1:8" x14ac:dyDescent="0.25">
      <c r="A16" s="4" t="s">
        <v>752</v>
      </c>
      <c r="B16">
        <v>22</v>
      </c>
    </row>
    <row r="17" spans="1:8" x14ac:dyDescent="0.25">
      <c r="A17" s="4" t="s">
        <v>115</v>
      </c>
      <c r="B17">
        <v>2</v>
      </c>
    </row>
    <row r="18" spans="1:8" x14ac:dyDescent="0.25">
      <c r="A18" s="4" t="s">
        <v>74</v>
      </c>
      <c r="B18">
        <v>11</v>
      </c>
    </row>
    <row r="19" spans="1:8" x14ac:dyDescent="0.25">
      <c r="A19" s="4" t="s">
        <v>83</v>
      </c>
      <c r="B19">
        <v>242</v>
      </c>
    </row>
    <row r="20" spans="1:8" x14ac:dyDescent="0.25">
      <c r="A20" s="4" t="s">
        <v>352</v>
      </c>
      <c r="B20">
        <v>53</v>
      </c>
    </row>
    <row r="21" spans="1:8" x14ac:dyDescent="0.25">
      <c r="A21" s="4" t="s">
        <v>127</v>
      </c>
      <c r="B21">
        <v>2</v>
      </c>
    </row>
    <row r="22" spans="1:8" x14ac:dyDescent="0.25">
      <c r="A22" s="4" t="s">
        <v>753</v>
      </c>
      <c r="B22">
        <v>4</v>
      </c>
    </row>
    <row r="23" spans="1:8" x14ac:dyDescent="0.25">
      <c r="A23" s="4" t="s">
        <v>297</v>
      </c>
      <c r="B23">
        <v>13</v>
      </c>
    </row>
    <row r="24" spans="1:8" x14ac:dyDescent="0.25">
      <c r="A24" s="4" t="s">
        <v>754</v>
      </c>
      <c r="B24">
        <v>9</v>
      </c>
    </row>
    <row r="25" spans="1:8" x14ac:dyDescent="0.25">
      <c r="A25" s="4" t="s">
        <v>118</v>
      </c>
      <c r="B25">
        <v>180</v>
      </c>
      <c r="C25">
        <v>19</v>
      </c>
      <c r="D25">
        <v>0</v>
      </c>
      <c r="E25">
        <v>4</v>
      </c>
      <c r="F25">
        <v>3</v>
      </c>
      <c r="G25">
        <v>61</v>
      </c>
      <c r="H25">
        <v>80</v>
      </c>
    </row>
    <row r="26" spans="1:8" x14ac:dyDescent="0.25">
      <c r="A26" s="4" t="s">
        <v>755</v>
      </c>
      <c r="B26">
        <v>19</v>
      </c>
    </row>
    <row r="27" spans="1:8" x14ac:dyDescent="0.25">
      <c r="A27" s="4" t="s">
        <v>756</v>
      </c>
      <c r="B27">
        <v>18</v>
      </c>
    </row>
    <row r="28" spans="1:8" x14ac:dyDescent="0.25">
      <c r="A28" s="4" t="s">
        <v>54</v>
      </c>
      <c r="B28">
        <v>12316</v>
      </c>
      <c r="C28">
        <v>9237</v>
      </c>
      <c r="D28">
        <v>148</v>
      </c>
      <c r="E28">
        <v>1077</v>
      </c>
      <c r="F28">
        <v>71</v>
      </c>
      <c r="G28">
        <v>249425</v>
      </c>
      <c r="H28">
        <v>258810</v>
      </c>
    </row>
    <row r="29" spans="1:8" x14ac:dyDescent="0.25">
      <c r="A29" s="4" t="s">
        <v>46</v>
      </c>
      <c r="B29">
        <v>51</v>
      </c>
    </row>
    <row r="30" spans="1:8" x14ac:dyDescent="0.25">
      <c r="A30" s="4" t="s">
        <v>52</v>
      </c>
      <c r="B30">
        <v>245</v>
      </c>
      <c r="C30">
        <v>47</v>
      </c>
      <c r="D30">
        <v>0</v>
      </c>
      <c r="E30">
        <v>13</v>
      </c>
      <c r="F30">
        <v>3</v>
      </c>
      <c r="G30">
        <v>33</v>
      </c>
      <c r="H30">
        <v>80</v>
      </c>
    </row>
    <row r="31" spans="1:8" x14ac:dyDescent="0.25">
      <c r="A31" s="4" t="s">
        <v>132</v>
      </c>
      <c r="B31">
        <v>17</v>
      </c>
    </row>
    <row r="32" spans="1:8" x14ac:dyDescent="0.25">
      <c r="A32" s="4" t="s">
        <v>257</v>
      </c>
      <c r="B32">
        <v>40</v>
      </c>
      <c r="C32">
        <v>88</v>
      </c>
      <c r="D32">
        <v>0</v>
      </c>
      <c r="E32">
        <v>10</v>
      </c>
      <c r="F32">
        <v>8</v>
      </c>
      <c r="G32">
        <v>22</v>
      </c>
      <c r="H32">
        <v>110</v>
      </c>
    </row>
    <row r="33" spans="1:8" x14ac:dyDescent="0.25">
      <c r="A33" s="4" t="s">
        <v>103</v>
      </c>
      <c r="B33">
        <v>132</v>
      </c>
      <c r="G33">
        <v>25</v>
      </c>
      <c r="H33">
        <v>25</v>
      </c>
    </row>
    <row r="34" spans="1:8" x14ac:dyDescent="0.25">
      <c r="A34" s="4" t="s">
        <v>258</v>
      </c>
      <c r="B34">
        <v>341</v>
      </c>
      <c r="C34">
        <v>74</v>
      </c>
      <c r="D34">
        <v>2</v>
      </c>
      <c r="E34">
        <v>14</v>
      </c>
      <c r="F34">
        <v>3</v>
      </c>
      <c r="G34">
        <v>34</v>
      </c>
      <c r="H34">
        <v>110</v>
      </c>
    </row>
    <row r="35" spans="1:8" x14ac:dyDescent="0.25">
      <c r="A35" s="4" t="s">
        <v>757</v>
      </c>
      <c r="B35">
        <v>9</v>
      </c>
    </row>
    <row r="36" spans="1:8" x14ac:dyDescent="0.25">
      <c r="A36" s="4" t="s">
        <v>50</v>
      </c>
      <c r="B36">
        <v>18</v>
      </c>
    </row>
    <row r="37" spans="1:8" x14ac:dyDescent="0.25">
      <c r="A37" s="4" t="s">
        <v>758</v>
      </c>
      <c r="B37">
        <v>28</v>
      </c>
    </row>
    <row r="38" spans="1:8" x14ac:dyDescent="0.25">
      <c r="A38" s="4" t="s">
        <v>759</v>
      </c>
      <c r="B38">
        <v>98</v>
      </c>
    </row>
    <row r="39" spans="1:8" x14ac:dyDescent="0.25">
      <c r="A39" s="4" t="s">
        <v>542</v>
      </c>
      <c r="B39">
        <v>25</v>
      </c>
    </row>
    <row r="40" spans="1:8" x14ac:dyDescent="0.25">
      <c r="A40" s="4" t="s">
        <v>96</v>
      </c>
      <c r="B40">
        <v>177</v>
      </c>
      <c r="C40">
        <v>54</v>
      </c>
      <c r="D40">
        <v>0</v>
      </c>
      <c r="E40">
        <v>14</v>
      </c>
      <c r="F40">
        <v>12</v>
      </c>
      <c r="G40">
        <v>26</v>
      </c>
      <c r="H40">
        <v>80</v>
      </c>
    </row>
    <row r="41" spans="1:8" x14ac:dyDescent="0.25">
      <c r="A41" s="4" t="s">
        <v>41</v>
      </c>
      <c r="B41">
        <v>211</v>
      </c>
      <c r="C41">
        <v>79</v>
      </c>
      <c r="D41">
        <v>0</v>
      </c>
      <c r="E41">
        <v>21</v>
      </c>
      <c r="F41">
        <v>8</v>
      </c>
      <c r="G41">
        <v>51</v>
      </c>
      <c r="H41">
        <v>130</v>
      </c>
    </row>
    <row r="42" spans="1:8" x14ac:dyDescent="0.25">
      <c r="A42" s="4" t="s">
        <v>329</v>
      </c>
      <c r="B42">
        <v>11</v>
      </c>
    </row>
    <row r="43" spans="1:8" x14ac:dyDescent="0.25">
      <c r="A43" s="4" t="s">
        <v>761</v>
      </c>
      <c r="B43">
        <v>36</v>
      </c>
    </row>
    <row r="44" spans="1:8" x14ac:dyDescent="0.25">
      <c r="A44" s="4" t="s">
        <v>477</v>
      </c>
      <c r="B44">
        <v>34</v>
      </c>
      <c r="C44">
        <v>24</v>
      </c>
      <c r="D44">
        <v>0</v>
      </c>
      <c r="E44">
        <v>0</v>
      </c>
      <c r="F44">
        <v>0</v>
      </c>
      <c r="G44">
        <v>6</v>
      </c>
      <c r="H44">
        <v>30</v>
      </c>
    </row>
    <row r="45" spans="1:8" x14ac:dyDescent="0.25">
      <c r="A45" s="4" t="s">
        <v>762</v>
      </c>
      <c r="B45">
        <v>240</v>
      </c>
    </row>
    <row r="46" spans="1:8" x14ac:dyDescent="0.25">
      <c r="A46" s="4" t="s">
        <v>763</v>
      </c>
      <c r="B46">
        <v>43</v>
      </c>
    </row>
    <row r="47" spans="1:8" x14ac:dyDescent="0.25">
      <c r="A47" s="4" t="s">
        <v>480</v>
      </c>
      <c r="C47">
        <v>26</v>
      </c>
      <c r="D47">
        <v>0</v>
      </c>
      <c r="E47">
        <v>0</v>
      </c>
      <c r="F47">
        <v>0</v>
      </c>
      <c r="G47">
        <v>4</v>
      </c>
      <c r="H47">
        <v>30</v>
      </c>
    </row>
    <row r="48" spans="1:8" x14ac:dyDescent="0.25">
      <c r="A48" s="4" t="s">
        <v>309</v>
      </c>
      <c r="B48">
        <v>83</v>
      </c>
    </row>
    <row r="49" spans="1:8" x14ac:dyDescent="0.25">
      <c r="A49" s="4" t="s">
        <v>764</v>
      </c>
      <c r="B49">
        <v>4</v>
      </c>
    </row>
    <row r="50" spans="1:8" x14ac:dyDescent="0.25">
      <c r="A50" s="4" t="s">
        <v>765</v>
      </c>
      <c r="B50">
        <v>26</v>
      </c>
    </row>
    <row r="51" spans="1:8" x14ac:dyDescent="0.25">
      <c r="A51" s="4" t="s">
        <v>766</v>
      </c>
      <c r="B51">
        <v>31</v>
      </c>
    </row>
    <row r="52" spans="1:8" x14ac:dyDescent="0.25">
      <c r="A52" s="4" t="s">
        <v>767</v>
      </c>
      <c r="B52">
        <v>10</v>
      </c>
    </row>
    <row r="53" spans="1:8" x14ac:dyDescent="0.25">
      <c r="A53" s="4" t="s">
        <v>768</v>
      </c>
      <c r="B53">
        <v>16</v>
      </c>
    </row>
    <row r="54" spans="1:8" x14ac:dyDescent="0.25">
      <c r="A54" s="4" t="s">
        <v>769</v>
      </c>
      <c r="B54">
        <v>10</v>
      </c>
    </row>
    <row r="55" spans="1:8" x14ac:dyDescent="0.25">
      <c r="A55" s="4" t="s">
        <v>133</v>
      </c>
      <c r="B55">
        <v>78</v>
      </c>
    </row>
    <row r="56" spans="1:8" x14ac:dyDescent="0.25">
      <c r="A56" s="4" t="s">
        <v>770</v>
      </c>
      <c r="B56">
        <v>144</v>
      </c>
    </row>
    <row r="57" spans="1:8" x14ac:dyDescent="0.25">
      <c r="A57" s="4" t="s">
        <v>259</v>
      </c>
      <c r="B57">
        <v>55</v>
      </c>
    </row>
    <row r="58" spans="1:8" x14ac:dyDescent="0.25">
      <c r="A58" s="4" t="s">
        <v>114</v>
      </c>
      <c r="B58">
        <v>143</v>
      </c>
    </row>
    <row r="59" spans="1:8" x14ac:dyDescent="0.25">
      <c r="A59" s="4" t="s">
        <v>279</v>
      </c>
      <c r="B59">
        <v>1681</v>
      </c>
    </row>
    <row r="60" spans="1:8" x14ac:dyDescent="0.25">
      <c r="A60" s="4" t="s">
        <v>130</v>
      </c>
      <c r="C60">
        <v>120</v>
      </c>
      <c r="D60">
        <v>0</v>
      </c>
      <c r="E60">
        <v>9</v>
      </c>
      <c r="F60">
        <v>8</v>
      </c>
      <c r="G60">
        <v>135</v>
      </c>
      <c r="H60">
        <v>255</v>
      </c>
    </row>
    <row r="61" spans="1:8" x14ac:dyDescent="0.25">
      <c r="A61" s="4" t="s">
        <v>61</v>
      </c>
      <c r="C61">
        <v>131</v>
      </c>
      <c r="D61">
        <v>0</v>
      </c>
      <c r="E61">
        <v>10</v>
      </c>
      <c r="F61">
        <v>5</v>
      </c>
      <c r="G61">
        <v>209</v>
      </c>
      <c r="H61">
        <v>340</v>
      </c>
    </row>
    <row r="62" spans="1:8" x14ac:dyDescent="0.25">
      <c r="A62" s="4" t="s">
        <v>358</v>
      </c>
      <c r="C62">
        <v>39</v>
      </c>
      <c r="D62">
        <v>0</v>
      </c>
      <c r="E62">
        <v>0</v>
      </c>
      <c r="F62">
        <v>11</v>
      </c>
      <c r="G62">
        <v>16</v>
      </c>
      <c r="H62">
        <v>55</v>
      </c>
    </row>
    <row r="63" spans="1:8" x14ac:dyDescent="0.25">
      <c r="A63" s="4" t="s">
        <v>443</v>
      </c>
      <c r="C63">
        <v>51</v>
      </c>
      <c r="D63">
        <v>0</v>
      </c>
      <c r="E63">
        <v>2</v>
      </c>
      <c r="F63">
        <v>3</v>
      </c>
      <c r="G63">
        <v>29</v>
      </c>
      <c r="H63">
        <v>80</v>
      </c>
    </row>
    <row r="64" spans="1:8" x14ac:dyDescent="0.25">
      <c r="A64" s="4" t="s">
        <v>78</v>
      </c>
      <c r="B64">
        <v>377</v>
      </c>
    </row>
    <row r="65" spans="1:8" x14ac:dyDescent="0.25">
      <c r="A65" s="4" t="s">
        <v>298</v>
      </c>
      <c r="B65">
        <v>31</v>
      </c>
    </row>
    <row r="66" spans="1:8" x14ac:dyDescent="0.25">
      <c r="A66" s="4" t="s">
        <v>771</v>
      </c>
      <c r="B66">
        <v>69</v>
      </c>
    </row>
    <row r="67" spans="1:8" x14ac:dyDescent="0.25">
      <c r="A67" s="4" t="s">
        <v>125</v>
      </c>
      <c r="C67">
        <v>15</v>
      </c>
      <c r="D67">
        <v>0</v>
      </c>
      <c r="E67">
        <v>3</v>
      </c>
      <c r="F67">
        <v>2</v>
      </c>
      <c r="G67">
        <v>10</v>
      </c>
      <c r="H67">
        <v>25</v>
      </c>
    </row>
    <row r="68" spans="1:8" x14ac:dyDescent="0.25">
      <c r="A68" s="4" t="s">
        <v>81</v>
      </c>
      <c r="B68">
        <v>596</v>
      </c>
      <c r="C68">
        <v>78</v>
      </c>
      <c r="D68">
        <v>0</v>
      </c>
      <c r="E68">
        <v>8</v>
      </c>
      <c r="F68">
        <v>10</v>
      </c>
      <c r="G68">
        <v>247</v>
      </c>
      <c r="H68">
        <v>325</v>
      </c>
    </row>
    <row r="69" spans="1:8" x14ac:dyDescent="0.25">
      <c r="A69" s="4" t="s">
        <v>102</v>
      </c>
      <c r="B69">
        <v>218</v>
      </c>
      <c r="C69">
        <v>20</v>
      </c>
      <c r="D69">
        <v>0</v>
      </c>
      <c r="E69">
        <v>4</v>
      </c>
      <c r="F69">
        <v>1</v>
      </c>
      <c r="G69">
        <v>5</v>
      </c>
      <c r="H69">
        <v>25</v>
      </c>
    </row>
    <row r="70" spans="1:8" x14ac:dyDescent="0.25">
      <c r="A70" s="4" t="s">
        <v>591</v>
      </c>
      <c r="B70">
        <v>84</v>
      </c>
    </row>
    <row r="71" spans="1:8" x14ac:dyDescent="0.25">
      <c r="A71" s="4" t="s">
        <v>120</v>
      </c>
      <c r="B71">
        <v>21</v>
      </c>
    </row>
    <row r="72" spans="1:8" x14ac:dyDescent="0.25">
      <c r="A72" s="4" t="s">
        <v>121</v>
      </c>
      <c r="B72">
        <v>80</v>
      </c>
      <c r="C72">
        <v>167</v>
      </c>
      <c r="D72">
        <v>0</v>
      </c>
      <c r="E72">
        <v>23</v>
      </c>
      <c r="F72">
        <v>13</v>
      </c>
      <c r="G72">
        <v>93</v>
      </c>
      <c r="H72">
        <v>260</v>
      </c>
    </row>
    <row r="73" spans="1:8" x14ac:dyDescent="0.25">
      <c r="A73" s="4" t="s">
        <v>129</v>
      </c>
      <c r="B73">
        <v>221</v>
      </c>
      <c r="G73">
        <v>25</v>
      </c>
      <c r="H73">
        <v>25</v>
      </c>
    </row>
    <row r="74" spans="1:8" x14ac:dyDescent="0.25">
      <c r="A74" s="4" t="s">
        <v>772</v>
      </c>
      <c r="B74">
        <v>4</v>
      </c>
    </row>
    <row r="75" spans="1:8" x14ac:dyDescent="0.25">
      <c r="A75" s="4" t="s">
        <v>610</v>
      </c>
      <c r="B75">
        <v>100</v>
      </c>
    </row>
    <row r="76" spans="1:8" x14ac:dyDescent="0.25">
      <c r="A76" s="4" t="s">
        <v>773</v>
      </c>
      <c r="B76">
        <v>4</v>
      </c>
    </row>
    <row r="77" spans="1:8" x14ac:dyDescent="0.25">
      <c r="A77" s="4" t="s">
        <v>97</v>
      </c>
      <c r="B77">
        <v>49</v>
      </c>
      <c r="C77">
        <v>26</v>
      </c>
      <c r="D77">
        <v>0</v>
      </c>
      <c r="E77">
        <v>0</v>
      </c>
      <c r="F77">
        <v>0</v>
      </c>
      <c r="G77">
        <v>-1</v>
      </c>
      <c r="H77">
        <v>25</v>
      </c>
    </row>
    <row r="78" spans="1:8" x14ac:dyDescent="0.25">
      <c r="A78" s="4" t="s">
        <v>101</v>
      </c>
      <c r="B78">
        <v>1419</v>
      </c>
      <c r="C78">
        <v>186</v>
      </c>
      <c r="D78">
        <v>1</v>
      </c>
      <c r="E78">
        <v>37</v>
      </c>
      <c r="F78">
        <v>20</v>
      </c>
      <c r="G78">
        <v>118</v>
      </c>
      <c r="H78">
        <v>305</v>
      </c>
    </row>
    <row r="79" spans="1:8" x14ac:dyDescent="0.25">
      <c r="A79" s="4" t="s">
        <v>300</v>
      </c>
      <c r="B79">
        <v>132</v>
      </c>
      <c r="C79">
        <v>23</v>
      </c>
      <c r="D79">
        <v>0</v>
      </c>
      <c r="E79">
        <v>2</v>
      </c>
      <c r="F79">
        <v>0</v>
      </c>
      <c r="G79">
        <v>2</v>
      </c>
      <c r="H79">
        <v>25</v>
      </c>
    </row>
    <row r="80" spans="1:8" x14ac:dyDescent="0.25">
      <c r="A80" s="4" t="s">
        <v>359</v>
      </c>
      <c r="B80">
        <v>94</v>
      </c>
      <c r="C80">
        <v>6</v>
      </c>
      <c r="D80">
        <v>0</v>
      </c>
      <c r="E80">
        <v>5</v>
      </c>
      <c r="F80">
        <v>0</v>
      </c>
      <c r="G80">
        <v>19</v>
      </c>
      <c r="H80">
        <v>25</v>
      </c>
    </row>
    <row r="81" spans="1:8" x14ac:dyDescent="0.25">
      <c r="A81" s="4" t="s">
        <v>467</v>
      </c>
      <c r="B81">
        <v>41</v>
      </c>
    </row>
    <row r="82" spans="1:8" x14ac:dyDescent="0.25">
      <c r="A82" s="4" t="s">
        <v>774</v>
      </c>
      <c r="B82">
        <v>9</v>
      </c>
    </row>
    <row r="83" spans="1:8" x14ac:dyDescent="0.25">
      <c r="A83" s="4" t="s">
        <v>116</v>
      </c>
      <c r="B83">
        <v>33</v>
      </c>
    </row>
    <row r="84" spans="1:8" x14ac:dyDescent="0.25">
      <c r="A84" s="4" t="s">
        <v>616</v>
      </c>
      <c r="B84">
        <v>73</v>
      </c>
    </row>
    <row r="85" spans="1:8" x14ac:dyDescent="0.25">
      <c r="A85" s="4" t="s">
        <v>122</v>
      </c>
      <c r="B85">
        <v>177</v>
      </c>
      <c r="G85">
        <v>30</v>
      </c>
      <c r="H85">
        <v>30</v>
      </c>
    </row>
    <row r="86" spans="1:8" x14ac:dyDescent="0.25">
      <c r="A86" s="4" t="s">
        <v>71</v>
      </c>
      <c r="B86">
        <v>88</v>
      </c>
    </row>
    <row r="87" spans="1:8" x14ac:dyDescent="0.25">
      <c r="A87" s="4" t="s">
        <v>117</v>
      </c>
      <c r="B87">
        <v>144</v>
      </c>
      <c r="C87">
        <v>20</v>
      </c>
      <c r="D87">
        <v>0</v>
      </c>
      <c r="E87">
        <v>2</v>
      </c>
      <c r="F87">
        <v>7</v>
      </c>
      <c r="G87">
        <v>30</v>
      </c>
      <c r="H87">
        <v>50</v>
      </c>
    </row>
    <row r="88" spans="1:8" x14ac:dyDescent="0.25">
      <c r="A88" s="4" t="s">
        <v>618</v>
      </c>
      <c r="B88">
        <v>4</v>
      </c>
    </row>
    <row r="89" spans="1:8" x14ac:dyDescent="0.25">
      <c r="A89" s="4" t="s">
        <v>776</v>
      </c>
      <c r="B89">
        <v>7</v>
      </c>
    </row>
    <row r="90" spans="1:8" x14ac:dyDescent="0.25">
      <c r="A90" s="4" t="s">
        <v>51</v>
      </c>
      <c r="B90">
        <v>378</v>
      </c>
      <c r="C90">
        <v>41</v>
      </c>
      <c r="D90">
        <v>0</v>
      </c>
      <c r="E90">
        <v>6</v>
      </c>
      <c r="F90">
        <v>1</v>
      </c>
      <c r="G90">
        <v>119</v>
      </c>
      <c r="H90">
        <v>160</v>
      </c>
    </row>
    <row r="91" spans="1:8" x14ac:dyDescent="0.25">
      <c r="A91" s="4" t="s">
        <v>360</v>
      </c>
      <c r="B91">
        <v>22861</v>
      </c>
      <c r="C91">
        <v>10607</v>
      </c>
      <c r="D91">
        <v>151</v>
      </c>
      <c r="E91">
        <v>1270</v>
      </c>
      <c r="F91">
        <v>192</v>
      </c>
      <c r="G91">
        <v>250977</v>
      </c>
      <c r="H91">
        <v>261735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E3317-33E4-4429-8800-0B69D62EC4D0}">
  <sheetPr>
    <tabColor rgb="FFFF0000"/>
  </sheetPr>
  <dimension ref="A3:AO131"/>
  <sheetViews>
    <sheetView topLeftCell="A113" workbookViewId="0">
      <selection activeCell="F128" sqref="F128"/>
    </sheetView>
  </sheetViews>
  <sheetFormatPr defaultColWidth="14.28515625" defaultRowHeight="15" x14ac:dyDescent="0.25"/>
  <cols>
    <col min="1" max="1" width="14.28515625" style="4"/>
    <col min="2" max="2" width="61" style="4" customWidth="1"/>
    <col min="3" max="3" width="14.28515625" style="4"/>
    <col min="4" max="4" width="10.5703125" style="4" customWidth="1"/>
    <col min="5" max="5" width="15.5703125" style="4" customWidth="1"/>
    <col min="6" max="16384" width="14.28515625" style="4"/>
  </cols>
  <sheetData>
    <row r="3" spans="1:39" s="333" customFormat="1" x14ac:dyDescent="0.25">
      <c r="A3" s="333" t="s">
        <v>7</v>
      </c>
      <c r="B3" s="333" t="s">
        <v>8</v>
      </c>
      <c r="C3" s="333" t="s">
        <v>9</v>
      </c>
      <c r="D3" s="333" t="s">
        <v>10</v>
      </c>
      <c r="E3" s="333" t="s">
        <v>11</v>
      </c>
      <c r="F3" s="333" t="s">
        <v>12</v>
      </c>
      <c r="G3" s="333" t="s">
        <v>13</v>
      </c>
      <c r="H3" s="333" t="s">
        <v>14</v>
      </c>
      <c r="I3" s="333" t="s">
        <v>15</v>
      </c>
      <c r="J3" s="333" t="s">
        <v>16</v>
      </c>
      <c r="K3" s="333" t="s">
        <v>17</v>
      </c>
      <c r="L3" s="333" t="s">
        <v>18</v>
      </c>
      <c r="M3" s="333" t="s">
        <v>19</v>
      </c>
      <c r="N3" s="333" t="s">
        <v>20</v>
      </c>
      <c r="O3" s="333" t="s">
        <v>21</v>
      </c>
      <c r="P3" s="333" t="s">
        <v>22</v>
      </c>
      <c r="Q3" s="333" t="s">
        <v>23</v>
      </c>
      <c r="R3" s="333" t="s">
        <v>24</v>
      </c>
      <c r="S3" s="333" t="s">
        <v>25</v>
      </c>
      <c r="T3" s="333" t="s">
        <v>26</v>
      </c>
      <c r="U3" s="333" t="s">
        <v>27</v>
      </c>
      <c r="V3" s="333" t="s">
        <v>28</v>
      </c>
      <c r="W3" s="333" t="s">
        <v>29</v>
      </c>
      <c r="X3" s="333" t="s">
        <v>30</v>
      </c>
      <c r="Y3" s="333" t="s">
        <v>31</v>
      </c>
      <c r="Z3" s="333" t="s">
        <v>32</v>
      </c>
      <c r="AA3" s="333" t="s">
        <v>33</v>
      </c>
      <c r="AB3" s="333" t="s">
        <v>34</v>
      </c>
      <c r="AC3" s="333" t="s">
        <v>35</v>
      </c>
      <c r="AD3" s="333" t="s">
        <v>36</v>
      </c>
      <c r="AE3" s="333" t="s">
        <v>37</v>
      </c>
    </row>
    <row r="4" spans="1:39" s="158" customFormat="1" x14ac:dyDescent="0.25">
      <c r="A4" s="77"/>
      <c r="B4" s="77" t="s">
        <v>38</v>
      </c>
      <c r="C4" s="77" t="s">
        <v>39</v>
      </c>
      <c r="D4" s="77" t="s">
        <v>40</v>
      </c>
      <c r="E4" s="77" t="s">
        <v>41</v>
      </c>
      <c r="F4" s="328">
        <v>45973</v>
      </c>
      <c r="G4" s="328">
        <v>45974</v>
      </c>
      <c r="H4" s="328" t="s">
        <v>42</v>
      </c>
      <c r="I4" s="334">
        <v>0.33333333333333331</v>
      </c>
      <c r="J4" s="334"/>
      <c r="K4" s="328"/>
      <c r="L4" s="328"/>
      <c r="M4" s="328"/>
      <c r="N4" s="328"/>
      <c r="O4" s="328"/>
      <c r="P4" s="77" t="s">
        <v>43</v>
      </c>
      <c r="Q4" s="77"/>
      <c r="R4" s="77"/>
      <c r="S4" s="77">
        <v>30</v>
      </c>
      <c r="T4" s="77">
        <v>16</v>
      </c>
      <c r="U4" s="335">
        <v>2</v>
      </c>
      <c r="V4" s="335">
        <v>0</v>
      </c>
      <c r="W4" s="77"/>
      <c r="X4" s="77"/>
      <c r="Y4" s="335"/>
      <c r="Z4" s="335"/>
      <c r="AA4" s="77"/>
      <c r="AB4" s="77"/>
      <c r="AC4" s="77"/>
      <c r="AD4" s="77"/>
      <c r="AE4" s="77"/>
      <c r="AF4" s="77">
        <v>1</v>
      </c>
      <c r="AG4" s="77" t="s">
        <v>44</v>
      </c>
    </row>
    <row r="5" spans="1:39" s="158" customFormat="1" x14ac:dyDescent="0.25">
      <c r="A5" s="77"/>
      <c r="B5" s="77" t="s">
        <v>38</v>
      </c>
      <c r="C5" s="77" t="s">
        <v>39</v>
      </c>
      <c r="D5" s="77" t="s">
        <v>40</v>
      </c>
      <c r="E5" s="77" t="s">
        <v>41</v>
      </c>
      <c r="F5" s="328">
        <v>45979</v>
      </c>
      <c r="G5" s="328">
        <v>45980</v>
      </c>
      <c r="H5" s="328" t="s">
        <v>42</v>
      </c>
      <c r="I5" s="334">
        <v>0.33333333333333331</v>
      </c>
      <c r="J5" s="334"/>
      <c r="K5" s="328"/>
      <c r="L5" s="328"/>
      <c r="M5" s="328"/>
      <c r="N5" s="328"/>
      <c r="O5" s="328"/>
      <c r="P5" s="77" t="s">
        <v>43</v>
      </c>
      <c r="Q5" s="77"/>
      <c r="R5" s="77"/>
      <c r="S5" s="77">
        <v>30</v>
      </c>
      <c r="T5" s="77">
        <v>16</v>
      </c>
      <c r="U5" s="335">
        <v>2</v>
      </c>
      <c r="V5" s="335">
        <v>0</v>
      </c>
      <c r="W5" s="77"/>
      <c r="X5" s="77"/>
      <c r="Y5" s="335"/>
      <c r="Z5" s="335"/>
      <c r="AA5" s="77"/>
      <c r="AB5" s="77"/>
      <c r="AC5" s="77"/>
      <c r="AD5" s="77"/>
      <c r="AE5" s="77"/>
      <c r="AF5" s="77">
        <v>1</v>
      </c>
      <c r="AG5" s="77" t="s">
        <v>44</v>
      </c>
    </row>
    <row r="6" spans="1:39" s="158" customFormat="1" x14ac:dyDescent="0.25">
      <c r="A6" s="327">
        <v>45861</v>
      </c>
      <c r="B6" s="77" t="s">
        <v>45</v>
      </c>
      <c r="C6" s="77" t="str">
        <f>VLOOKUP(Table2[[#This Row],[Course Title]],'TSD-Data'!$A$1:$E$71,2,FALSE)</f>
        <v>A-493-2501</v>
      </c>
      <c r="D6" s="77" t="str">
        <f>VLOOKUP(Table2[[#This Row],[Course Title]],'TSD-Data'!$A$1:$E$71,3,FALSE)</f>
        <v>05ZE</v>
      </c>
      <c r="E6" s="77" t="s">
        <v>46</v>
      </c>
      <c r="F6" s="328">
        <v>46252</v>
      </c>
      <c r="G6" s="328">
        <v>46254</v>
      </c>
      <c r="H6" s="336" t="s">
        <v>47</v>
      </c>
      <c r="I6" s="334">
        <v>0.33333333333333331</v>
      </c>
      <c r="J6" s="334"/>
      <c r="K6" s="334"/>
      <c r="L6" s="328"/>
      <c r="M6" s="328"/>
      <c r="N6" s="328"/>
      <c r="O6" s="328"/>
      <c r="P6" s="328"/>
      <c r="Q6" s="77" t="s">
        <v>48</v>
      </c>
      <c r="R6" s="77"/>
      <c r="S6" s="77"/>
      <c r="T6" s="77">
        <f>VLOOKUP(Table2[[#This Row],[Course Title]],'TSD-Data'!$A$1:$E$71,4,FALSE)</f>
        <v>30</v>
      </c>
      <c r="U6" s="77">
        <f>VLOOKUP(Table2[[#This Row],[Course Title]],'TSD-Data'!$A$1:$F$71,6,FALSE)</f>
        <v>8</v>
      </c>
      <c r="V6" s="335">
        <f>VLOOKUP(Table2[[#This Row],[Course Title]],'TSD-Data'!$A$1:$F$71,5,FALSE)</f>
        <v>1</v>
      </c>
      <c r="W6" s="335">
        <v>30</v>
      </c>
      <c r="X6" s="77"/>
      <c r="Y6" s="77"/>
      <c r="Z6" s="335"/>
      <c r="AA6" s="335"/>
      <c r="AB6" s="77"/>
      <c r="AC6" s="77"/>
      <c r="AD6" s="77"/>
      <c r="AE6" s="77"/>
      <c r="AF6" s="77"/>
      <c r="AG6" s="77">
        <v>4</v>
      </c>
      <c r="AH6" s="77" t="str">
        <f>VLOOKUP(Table2[[#This Row],[Course Title]],'TSD-Data'!$A$1:$G$71,7,FALSE)</f>
        <v>N4</v>
      </c>
    </row>
    <row r="7" spans="1:39" s="158" customFormat="1" x14ac:dyDescent="0.25">
      <c r="A7" s="327">
        <v>45890</v>
      </c>
      <c r="B7" s="190" t="s">
        <v>49</v>
      </c>
      <c r="C7" s="77" t="str">
        <f>VLOOKUP(Table2[[#This Row],[Course Title]],'TSD-Data'!$A$1:$E$71,2,FALSE)</f>
        <v>A-493-0103</v>
      </c>
      <c r="D7" s="77" t="str">
        <f>VLOOKUP(Table2[[#This Row],[Course Title]],'TSD-Data'!$A$1:$E$71,3,FALSE)</f>
        <v>12JY</v>
      </c>
      <c r="E7" s="190" t="s">
        <v>50</v>
      </c>
      <c r="F7" s="336">
        <v>45936</v>
      </c>
      <c r="G7" s="336">
        <v>45940</v>
      </c>
      <c r="H7" s="329" t="s">
        <v>42</v>
      </c>
      <c r="I7" s="158">
        <v>8000</v>
      </c>
    </row>
    <row r="8" spans="1:39" s="158" customFormat="1" x14ac:dyDescent="0.25">
      <c r="A8" s="327">
        <v>45896</v>
      </c>
      <c r="B8" s="77" t="s">
        <v>38</v>
      </c>
      <c r="C8" s="77" t="str">
        <f>VLOOKUP(Table2[[#This Row],[Course Title]],'TSD-Data'!$A$1:$E$71,2,FALSE)</f>
        <v>A-493-0061</v>
      </c>
      <c r="D8" s="77" t="str">
        <f>VLOOKUP(Table2[[#This Row],[Course Title]],'TSD-Data'!$A$1:$E$71,3,FALSE)</f>
        <v>288E</v>
      </c>
      <c r="E8" s="77" t="s">
        <v>51</v>
      </c>
      <c r="F8" s="328">
        <v>46071</v>
      </c>
      <c r="G8" s="328">
        <v>46072</v>
      </c>
      <c r="H8" s="328" t="s">
        <v>42</v>
      </c>
      <c r="I8" s="334">
        <v>0.33333333333333331</v>
      </c>
      <c r="J8" s="334"/>
      <c r="K8" s="328"/>
      <c r="L8" s="328"/>
      <c r="M8" s="328"/>
      <c r="N8" s="328"/>
      <c r="O8" s="328"/>
      <c r="P8" s="77" t="s">
        <v>43</v>
      </c>
      <c r="Q8" s="77"/>
      <c r="R8" s="77"/>
      <c r="S8" s="77">
        <f>VLOOKUP(Table2[[#This Row],[Course Title]],'TSD-Data'!$A$1:$E$71,4,FALSE)</f>
        <v>45</v>
      </c>
      <c r="T8" s="77">
        <f>VLOOKUP(Table2[[#This Row],[Course Title]],'TSD-Data'!$A$1:$F$71,6,FALSE)</f>
        <v>30</v>
      </c>
      <c r="U8" s="335">
        <f>VLOOKUP(Table2[[#This Row],[Course Title]],'TSD-Data'!$A$1:$F$71,5,FALSE)</f>
        <v>4</v>
      </c>
      <c r="V8" s="335">
        <v>0</v>
      </c>
      <c r="W8" s="77"/>
      <c r="X8" s="77"/>
      <c r="Y8" s="335"/>
      <c r="Z8" s="335"/>
      <c r="AA8" s="77"/>
      <c r="AB8" s="77"/>
      <c r="AC8" s="77"/>
      <c r="AD8" s="77"/>
      <c r="AE8" s="335">
        <f ca="1">Table2[[#This Row],[End Date]]+2-TODAY()</f>
        <v>-303</v>
      </c>
      <c r="AF8" s="77">
        <f>IF(ISBLANK(Table2[[#This Row],[Roster Received by]]),1,0)</f>
        <v>0</v>
      </c>
      <c r="AG8" s="77">
        <f ca="1">IF(Table2[[#This Row],[Start Date]]&gt;TODAY(),1,)</f>
        <v>0</v>
      </c>
      <c r="AH8" s="77">
        <f>IF(ISBLANK(Table2[[#This Row],[Primary Instructor]]),0,1)</f>
        <v>1</v>
      </c>
      <c r="AI8" s="77">
        <f>IF(ISBLANK(Table2[[#This Row],[Instructor 2]]),0,1)</f>
        <v>0</v>
      </c>
      <c r="AJ8" s="77">
        <f>Table2[[#This Row],[Course Length (Hours)]]/(SUM(Table2[[#This Row],[1 Instructor]:[2 Instructors]]))</f>
        <v>30</v>
      </c>
      <c r="AK8" s="77"/>
      <c r="AL8" s="337">
        <v>2</v>
      </c>
      <c r="AM8" s="77" t="str">
        <f>VLOOKUP(Table2[[#This Row],[Course Title]],'TSD-Data'!$A$1:$G$71,7,FALSE)</f>
        <v>N5</v>
      </c>
    </row>
    <row r="9" spans="1:39" s="158" customFormat="1" x14ac:dyDescent="0.25">
      <c r="A9" s="327">
        <v>45896</v>
      </c>
      <c r="B9" s="77" t="s">
        <v>38</v>
      </c>
      <c r="C9" s="77" t="str">
        <f>VLOOKUP(Table2[[#This Row],[Course Title]],'TSD-Data'!$A$1:$E$71,2,FALSE)</f>
        <v>A-322-2604</v>
      </c>
      <c r="D9" s="77" t="str">
        <f>VLOOKUP(Table2[[#This Row],[Course Title]],'TSD-Data'!$A$1:$E$71,3,FALSE)</f>
        <v>10ZZ</v>
      </c>
      <c r="E9" s="77" t="s">
        <v>51</v>
      </c>
      <c r="F9" s="328">
        <v>46077</v>
      </c>
      <c r="G9" s="328">
        <v>46078</v>
      </c>
      <c r="H9" s="328" t="s">
        <v>42</v>
      </c>
      <c r="I9" s="334">
        <v>0.33333333333333331</v>
      </c>
      <c r="J9" s="334"/>
      <c r="K9" s="328"/>
      <c r="L9" s="328"/>
      <c r="M9" s="328"/>
      <c r="N9" s="328"/>
      <c r="O9" s="328"/>
      <c r="P9" s="77" t="s">
        <v>43</v>
      </c>
      <c r="Q9" s="77"/>
      <c r="R9" s="77"/>
      <c r="S9" s="77">
        <f>VLOOKUP(Table2[[#This Row],[Course Title]],'TSD-Data'!$A$1:$E$71,4,FALSE)</f>
        <v>45</v>
      </c>
      <c r="T9" s="77">
        <f>VLOOKUP(Table2[[#This Row],[Course Title]],'TSD-Data'!$A$1:$F$71,6,FALSE)</f>
        <v>24</v>
      </c>
      <c r="U9" s="335">
        <f>VLOOKUP(Table2[[#This Row],[Course Title]],'TSD-Data'!$A$1:$F$71,5,FALSE)</f>
        <v>3</v>
      </c>
      <c r="V9" s="335">
        <v>0</v>
      </c>
      <c r="W9" s="77"/>
      <c r="X9" s="77"/>
      <c r="Y9" s="335"/>
      <c r="Z9" s="335"/>
      <c r="AA9" s="77"/>
      <c r="AB9" s="77"/>
      <c r="AC9" s="77"/>
      <c r="AD9" s="77"/>
      <c r="AE9" s="335">
        <f ca="1">Table2[[#This Row],[End Date]]+2-TODAY()</f>
        <v>-304</v>
      </c>
      <c r="AF9" s="77">
        <f>IF(ISBLANK(Table2[[#This Row],[Roster Received by]]),1,0)</f>
        <v>0</v>
      </c>
      <c r="AG9" s="77">
        <f ca="1">IF(Table2[[#This Row],[Start Date]]&gt;TODAY(),1,)</f>
        <v>0</v>
      </c>
      <c r="AH9" s="77">
        <f>IF(ISBLANK(Table2[[#This Row],[Primary Instructor]]),0,1)</f>
        <v>1</v>
      </c>
      <c r="AI9" s="77">
        <f>IF(ISBLANK(Table2[[#This Row],[Instructor 2]]),0,1)</f>
        <v>0</v>
      </c>
      <c r="AJ9" s="77">
        <f>Table2[[#This Row],[Course Length (Hours)]]/(SUM(Table2[[#This Row],[1 Instructor]:[2 Instructors]]))</f>
        <v>24</v>
      </c>
      <c r="AK9" s="77"/>
      <c r="AL9" s="337">
        <v>2</v>
      </c>
      <c r="AM9" s="77" t="str">
        <f>VLOOKUP(Table2[[#This Row],[Course Title]],'TSD-Data'!$A$1:$G$71,7,FALSE)</f>
        <v>N8</v>
      </c>
    </row>
    <row r="10" spans="1:39" s="158" customFormat="1" x14ac:dyDescent="0.25">
      <c r="A10" s="327">
        <v>45896</v>
      </c>
      <c r="B10" s="77" t="s">
        <v>38</v>
      </c>
      <c r="C10" s="77" t="str">
        <f>VLOOKUP(Table2[[#This Row],[Course Title]],'TSD-Data'!$A$1:$E$71,2,FALSE)</f>
        <v>A-493-0078</v>
      </c>
      <c r="D10" s="77">
        <f>VLOOKUP(Table2[[#This Row],[Course Title]],'TSD-Data'!$A$1:$E$71,3,FALSE)</f>
        <v>1228</v>
      </c>
      <c r="E10" s="77" t="s">
        <v>52</v>
      </c>
      <c r="F10" s="328">
        <v>46084</v>
      </c>
      <c r="G10" s="328">
        <v>46085</v>
      </c>
      <c r="H10" s="328" t="s">
        <v>42</v>
      </c>
      <c r="I10" s="334">
        <v>0.33333333333333331</v>
      </c>
      <c r="J10" s="334"/>
      <c r="K10" s="328"/>
      <c r="L10" s="328"/>
      <c r="M10" s="328"/>
      <c r="N10" s="328"/>
      <c r="O10" s="328"/>
      <c r="P10" s="77" t="s">
        <v>43</v>
      </c>
      <c r="Q10" s="77"/>
      <c r="R10" s="77"/>
      <c r="S10" s="77">
        <f>VLOOKUP(Table2[[#This Row],[Course Title]],'TSD-Data'!$A$1:$E$71,4,FALSE)</f>
        <v>45</v>
      </c>
      <c r="T10" s="77">
        <f>VLOOKUP(Table2[[#This Row],[Course Title]],'TSD-Data'!$A$1:$F$71,6,FALSE)</f>
        <v>32</v>
      </c>
      <c r="U10" s="335">
        <f>VLOOKUP(Table2[[#This Row],[Course Title]],'TSD-Data'!$A$1:$F$71,5,FALSE)</f>
        <v>4</v>
      </c>
      <c r="V10" s="335">
        <v>0</v>
      </c>
      <c r="W10" s="77"/>
      <c r="X10" s="77"/>
      <c r="Y10" s="335"/>
      <c r="Z10" s="335"/>
      <c r="AA10" s="77"/>
      <c r="AB10" s="77"/>
      <c r="AC10" s="77"/>
      <c r="AD10" s="77"/>
      <c r="AE10" s="335">
        <f ca="1">Table2[[#This Row],[End Date]]+2-TODAY()</f>
        <v>-303</v>
      </c>
      <c r="AF10" s="77">
        <f>IF(ISBLANK(Table2[[#This Row],[Roster Received by]]),1,0)</f>
        <v>0</v>
      </c>
      <c r="AG10" s="77">
        <f ca="1">IF(Table2[[#This Row],[Start Date]]&gt;TODAY(),1,)</f>
        <v>0</v>
      </c>
      <c r="AH10" s="77">
        <f>IF(ISBLANK(Table2[[#This Row],[Primary Instructor]]),0,1)</f>
        <v>1</v>
      </c>
      <c r="AI10" s="77">
        <f>IF(ISBLANK(Table2[[#This Row],[Instructor 2]]),0,1)</f>
        <v>0</v>
      </c>
      <c r="AJ10" s="77">
        <f>Table2[[#This Row],[Course Length (Hours)]]/(SUM(Table2[[#This Row],[1 Instructor]:[2 Instructors]]))</f>
        <v>32</v>
      </c>
      <c r="AK10" s="77"/>
      <c r="AL10" s="337">
        <v>2</v>
      </c>
      <c r="AM10" s="77" t="str">
        <f>VLOOKUP(Table2[[#This Row],[Course Title]],'TSD-Data'!$A$1:$G$71,7,FALSE)</f>
        <v>N5</v>
      </c>
    </row>
    <row r="11" spans="1:39" s="158" customFormat="1" x14ac:dyDescent="0.25">
      <c r="A11" s="328">
        <v>45939</v>
      </c>
      <c r="B11" s="77" t="s">
        <v>53</v>
      </c>
      <c r="C11" s="77" t="str">
        <f>VLOOKUP(Table2[[#This Row],[Course Title]],'TSD-Data'!$A$1:$E$83,2,FALSE)</f>
        <v>A-493-0072</v>
      </c>
      <c r="D11" s="77">
        <v>1228</v>
      </c>
      <c r="E11" s="77" t="s">
        <v>54</v>
      </c>
      <c r="F11" s="328">
        <v>45950</v>
      </c>
      <c r="G11" s="328">
        <v>45953</v>
      </c>
      <c r="H11" s="328" t="s">
        <v>42</v>
      </c>
      <c r="I11" s="334"/>
      <c r="J11" s="338">
        <v>0.33333333333333331</v>
      </c>
      <c r="K11" s="334">
        <v>0.20833333333333334</v>
      </c>
      <c r="L11" s="334">
        <v>0.625</v>
      </c>
      <c r="M11" s="334">
        <v>0.54166666666666663</v>
      </c>
      <c r="N11" s="334">
        <v>8.3333333333333329E-2</v>
      </c>
      <c r="O11" s="334">
        <v>0.875</v>
      </c>
      <c r="P11" s="77" t="s">
        <v>55</v>
      </c>
      <c r="Q11" s="77"/>
      <c r="R11" s="77"/>
      <c r="S11" s="77">
        <f>VLOOKUP(Table2[[#This Row],[Course Title]],'TSD-Data'!$A$1:$E$83,4,FALSE)</f>
        <v>30</v>
      </c>
      <c r="T11" s="77">
        <f>VLOOKUP(Table2[[#This Row],[Course Title]],'TSD-Data'!$A$1:$F$83,6,FALSE)</f>
        <v>40</v>
      </c>
      <c r="U11" s="335">
        <f>VLOOKUP(Table2[[#This Row],[Course Title]],'TSD-Data'!$A$1:$F$83,5,FALSE)</f>
        <v>5</v>
      </c>
      <c r="V11" s="335">
        <v>454</v>
      </c>
      <c r="W11" s="77">
        <f>Table2[[#This Row],[Quotas]]-Table2[[#This Row],[Open Quotas]]</f>
        <v>22</v>
      </c>
      <c r="X11" s="77"/>
      <c r="Y11" s="335"/>
      <c r="Z11" s="335"/>
      <c r="AA11" s="77"/>
      <c r="AB11" s="77"/>
      <c r="AC11" s="77"/>
      <c r="AD11" s="77"/>
      <c r="AE11" s="335">
        <f ca="1">Table2[[#This Row],[End Date]]+2-TODAY()</f>
        <v>-302</v>
      </c>
      <c r="AF11" s="77">
        <f>IF(ISBLANK(Table2[[#This Row],[Roster Received by]]),1,0)</f>
        <v>0</v>
      </c>
      <c r="AG11" s="77">
        <f ca="1">IF(Table2[[#This Row],[Start Date]]&gt;TODAY(),1,)</f>
        <v>0</v>
      </c>
      <c r="AH11" s="77">
        <f>IF(ISBLANK(Table2[[#This Row],[Primary Instructor]]),0,1)</f>
        <v>1</v>
      </c>
      <c r="AI11" s="77">
        <f>IF(ISBLANK(Table2[[#This Row],[Instructor 2]]),0,1)</f>
        <v>0</v>
      </c>
      <c r="AJ11" s="77">
        <f>Table2[[#This Row],[Course Length (Hours)]]/(SUM(Table2[[#This Row],[1 Instructor]:[2 Instructors]]))</f>
        <v>40</v>
      </c>
      <c r="AK11" s="77">
        <v>22</v>
      </c>
      <c r="AL11" s="77">
        <v>1</v>
      </c>
      <c r="AM11" s="77" t="str">
        <f>VLOOKUP(Table2[[#This Row],[Course Title]],'TSD-Data'!$A$1:$G$71,7,FALSE)</f>
        <v>N3</v>
      </c>
    </row>
    <row r="12" spans="1:39" s="158" customFormat="1" x14ac:dyDescent="0.25">
      <c r="A12" s="329">
        <v>45939</v>
      </c>
      <c r="B12" s="330" t="s">
        <v>56</v>
      </c>
      <c r="C12" s="329" t="s">
        <v>57</v>
      </c>
      <c r="D12" s="329" t="s">
        <v>58</v>
      </c>
      <c r="E12" s="339" t="s">
        <v>54</v>
      </c>
      <c r="F12" s="329">
        <v>45950</v>
      </c>
      <c r="G12" s="329">
        <v>45953</v>
      </c>
      <c r="H12" s="339"/>
      <c r="I12" s="339"/>
      <c r="J12" s="339"/>
      <c r="K12" s="330"/>
      <c r="L12" s="330"/>
      <c r="M12" s="330"/>
      <c r="N12" s="330">
        <f>VLOOKUP(Table2[[#This Row],[Course Title]],'TSD-Data'!$A$1:$E$83,4,FALSE)</f>
        <v>100</v>
      </c>
      <c r="O12" s="330">
        <f>VLOOKUP(Table2[[#This Row],[Course Title]],'TSD-Data'!$A$1:$F$83,6,FALSE)</f>
        <v>16</v>
      </c>
      <c r="P12" s="340">
        <f>VLOOKUP(Table2[[#This Row],[Course Title]],'TSD-Data'!$A$1:$F$83,5,FALSE)</f>
        <v>3</v>
      </c>
      <c r="Q12" s="340">
        <v>864</v>
      </c>
      <c r="R12" s="330">
        <f>Table2[[#This Row],[Quotas]]-Table2[[#This Row],[Open Quotas]]</f>
        <v>100</v>
      </c>
      <c r="S12" s="330"/>
      <c r="T12" s="340"/>
      <c r="U12" s="340"/>
      <c r="V12" s="330"/>
      <c r="W12" s="330"/>
      <c r="X12" s="330"/>
      <c r="Y12" s="330"/>
      <c r="Z12" s="340">
        <f ca="1">Table2[[#This Row],[End Date]]+2-TODAY()</f>
        <v>-304</v>
      </c>
      <c r="AA12" s="330">
        <f>IF(ISBLANK(Table2[[#This Row],[Roster Received by]]),1,0)</f>
        <v>0</v>
      </c>
      <c r="AB12" s="330">
        <f ca="1">IF(Table2[[#This Row],[Start Date]]&gt;TODAY(),1,)</f>
        <v>0</v>
      </c>
      <c r="AC12" s="330">
        <f>IF(ISBLANK(Table2[[#This Row],[Primary Instructor]]),0,1)</f>
        <v>1</v>
      </c>
      <c r="AD12" s="330">
        <f>IF(ISBLANK(Table2[[#This Row],[Instructor 2]]),0,1)</f>
        <v>0</v>
      </c>
      <c r="AE12" s="330">
        <f>Table2[[#This Row],[Course Length (Hours)]]/(SUM(Table2[[#This Row],[1 Instructor]:[2 Instructors]]))</f>
        <v>16</v>
      </c>
      <c r="AF12" s="330">
        <v>21</v>
      </c>
      <c r="AG12" s="330">
        <v>1</v>
      </c>
      <c r="AH12" s="330" t="str">
        <f>VLOOKUP(Table2[[#This Row],[Course Title]],'TSD-Data'!$A$1:$G$71,7,FALSE)</f>
        <v>N8</v>
      </c>
    </row>
    <row r="13" spans="1:39" s="158" customFormat="1" x14ac:dyDescent="0.25">
      <c r="A13" s="327">
        <v>45944</v>
      </c>
      <c r="B13" s="331" t="s">
        <v>59</v>
      </c>
      <c r="C13" s="330" t="str">
        <f>VLOOKUP(Table2[[#This Row],[Course Title]],'TSD-Data'!$A$1:$E$83,2,FALSE)</f>
        <v>A-493-2099</v>
      </c>
      <c r="D13" s="330" t="s">
        <v>60</v>
      </c>
      <c r="E13" s="330" t="s">
        <v>61</v>
      </c>
      <c r="F13" s="341">
        <v>45944</v>
      </c>
      <c r="G13" s="341">
        <v>45944</v>
      </c>
      <c r="H13" s="329" t="s">
        <v>42</v>
      </c>
      <c r="I13" s="342">
        <v>0.33333333333333331</v>
      </c>
      <c r="J13" s="342"/>
      <c r="K13" s="329"/>
      <c r="L13" s="329"/>
      <c r="M13" s="329"/>
      <c r="N13" s="329"/>
      <c r="O13" s="329"/>
      <c r="P13" s="330" t="s">
        <v>62</v>
      </c>
      <c r="Q13" s="330"/>
      <c r="R13" s="330"/>
      <c r="S13" s="330">
        <f>VLOOKUP(Table2[[#This Row],[Course Title]],'TSD-Data'!$A$1:$E$83,4,FALSE)</f>
        <v>30</v>
      </c>
      <c r="T13" s="330">
        <f>VLOOKUP(Table2[[#This Row],[Course Title]],'TSD-Data'!$A$1:$F$83,6,FALSE)</f>
        <v>16</v>
      </c>
      <c r="U13" s="340">
        <f>VLOOKUP(Table2[[#This Row],[Course Title]],'TSD-Data'!$A$1:$F$83,5,FALSE)</f>
        <v>2</v>
      </c>
      <c r="V13" s="340">
        <v>13</v>
      </c>
      <c r="W13" s="343">
        <f>Table2[[#This Row],[Quotas]]-Table2[[#This Row],[Open Quotas]]</f>
        <v>18</v>
      </c>
      <c r="X13" s="330"/>
      <c r="Y13" s="340"/>
      <c r="Z13" s="340"/>
      <c r="AA13" s="330"/>
      <c r="AB13" s="330"/>
      <c r="AC13" s="330"/>
      <c r="AD13" s="330"/>
      <c r="AE13" s="340">
        <f ca="1">Table2[[#This Row],[End Date]]+2-TODAY()</f>
        <v>-305</v>
      </c>
      <c r="AF13" s="330">
        <f>IF(ISBLANK(Table2[[#This Row],[Roster Received by]]),1,0)</f>
        <v>0</v>
      </c>
      <c r="AG13" s="330">
        <f ca="1">IF(Table2[[#This Row],[Start Date]]&gt;TODAY(),1,)</f>
        <v>0</v>
      </c>
      <c r="AH13" s="330">
        <f>IF(ISBLANK(Table2[[#This Row],[Primary Instructor]]),0,1)</f>
        <v>1</v>
      </c>
      <c r="AI13" s="330">
        <f>IF(ISBLANK(Table2[[#This Row],[Instructor 2]]),0,1)</f>
        <v>0</v>
      </c>
      <c r="AJ13" s="330">
        <f>Table2[[#This Row],[Course Length (Hours)]]/(SUM(Table2[[#This Row],[1 Instructor]:[2 Instructors]]))</f>
        <v>16</v>
      </c>
      <c r="AK13" s="330">
        <v>11</v>
      </c>
      <c r="AL13" s="330">
        <v>1</v>
      </c>
      <c r="AM13" s="330" t="str">
        <f>VLOOKUP(Table2[[#This Row],[Course Title]],'TSD-Data'!$A$1:$G$83,7,FALSE)</f>
        <v>N8</v>
      </c>
    </row>
    <row r="14" spans="1:39" s="158" customFormat="1" x14ac:dyDescent="0.25">
      <c r="A14" s="327">
        <v>45944</v>
      </c>
      <c r="B14" s="331" t="s">
        <v>63</v>
      </c>
      <c r="C14" s="330" t="str">
        <f>VLOOKUP(Table2[[#This Row],[Course Title]],'TSD-Data'!$A$1:$E$83,2,FALSE)</f>
        <v>A-493-0550</v>
      </c>
      <c r="D14" s="330" t="str">
        <f>VLOOKUP(Table2[[#This Row],[Course Title]],'TSD-Data'!$A$1:$E$83,3,FALSE)</f>
        <v>09K5</v>
      </c>
      <c r="E14" s="330" t="s">
        <v>61</v>
      </c>
      <c r="F14" s="341">
        <v>45945</v>
      </c>
      <c r="G14" s="341">
        <v>45945</v>
      </c>
      <c r="H14" s="329" t="s">
        <v>42</v>
      </c>
      <c r="I14" s="342">
        <v>0.33333333333333331</v>
      </c>
      <c r="J14" s="344"/>
      <c r="K14" s="329"/>
      <c r="L14" s="329"/>
      <c r="M14" s="329"/>
      <c r="N14" s="329"/>
      <c r="O14" s="329"/>
      <c r="P14" s="330" t="s">
        <v>62</v>
      </c>
      <c r="Q14" s="330"/>
      <c r="R14" s="330"/>
      <c r="S14" s="330">
        <f>VLOOKUP(Table2[[#This Row],[Course Title]],'TSD-Data'!$A$1:$E$83,4,FALSE)</f>
        <v>45</v>
      </c>
      <c r="T14" s="330">
        <f>VLOOKUP(Table2[[#This Row],[Course Title]],'TSD-Data'!$A$1:$F$83,6,FALSE)</f>
        <v>32</v>
      </c>
      <c r="U14" s="340">
        <f>VLOOKUP(Table2[[#This Row],[Course Title]],'TSD-Data'!$A$1:$F$83,5,FALSE)</f>
        <v>4</v>
      </c>
      <c r="V14" s="340">
        <v>17</v>
      </c>
      <c r="W14" s="343">
        <f>Table2[[#This Row],[Quotas]]-Table2[[#This Row],[Open Quotas]]</f>
        <v>24</v>
      </c>
      <c r="X14" s="330"/>
      <c r="Y14" s="340"/>
      <c r="Z14" s="340"/>
      <c r="AA14" s="330"/>
      <c r="AB14" s="330"/>
      <c r="AC14" s="330"/>
      <c r="AD14" s="330"/>
      <c r="AE14" s="340">
        <f ca="1">Table2[[#This Row],[End Date]]+2-TODAY()</f>
        <v>-302</v>
      </c>
      <c r="AF14" s="330">
        <f>IF(ISBLANK(Table2[[#This Row],[Roster Received by]]),1,0)</f>
        <v>0</v>
      </c>
      <c r="AG14" s="330">
        <f ca="1">IF(Table2[[#This Row],[Start Date]]&gt;TODAY(),1,)</f>
        <v>0</v>
      </c>
      <c r="AH14" s="330">
        <f>IF(ISBLANK(Table2[[#This Row],[Primary Instructor]]),0,1)</f>
        <v>1</v>
      </c>
      <c r="AI14" s="330">
        <f>IF(ISBLANK(Table2[[#This Row],[Instructor 2]]),0,1)</f>
        <v>0</v>
      </c>
      <c r="AJ14" s="330">
        <f>Table2[[#This Row],[Course Length (Hours)]]/(SUM(Table2[[#This Row],[1 Instructor]:[2 Instructors]]))</f>
        <v>32</v>
      </c>
      <c r="AK14" s="330">
        <v>4</v>
      </c>
      <c r="AL14" s="330">
        <v>1</v>
      </c>
      <c r="AM14" s="330" t="str">
        <f>VLOOKUP(Table2[[#This Row],[Course Title]],'TSD-Data'!$A$1:$G$83,7,FALSE)</f>
        <v>N5</v>
      </c>
    </row>
    <row r="15" spans="1:39" s="158" customFormat="1" x14ac:dyDescent="0.25">
      <c r="A15" s="327">
        <v>45944</v>
      </c>
      <c r="B15" s="331" t="s">
        <v>64</v>
      </c>
      <c r="C15" s="330" t="str">
        <f>VLOOKUP(Table2[[#This Row],[Course Title]],'TSD-Data'!$A$1:$E$83,2,FALSE)</f>
        <v>A-493-2099</v>
      </c>
      <c r="D15" s="330" t="str">
        <f>VLOOKUP(Table2[[#This Row],[Course Title]],'TSD-Data'!$A$1:$E$83,3,FALSE)</f>
        <v>438G</v>
      </c>
      <c r="E15" s="330" t="s">
        <v>61</v>
      </c>
      <c r="F15" s="341">
        <v>45945</v>
      </c>
      <c r="G15" s="341">
        <v>45945</v>
      </c>
      <c r="H15" s="329" t="s">
        <v>42</v>
      </c>
      <c r="I15" s="342">
        <v>1300.5</v>
      </c>
      <c r="J15" s="342"/>
      <c r="K15" s="329"/>
      <c r="L15" s="329"/>
      <c r="M15" s="329"/>
      <c r="N15" s="329"/>
      <c r="O15" s="329"/>
      <c r="P15" s="330" t="s">
        <v>62</v>
      </c>
      <c r="Q15" s="330"/>
      <c r="R15" s="330"/>
      <c r="S15" s="330">
        <f>VLOOKUP(Table2[[#This Row],[Course Title]],'TSD-Data'!$A$1:$E$83,4,FALSE)</f>
        <v>30</v>
      </c>
      <c r="T15" s="330">
        <f>VLOOKUP(Table2[[#This Row],[Course Title]],'TSD-Data'!$A$1:$F$83,6,FALSE)</f>
        <v>16</v>
      </c>
      <c r="U15" s="340">
        <f>VLOOKUP(Table2[[#This Row],[Course Title]],'TSD-Data'!$A$1:$F$83,5,FALSE)</f>
        <v>2</v>
      </c>
      <c r="V15" s="340">
        <v>13</v>
      </c>
      <c r="W15" s="343">
        <f>Table2[[#This Row],[Quotas]]-Table2[[#This Row],[Open Quotas]]</f>
        <v>11</v>
      </c>
      <c r="X15" s="330"/>
      <c r="Y15" s="340"/>
      <c r="Z15" s="340"/>
      <c r="AA15" s="330"/>
      <c r="AB15" s="330"/>
      <c r="AC15" s="330"/>
      <c r="AD15" s="330"/>
      <c r="AE15" s="340">
        <f ca="1">Table2[[#This Row],[End Date]]+2-TODAY()</f>
        <v>-303</v>
      </c>
      <c r="AF15" s="330">
        <f>IF(ISBLANK(Table2[[#This Row],[Roster Received by]]),1,0)</f>
        <v>0</v>
      </c>
      <c r="AG15" s="330">
        <f ca="1">IF(Table2[[#This Row],[Start Date]]&gt;TODAY(),1,)</f>
        <v>0</v>
      </c>
      <c r="AH15" s="330">
        <f>IF(ISBLANK(Table2[[#This Row],[Primary Instructor]]),0,1)</f>
        <v>1</v>
      </c>
      <c r="AI15" s="330">
        <f>IF(ISBLANK(Table2[[#This Row],[Instructor 2]]),0,1)</f>
        <v>0</v>
      </c>
      <c r="AJ15" s="330">
        <f>Table2[[#This Row],[Course Length (Hours)]]/(SUM(Table2[[#This Row],[1 Instructor]:[2 Instructors]]))</f>
        <v>16</v>
      </c>
      <c r="AK15" s="330">
        <v>11</v>
      </c>
      <c r="AL15" s="330">
        <v>1</v>
      </c>
      <c r="AM15" s="330" t="str">
        <f>VLOOKUP(Table2[[#This Row],[Course Title]],'TSD-Data'!$A$1:$G$83,7,FALSE)</f>
        <v>N8</v>
      </c>
    </row>
    <row r="16" spans="1:39" s="158" customFormat="1" x14ac:dyDescent="0.25">
      <c r="A16" s="327">
        <v>45946</v>
      </c>
      <c r="B16" s="77" t="s">
        <v>65</v>
      </c>
      <c r="C16" s="77" t="str">
        <f>VLOOKUP(Table2[[#This Row],[Course Title]],'TSD-Data'!$A$1:$E$83,2,FALSE)</f>
        <v>A-493-0083</v>
      </c>
      <c r="D16" s="77" t="s">
        <v>66</v>
      </c>
      <c r="E16" s="77" t="s">
        <v>61</v>
      </c>
      <c r="F16" s="328">
        <v>45946</v>
      </c>
      <c r="G16" s="328">
        <v>45947</v>
      </c>
      <c r="H16" s="328" t="s">
        <v>42</v>
      </c>
      <c r="I16" s="334">
        <v>0.33333333333333331</v>
      </c>
      <c r="J16" s="334"/>
      <c r="K16" s="328"/>
      <c r="L16" s="328"/>
      <c r="M16" s="328"/>
      <c r="N16" s="328"/>
      <c r="O16" s="328"/>
      <c r="P16" s="77" t="s">
        <v>67</v>
      </c>
      <c r="Q16" s="77" t="s">
        <v>62</v>
      </c>
      <c r="R16" s="77"/>
      <c r="S16" s="77">
        <f>VLOOKUP(Table2[[#This Row],[Course Title]],'TSD-Data'!$A$1:$E$83,4,FALSE)</f>
        <v>30</v>
      </c>
      <c r="T16" s="77">
        <f>VLOOKUP(Table2[[#This Row],[Course Title]],'TSD-Data'!$A$1:$F$83,6,FALSE)</f>
        <v>8</v>
      </c>
      <c r="U16" s="335">
        <f>VLOOKUP(Table2[[#This Row],[Course Title]],'TSD-Data'!$A$1:$F$83,5,FALSE)</f>
        <v>1</v>
      </c>
      <c r="V16" s="335">
        <v>13</v>
      </c>
      <c r="W16" s="345">
        <f>Table2[[#This Row],[Quotas]]-Table2[[#This Row],[Open Quotas]]</f>
        <v>20</v>
      </c>
      <c r="X16" s="77"/>
      <c r="Y16" s="335"/>
      <c r="Z16" s="335"/>
      <c r="AA16" s="77"/>
      <c r="AB16" s="77"/>
      <c r="AC16" s="77"/>
      <c r="AD16" s="77"/>
      <c r="AE16" s="335">
        <f ca="1">Table2[[#This Row],[End Date]]+2-TODAY()</f>
        <v>-303</v>
      </c>
      <c r="AF16" s="77">
        <f>IF(ISBLANK(Table2[[#This Row],[Roster Received by]]),1,0)</f>
        <v>0</v>
      </c>
      <c r="AG16" s="77">
        <f ca="1">IF(Table2[[#This Row],[Start Date]]&gt;TODAY(),1,)</f>
        <v>0</v>
      </c>
      <c r="AH16" s="77">
        <f>IF(ISBLANK(Table2[[#This Row],[Primary Instructor]]),0,1)</f>
        <v>1</v>
      </c>
      <c r="AI16" s="77">
        <f>IF(ISBLANK(Table2[[#This Row],[Instructor 2]]),0,1)</f>
        <v>0</v>
      </c>
      <c r="AJ16" s="77">
        <f>Table2[[#This Row],[Course Length (Hours)]]/(SUM(Table2[[#This Row],[1 Instructor]:[2 Instructors]]))</f>
        <v>8</v>
      </c>
      <c r="AK16" s="346">
        <v>25</v>
      </c>
      <c r="AL16" s="77">
        <v>1</v>
      </c>
      <c r="AM16" s="77" t="str">
        <f>VLOOKUP(Table2[[#This Row],[Course Title]],'TSD-Data'!$A$1:$G$83,7,FALSE)</f>
        <v>N4</v>
      </c>
    </row>
    <row r="17" spans="1:40" s="158" customFormat="1" x14ac:dyDescent="0.25">
      <c r="A17" s="327">
        <v>45960</v>
      </c>
      <c r="B17" s="77" t="s">
        <v>45</v>
      </c>
      <c r="C17" s="77" t="s">
        <v>68</v>
      </c>
      <c r="D17" s="77">
        <v>3683</v>
      </c>
      <c r="E17" s="77" t="s">
        <v>69</v>
      </c>
      <c r="F17" s="328">
        <v>46070</v>
      </c>
      <c r="G17" s="328">
        <v>46072</v>
      </c>
    </row>
    <row r="18" spans="1:40" s="158" customFormat="1" x14ac:dyDescent="0.25">
      <c r="A18" s="327">
        <v>45986</v>
      </c>
      <c r="B18" s="77" t="s">
        <v>53</v>
      </c>
      <c r="C18" s="77" t="str">
        <f>VLOOKUP(Table2[[#This Row],[Course Title]],'TSD-Data'!$A$1:$E$83,2,FALSE)</f>
        <v>A-493-0331</v>
      </c>
      <c r="D18" s="77">
        <v>1228</v>
      </c>
      <c r="E18" s="77" t="s">
        <v>54</v>
      </c>
      <c r="F18" s="327">
        <v>45993</v>
      </c>
      <c r="G18" s="327">
        <v>45996</v>
      </c>
    </row>
    <row r="19" spans="1:40" s="158" customFormat="1" x14ac:dyDescent="0.25">
      <c r="A19" s="327">
        <v>45999</v>
      </c>
      <c r="B19" s="330" t="s">
        <v>70</v>
      </c>
      <c r="C19" s="330" t="str">
        <f>VLOOKUP(Table2[[#This Row],[Course Title]],'TSD-Data'!$A$1:$E$83,2,FALSE)</f>
        <v>A-493-0069</v>
      </c>
      <c r="D19" s="330" t="str">
        <f>VLOOKUP(Table2[[#This Row],[Course Title]],'TSD-Data'!$A$1:$E$83,3,FALSE)</f>
        <v>450U</v>
      </c>
      <c r="E19" s="330" t="s">
        <v>71</v>
      </c>
      <c r="F19" s="329">
        <v>46043</v>
      </c>
      <c r="G19" s="329">
        <v>46045</v>
      </c>
    </row>
    <row r="20" spans="1:40" s="158" customFormat="1" x14ac:dyDescent="0.25">
      <c r="A20" s="327">
        <v>46020</v>
      </c>
      <c r="B20" s="331" t="s">
        <v>72</v>
      </c>
      <c r="C20" s="330" t="str">
        <f>VLOOKUP(Table2[[#This Row],[Course Title]],'TSD-Data'!$A$1:$E$83,2,FALSE)</f>
        <v>A-493-0103</v>
      </c>
      <c r="D20" s="330">
        <v>5891</v>
      </c>
      <c r="E20" s="330" t="s">
        <v>41</v>
      </c>
      <c r="F20" s="329">
        <v>46043</v>
      </c>
      <c r="G20" s="329">
        <v>46045</v>
      </c>
      <c r="H20" s="329" t="s">
        <v>42</v>
      </c>
      <c r="I20" s="342">
        <v>0.33333333333333331</v>
      </c>
      <c r="J20" s="342"/>
      <c r="K20" s="329"/>
      <c r="L20" s="329"/>
      <c r="M20" s="329"/>
      <c r="N20" s="329"/>
      <c r="O20" s="329"/>
      <c r="P20" s="330" t="s">
        <v>67</v>
      </c>
      <c r="Q20" s="330"/>
      <c r="R20" s="330"/>
      <c r="S20" s="330">
        <f>VLOOKUP(Table2[[#This Row],[Course Title]],'TSD-Data'!$A$1:$E$83,4,FALSE)</f>
        <v>25</v>
      </c>
      <c r="T20" s="330">
        <f>VLOOKUP(Table2[[#This Row],[Course Title]],'TSD-Data'!$A$1:$F$83,6,FALSE)</f>
        <v>40</v>
      </c>
      <c r="U20" s="340">
        <f>VLOOKUP(Table2[[#This Row],[Course Title]],'TSD-Data'!$A$1:$F$83,5,FALSE)</f>
        <v>5</v>
      </c>
      <c r="V20" s="340">
        <v>42</v>
      </c>
      <c r="W20" s="330">
        <f>Table2[[#This Row],[Quotas]]-Table2[[#This Row],[Open Quotas]]</f>
        <v>25</v>
      </c>
      <c r="X20" s="330">
        <v>0</v>
      </c>
      <c r="Y20" s="340"/>
      <c r="Z20" s="340"/>
      <c r="AA20" s="330"/>
      <c r="AB20" s="330"/>
      <c r="AC20" s="330"/>
      <c r="AD20" s="330"/>
      <c r="AE20" s="340">
        <f ca="1">Table2[[#This Row],[End Date]]+2-TODAY()</f>
        <v>-288</v>
      </c>
      <c r="AF20" s="330">
        <f>IF(ISBLANK(Table2[[#This Row],[Roster Received by]]),1,0)</f>
        <v>0</v>
      </c>
      <c r="AG20" s="330">
        <f ca="1">IF(Table2[[#This Row],[Start Date]]&gt;TODAY(),1,)</f>
        <v>0</v>
      </c>
      <c r="AH20" s="330">
        <f>IF(ISBLANK(Table2[[#This Row],[Primary Instructor]]),0,1)</f>
        <v>1</v>
      </c>
      <c r="AI20" s="330">
        <f>IF(ISBLANK(Table2[[#This Row],[Instructor 2]]),0,1)</f>
        <v>0</v>
      </c>
      <c r="AJ20" s="330">
        <f>Table2[[#This Row],[Course Length (Hours)]]/(SUM(Table2[[#This Row],[1 Instructor]:[2 Instructors]]))</f>
        <v>40</v>
      </c>
      <c r="AK20" s="346">
        <v>22</v>
      </c>
      <c r="AL20" s="330">
        <v>1</v>
      </c>
      <c r="AM20" s="330" t="str">
        <f>VLOOKUP(Table2[[#This Row],[Course Title]],'TSD-Data'!$A$1:$G$83,7,FALSE)</f>
        <v>N5</v>
      </c>
    </row>
    <row r="21" spans="1:40" s="158" customFormat="1" x14ac:dyDescent="0.25">
      <c r="A21" s="327">
        <v>46031</v>
      </c>
      <c r="B21" s="330" t="s">
        <v>70</v>
      </c>
      <c r="C21" s="330" t="str">
        <f>VLOOKUP(Table2[[#This Row],[Course Title]],'TSD-Data'!$A$1:$E$83,2,FALSE)</f>
        <v>A-493-0030</v>
      </c>
      <c r="D21" s="357" t="s">
        <v>73</v>
      </c>
      <c r="E21" s="330" t="s">
        <v>74</v>
      </c>
      <c r="F21" s="329">
        <v>46062</v>
      </c>
      <c r="G21" s="329">
        <v>46064</v>
      </c>
    </row>
    <row r="22" spans="1:40" s="158" customFormat="1" x14ac:dyDescent="0.25">
      <c r="A22" s="327">
        <v>46031</v>
      </c>
      <c r="B22" s="77" t="s">
        <v>53</v>
      </c>
      <c r="C22" s="77" t="str">
        <f>VLOOKUP(Table2[[#This Row],[Course Title]],'TSD-Data'!$A$1:$E$83,2,FALSE)</f>
        <v xml:space="preserve">A-493-0075 </v>
      </c>
      <c r="D22" s="77">
        <v>1228</v>
      </c>
      <c r="E22" s="77" t="s">
        <v>54</v>
      </c>
      <c r="F22" s="327">
        <v>46034</v>
      </c>
      <c r="G22" s="327">
        <v>46037</v>
      </c>
    </row>
    <row r="23" spans="1:40" s="158" customFormat="1" x14ac:dyDescent="0.25">
      <c r="A23" s="327">
        <v>46042</v>
      </c>
      <c r="B23" s="330" t="s">
        <v>70</v>
      </c>
      <c r="C23" s="330" t="str">
        <f>VLOOKUP(Table2[[#This Row],[Course Title]],'TSD-Data'!$A$1:$E$83,2,FALSE)</f>
        <v>A-493-0012</v>
      </c>
      <c r="D23" s="357" t="s">
        <v>73</v>
      </c>
      <c r="E23" s="330" t="s">
        <v>75</v>
      </c>
      <c r="F23" s="329">
        <v>46071</v>
      </c>
      <c r="G23" s="329">
        <v>46073</v>
      </c>
    </row>
    <row r="24" spans="1:40" s="158" customFormat="1" x14ac:dyDescent="0.25">
      <c r="A24" s="327">
        <v>46048</v>
      </c>
      <c r="B24" s="332" t="s">
        <v>49</v>
      </c>
      <c r="C24" s="330" t="str">
        <f>VLOOKUP(Table2[[#This Row],[Course Title]],'TSD-Data'!$A$1:$E$83,2,FALSE)</f>
        <v>A-322-2604</v>
      </c>
      <c r="D24" s="330">
        <v>3682</v>
      </c>
      <c r="E24" s="332" t="s">
        <v>76</v>
      </c>
      <c r="F24" s="329">
        <v>46181</v>
      </c>
      <c r="G24" s="329">
        <v>46185</v>
      </c>
      <c r="H24" s="347" t="s">
        <v>47</v>
      </c>
    </row>
    <row r="25" spans="1:40" s="158" customFormat="1" x14ac:dyDescent="0.25">
      <c r="A25" s="327">
        <v>46050</v>
      </c>
      <c r="B25" s="190" t="s">
        <v>49</v>
      </c>
      <c r="C25" s="77" t="str">
        <f>VLOOKUP(Table2[[#This Row],[Course Title]],'TSD-Data'!$A$1:$E$83,2,FALSE)</f>
        <v>A-493-3002</v>
      </c>
      <c r="D25" s="77" t="str">
        <f>VLOOKUP(Table2[[#This Row],[Course Title]],'TSD-Data'!$A$1:$E$83,3,FALSE)</f>
        <v>31V4</v>
      </c>
      <c r="E25" s="190" t="s">
        <v>76</v>
      </c>
      <c r="F25" s="328">
        <v>46181</v>
      </c>
      <c r="G25" s="328">
        <v>46185</v>
      </c>
    </row>
    <row r="26" spans="1:40" s="158" customFormat="1" x14ac:dyDescent="0.25">
      <c r="A26" s="348">
        <v>46055</v>
      </c>
      <c r="B26" s="77" t="s">
        <v>77</v>
      </c>
      <c r="C26" s="77" t="str">
        <f>VLOOKUP(Table2[[#This Row],[Course Title]],'TSD-Data'!$A$1:$E$83,2,FALSE)</f>
        <v>A-493-3003</v>
      </c>
      <c r="D26" s="77" t="str">
        <f>VLOOKUP(Table2[[#This Row],[Course Title]],'TSD-Data'!$A$1:$E$83,3,FALSE)</f>
        <v>31V5</v>
      </c>
      <c r="E26" s="77" t="s">
        <v>78</v>
      </c>
      <c r="F26" s="328">
        <v>46237</v>
      </c>
      <c r="G26" s="328">
        <v>46241</v>
      </c>
      <c r="H26" s="328" t="s">
        <v>42</v>
      </c>
      <c r="I26" s="334">
        <v>0.33333333333333331</v>
      </c>
      <c r="J26" s="334"/>
      <c r="K26" s="328"/>
      <c r="L26" s="328"/>
      <c r="M26" s="328"/>
      <c r="N26" s="328"/>
      <c r="O26" s="328"/>
      <c r="P26" s="77" t="s">
        <v>67</v>
      </c>
      <c r="Q26" s="77"/>
      <c r="R26" s="77" t="s">
        <v>79</v>
      </c>
      <c r="S26" s="77">
        <f>VLOOKUP(Table2[[#This Row],[Course Title]],'TSD-Data'!$A$1:$E$83,4,FALSE)</f>
        <v>1000</v>
      </c>
      <c r="T26" s="77">
        <f>VLOOKUP(Table2[[#This Row],[Course Title]],'TSD-Data'!$A$1:$F$83,6,FALSE)</f>
        <v>2</v>
      </c>
      <c r="U26" s="335">
        <f>VLOOKUP(Table2[[#This Row],[Course Title]],'TSD-Data'!$A$1:$F$83,5,FALSE)</f>
        <v>0.25</v>
      </c>
      <c r="V26" s="335">
        <v>4</v>
      </c>
      <c r="W26" s="77"/>
      <c r="X26" s="77"/>
      <c r="Y26" s="335"/>
      <c r="Z26" s="335"/>
      <c r="AA26" s="77"/>
      <c r="AB26" s="77"/>
      <c r="AC26" s="77"/>
      <c r="AD26" s="77"/>
      <c r="AE26" s="335">
        <f ca="1">Table2[[#This Row],[End Date]]+2-TODAY()</f>
        <v>-290</v>
      </c>
      <c r="AF26" s="77">
        <f>IF(ISBLANK(Table2[[#This Row],[Roster Received by]]),1,0)</f>
        <v>0</v>
      </c>
      <c r="AG26" s="77">
        <f ca="1">IF(Table2[[#This Row],[Start Date]]&gt;TODAY(),1,)</f>
        <v>0</v>
      </c>
      <c r="AH26" s="77">
        <f>IF(ISBLANK(Table2[[#This Row],[Primary Instructor]]),0,1)</f>
        <v>1</v>
      </c>
      <c r="AI26" s="77">
        <f>IF(ISBLANK(Table2[[#This Row],[Instructor 2]]),0,1)</f>
        <v>0</v>
      </c>
      <c r="AJ26" s="77">
        <f>Table2[[#This Row],[Course Length (Hours)]]/(SUM(Table2[[#This Row],[1 Instructor]:[2 Instructors]]))</f>
        <v>2</v>
      </c>
      <c r="AK26" s="346"/>
      <c r="AL26" s="349">
        <v>4</v>
      </c>
      <c r="AM26" s="77" t="str">
        <f>VLOOKUP(Table2[[#This Row],[Course Title]],'TSD-Data'!$A$1:$G$83,7,FALSE)</f>
        <v>N8-RMI</v>
      </c>
      <c r="AN26" s="158" t="s">
        <v>80</v>
      </c>
    </row>
    <row r="27" spans="1:40" s="158" customFormat="1" ht="15" customHeight="1" x14ac:dyDescent="0.25">
      <c r="A27" s="348">
        <v>46064</v>
      </c>
      <c r="B27" s="77" t="s">
        <v>65</v>
      </c>
      <c r="C27" s="77" t="str">
        <f>VLOOKUP(Table2[[#This Row],[Course Title]],'TSD-Data'!$A$1:$E$83,2,FALSE)</f>
        <v>A-493-3006</v>
      </c>
      <c r="D27" s="77" t="str">
        <f>VLOOKUP(Table2[[#This Row],[Course Title]],'TSD-Data'!$A$1:$E$83,3,FALSE)</f>
        <v>31V8</v>
      </c>
      <c r="E27" s="77" t="s">
        <v>81</v>
      </c>
      <c r="F27" s="328">
        <v>46099</v>
      </c>
      <c r="G27" s="328">
        <v>46100</v>
      </c>
      <c r="H27" s="328" t="s">
        <v>42</v>
      </c>
      <c r="I27" s="334">
        <v>0.33333333333333331</v>
      </c>
      <c r="J27" s="334"/>
      <c r="K27" s="328"/>
      <c r="L27" s="328"/>
      <c r="M27" s="328"/>
      <c r="N27" s="328"/>
      <c r="O27" s="328"/>
      <c r="P27" s="77" t="s">
        <v>67</v>
      </c>
      <c r="Q27" s="77" t="s">
        <v>82</v>
      </c>
      <c r="R27" s="77"/>
      <c r="S27" s="77">
        <f>VLOOKUP(Table2[[#This Row],[Course Title]],'TSD-Data'!$A$1:$E$83,4,FALSE)</f>
        <v>1000</v>
      </c>
      <c r="T27" s="77">
        <f>VLOOKUP(Table2[[#This Row],[Course Title]],'TSD-Data'!$A$1:$F$83,6,FALSE)</f>
        <v>2</v>
      </c>
      <c r="U27" s="335">
        <f>VLOOKUP(Table2[[#This Row],[Course Title]],'TSD-Data'!$A$1:$F$83,5,FALSE)</f>
        <v>0.1</v>
      </c>
      <c r="V27" s="335">
        <v>12</v>
      </c>
      <c r="W27" s="77">
        <f>Table2[[#This Row],[Quotas]]-Table2[[#This Row],[Open Quotas]]</f>
        <v>1</v>
      </c>
      <c r="X27" s="77">
        <v>0</v>
      </c>
      <c r="Y27" s="335"/>
      <c r="Z27" s="335"/>
      <c r="AA27" s="77"/>
      <c r="AB27" s="77"/>
      <c r="AC27" s="77"/>
      <c r="AD27" s="77"/>
      <c r="AE27" s="335">
        <f ca="1">Table2[[#This Row],[End Date]]+2-TODAY()</f>
        <v>-292</v>
      </c>
      <c r="AF27" s="77">
        <f>IF(ISBLANK(Table2[[#This Row],[Roster Received by]]),1,0)</f>
        <v>0</v>
      </c>
      <c r="AG27" s="77">
        <f ca="1">IF(Table2[[#This Row],[Start Date]]&gt;TODAY(),1,)</f>
        <v>0</v>
      </c>
      <c r="AH27" s="77">
        <f>IF(ISBLANK(Table2[[#This Row],[Primary Instructor]]),0,1)</f>
        <v>1</v>
      </c>
      <c r="AI27" s="77">
        <f>IF(ISBLANK(Table2[[#This Row],[Instructor 2]]),0,1)</f>
        <v>0</v>
      </c>
      <c r="AJ27" s="77">
        <f>Table2[[#This Row],[Course Length (Hours)]]/(SUM(Table2[[#This Row],[1 Instructor]:[2 Instructors]]))</f>
        <v>2</v>
      </c>
      <c r="AK27" s="346">
        <v>25</v>
      </c>
      <c r="AL27" s="337">
        <v>2</v>
      </c>
      <c r="AM27" s="77" t="str">
        <f>VLOOKUP(Table2[[#This Row],[Course Title]],'TSD-Data'!$A$1:$G$83,7,FALSE)</f>
        <v>N8-RMI</v>
      </c>
    </row>
    <row r="28" spans="1:40" s="158" customFormat="1" x14ac:dyDescent="0.25">
      <c r="A28" s="327">
        <v>46070</v>
      </c>
      <c r="B28" s="351" t="s">
        <v>70</v>
      </c>
      <c r="C28" s="351" t="str">
        <f>VLOOKUP(Table2[[#This Row],[Course Title]],'TSD-Data'!$A$1:$E$83,2,FALSE)</f>
        <v>A-493-3007</v>
      </c>
      <c r="D28" s="351" t="str">
        <f>VLOOKUP(Table2[[#This Row],[Course Title]],'TSD-Data'!$A$1:$E$83,3,FALSE)</f>
        <v>31V9</v>
      </c>
      <c r="E28" s="351" t="s">
        <v>83</v>
      </c>
      <c r="F28" s="375">
        <v>46098</v>
      </c>
      <c r="G28" s="375">
        <v>46100</v>
      </c>
    </row>
    <row r="29" spans="1:40" s="158" customFormat="1" x14ac:dyDescent="0.25">
      <c r="A29" s="327">
        <v>46070</v>
      </c>
      <c r="B29" s="198" t="s">
        <v>84</v>
      </c>
      <c r="C29" s="198" t="str">
        <f>VLOOKUP(Table2[[#This Row],[Course Title]],'TSD-Data'!$A$1:$E$83,2,FALSE)</f>
        <v>A-4J-0019</v>
      </c>
      <c r="D29" s="371" t="str">
        <f>VLOOKUP(Table2[[#This Row],[Course Title]],'TSD-Data'!$A$1:$E$83,3,FALSE)</f>
        <v>28SL/285M</v>
      </c>
      <c r="E29" s="198" t="s">
        <v>83</v>
      </c>
      <c r="F29" s="376">
        <v>46101</v>
      </c>
      <c r="G29" s="376">
        <v>46101</v>
      </c>
    </row>
    <row r="30" spans="1:40" s="158" customFormat="1" x14ac:dyDescent="0.25">
      <c r="A30" s="327">
        <v>46070</v>
      </c>
      <c r="B30" s="198" t="s">
        <v>85</v>
      </c>
      <c r="C30" s="198" t="str">
        <f>VLOOKUP(Table2[[#This Row],[Course Title]],'TSD-Data'!$A$1:$E$83,2,FALSE)</f>
        <v>A-493-2098</v>
      </c>
      <c r="D30" s="198" t="str">
        <f>VLOOKUP(Table2[[#This Row],[Course Title]],'TSD-Data'!$A$1:$E$83,3,FALSE)</f>
        <v>09WW</v>
      </c>
      <c r="E30" s="198" t="s">
        <v>81</v>
      </c>
      <c r="F30" s="376">
        <v>46146</v>
      </c>
      <c r="G30" s="376">
        <v>46150</v>
      </c>
    </row>
    <row r="31" spans="1:40" s="158" customFormat="1" x14ac:dyDescent="0.25">
      <c r="A31" s="354">
        <v>46071</v>
      </c>
      <c r="B31" s="355" t="s">
        <v>70</v>
      </c>
      <c r="C31" s="355" t="str">
        <f>VLOOKUP(Table2[[#This Row],[Course Title]],'TSD-Data'!$A$1:$E$83,2,FALSE)</f>
        <v>A-493-0083</v>
      </c>
      <c r="D31" s="372" t="s">
        <v>73</v>
      </c>
      <c r="E31" s="355" t="s">
        <v>52</v>
      </c>
      <c r="F31" s="377">
        <v>46119</v>
      </c>
      <c r="G31" s="377">
        <v>46121</v>
      </c>
    </row>
    <row r="32" spans="1:40" s="158" customFormat="1" x14ac:dyDescent="0.25">
      <c r="A32" s="360">
        <v>46071</v>
      </c>
      <c r="B32" s="87" t="s">
        <v>84</v>
      </c>
      <c r="C32" s="87" t="str">
        <f>VLOOKUP(Table2[[#This Row],[Course Title]],'TSD-Data'!$A$1:$E$83,2,FALSE)</f>
        <v>A-493-3011</v>
      </c>
      <c r="D32" s="373" t="s">
        <v>86</v>
      </c>
      <c r="E32" s="87" t="s">
        <v>52</v>
      </c>
      <c r="F32" s="378">
        <v>46122</v>
      </c>
      <c r="G32" s="378">
        <v>46122</v>
      </c>
      <c r="H32" s="362"/>
      <c r="I32" s="356"/>
      <c r="J32" s="356"/>
      <c r="K32" s="356"/>
    </row>
    <row r="33" spans="1:40" x14ac:dyDescent="0.25">
      <c r="A33" s="366">
        <v>46072</v>
      </c>
      <c r="B33" s="367" t="s">
        <v>85</v>
      </c>
      <c r="C33" s="367" t="str">
        <f>VLOOKUP(Table2[[#This Row],[Course Title]],'TSD-Data'!$A$1:$E$83,2,FALSE)</f>
        <v>A-493-3010</v>
      </c>
      <c r="D33" s="374" t="s">
        <v>87</v>
      </c>
      <c r="E33" s="367" t="s">
        <v>88</v>
      </c>
      <c r="F33" s="379">
        <v>46153</v>
      </c>
      <c r="G33" s="379">
        <v>46157</v>
      </c>
      <c r="H33" s="352"/>
      <c r="I33" s="352"/>
      <c r="J33" s="352"/>
      <c r="K33" s="352"/>
      <c r="L33" s="353"/>
      <c r="M33" s="350"/>
      <c r="N33" s="350"/>
      <c r="O33" s="350"/>
      <c r="P33" s="350"/>
      <c r="Q33" s="350"/>
      <c r="R33" s="350"/>
      <c r="S33" s="350"/>
      <c r="T33" s="350"/>
      <c r="U33" s="350"/>
      <c r="V33" s="350"/>
      <c r="W33" s="350"/>
      <c r="X33" s="350"/>
      <c r="Y33" s="350"/>
      <c r="Z33" s="350"/>
      <c r="AA33" s="350"/>
      <c r="AB33" s="350"/>
      <c r="AC33" s="350"/>
      <c r="AD33" s="350"/>
      <c r="AE33" s="350"/>
    </row>
    <row r="34" spans="1:40" x14ac:dyDescent="0.25">
      <c r="A34" s="360">
        <v>46072</v>
      </c>
      <c r="B34" s="198" t="s">
        <v>85</v>
      </c>
      <c r="C34" s="198" t="str">
        <f>VLOOKUP(Table2[[#This Row],[Course Title]],'TSD-Data'!$A$1:$E$83,2,FALSE)</f>
        <v>A-493-3018</v>
      </c>
      <c r="D34" s="371" t="s">
        <v>87</v>
      </c>
      <c r="E34" s="198" t="s">
        <v>89</v>
      </c>
      <c r="F34" s="376">
        <v>46195</v>
      </c>
      <c r="G34" s="376">
        <v>46199</v>
      </c>
      <c r="H34" s="352"/>
      <c r="I34" s="352"/>
      <c r="J34" s="352"/>
      <c r="K34" s="352"/>
    </row>
    <row r="35" spans="1:40" x14ac:dyDescent="0.25">
      <c r="A35" s="360">
        <v>46072</v>
      </c>
      <c r="B35" s="351" t="s">
        <v>85</v>
      </c>
      <c r="C35" s="351" t="str">
        <f>VLOOKUP(Table2[[#This Row],[Course Title]],'TSD-Data'!$A$1:$E$83,2,FALSE)</f>
        <v>A-493-3004</v>
      </c>
      <c r="D35" s="371" t="s">
        <v>87</v>
      </c>
      <c r="E35" s="351" t="s">
        <v>90</v>
      </c>
      <c r="F35" s="375">
        <v>46216</v>
      </c>
      <c r="G35" s="375">
        <v>46220</v>
      </c>
      <c r="H35" s="352"/>
      <c r="I35" s="352"/>
      <c r="J35" s="352"/>
      <c r="K35" s="352"/>
    </row>
    <row r="36" spans="1:40" x14ac:dyDescent="0.25">
      <c r="A36" s="360">
        <v>46072</v>
      </c>
      <c r="B36" s="358" t="s">
        <v>49</v>
      </c>
      <c r="C36" s="198" t="str">
        <f>VLOOKUP(Table2[[#This Row],[Course Title]],'TSD-Data'!$A$1:$E$83,2,FALSE)</f>
        <v>A-493-3001</v>
      </c>
      <c r="D36" s="198">
        <v>3682</v>
      </c>
      <c r="E36" s="358" t="s">
        <v>91</v>
      </c>
      <c r="F36" s="376">
        <v>46125</v>
      </c>
      <c r="G36" s="376">
        <v>46129</v>
      </c>
      <c r="H36" s="352"/>
      <c r="I36" s="352"/>
      <c r="J36" s="352"/>
      <c r="K36" s="352"/>
    </row>
    <row r="37" spans="1:40" x14ac:dyDescent="0.25">
      <c r="A37" s="360">
        <v>46072</v>
      </c>
      <c r="B37" s="359" t="s">
        <v>49</v>
      </c>
      <c r="C37" s="351" t="str">
        <f>VLOOKUP(Table2[[#This Row],[Course Title]],'TSD-Data'!$A$1:$E$83,2,FALSE)</f>
        <v>A-493-3013</v>
      </c>
      <c r="D37" s="198">
        <v>3682</v>
      </c>
      <c r="E37" s="359" t="s">
        <v>88</v>
      </c>
      <c r="F37" s="375">
        <v>46125</v>
      </c>
      <c r="G37" s="375">
        <v>46129</v>
      </c>
      <c r="H37" s="352"/>
      <c r="I37" s="352"/>
      <c r="J37" s="352"/>
      <c r="K37" s="352"/>
    </row>
    <row r="38" spans="1:40" x14ac:dyDescent="0.25">
      <c r="A38" s="360">
        <v>46072</v>
      </c>
      <c r="B38" s="358" t="s">
        <v>49</v>
      </c>
      <c r="C38" s="198" t="str">
        <f>VLOOKUP(Table2[[#This Row],[Course Title]],'TSD-Data'!$A$1:$E$83,2,FALSE)</f>
        <v>A-493-3014</v>
      </c>
      <c r="D38" s="198">
        <v>3682</v>
      </c>
      <c r="E38" s="358" t="s">
        <v>92</v>
      </c>
      <c r="F38" s="376">
        <v>46125</v>
      </c>
      <c r="G38" s="376">
        <v>46129</v>
      </c>
      <c r="H38" s="352"/>
      <c r="I38" s="352"/>
      <c r="J38" s="352"/>
      <c r="K38" s="352"/>
    </row>
    <row r="39" spans="1:40" x14ac:dyDescent="0.25">
      <c r="A39" s="360">
        <v>46072</v>
      </c>
      <c r="B39" s="359" t="s">
        <v>49</v>
      </c>
      <c r="C39" s="351" t="str">
        <f>VLOOKUP(Table2[[#This Row],[Course Title]],'TSD-Data'!$A$1:$E$83,2,FALSE)</f>
        <v>A-493-3015</v>
      </c>
      <c r="D39" s="198">
        <v>3682</v>
      </c>
      <c r="E39" s="359" t="s">
        <v>93</v>
      </c>
      <c r="F39" s="380">
        <v>46279</v>
      </c>
      <c r="G39" s="380">
        <v>46283</v>
      </c>
      <c r="H39" s="352"/>
      <c r="I39" s="352"/>
      <c r="J39" s="352"/>
      <c r="K39" s="352"/>
    </row>
    <row r="40" spans="1:40" x14ac:dyDescent="0.25">
      <c r="A40" s="360">
        <v>46072</v>
      </c>
      <c r="B40" s="359" t="s">
        <v>49</v>
      </c>
      <c r="C40" s="351" t="str">
        <f>VLOOKUP(Table2[[#This Row],[Course Title]],'TSD-Data'!$A$1:$E$83,2,FALSE)</f>
        <v>A-493-3016</v>
      </c>
      <c r="D40" s="198">
        <v>3682</v>
      </c>
      <c r="E40" s="359" t="s">
        <v>94</v>
      </c>
      <c r="F40" s="380">
        <v>46286</v>
      </c>
      <c r="G40" s="380">
        <v>46290</v>
      </c>
      <c r="H40" s="352"/>
      <c r="I40" s="352"/>
      <c r="J40" s="352"/>
      <c r="K40" s="352"/>
    </row>
    <row r="41" spans="1:40" x14ac:dyDescent="0.25">
      <c r="A41" s="360">
        <v>46072</v>
      </c>
      <c r="B41" s="198" t="s">
        <v>85</v>
      </c>
      <c r="C41" s="198" t="str">
        <f>VLOOKUP(Table2[[#This Row],[Course Title]],'TSD-Data'!$A$1:$E$83,2,FALSE)</f>
        <v>A-493-3012</v>
      </c>
      <c r="D41" s="198" t="s">
        <v>95</v>
      </c>
      <c r="E41" s="198" t="s">
        <v>61</v>
      </c>
      <c r="F41" s="376">
        <v>46118</v>
      </c>
      <c r="G41" s="376">
        <v>46122</v>
      </c>
      <c r="H41" s="352"/>
      <c r="I41" s="352"/>
      <c r="J41" s="352"/>
      <c r="K41" s="352"/>
    </row>
    <row r="42" spans="1:40" x14ac:dyDescent="0.25">
      <c r="A42" s="365">
        <v>45711</v>
      </c>
      <c r="B42" s="355" t="s">
        <v>70</v>
      </c>
      <c r="C42" s="355" t="str">
        <f>VLOOKUP(Table2[[#This Row],[Course Title]],'TSD-Data'!$A$1:$E$83,2,FALSE)</f>
        <v>A-493-3005</v>
      </c>
      <c r="D42" s="364" t="s">
        <v>73</v>
      </c>
      <c r="E42" s="355" t="s">
        <v>96</v>
      </c>
      <c r="F42" s="377">
        <v>46104</v>
      </c>
      <c r="G42" s="377">
        <v>46106</v>
      </c>
      <c r="H42" s="352"/>
      <c r="I42" s="352"/>
      <c r="J42" s="352"/>
      <c r="K42" s="352"/>
    </row>
    <row r="43" spans="1:40" s="196" customFormat="1" x14ac:dyDescent="0.25">
      <c r="A43" s="361">
        <v>46075</v>
      </c>
      <c r="B43" s="87" t="s">
        <v>70</v>
      </c>
      <c r="C43" s="87" t="str">
        <f>VLOOKUP(Table2[[#This Row],[Course Title]],'TSD-Data'!$A$1:$E$83,2,FALSE)</f>
        <v>A-493-3017</v>
      </c>
      <c r="D43" s="369" t="s">
        <v>73</v>
      </c>
      <c r="E43" s="87" t="s">
        <v>97</v>
      </c>
      <c r="F43" s="378">
        <v>46153</v>
      </c>
      <c r="G43" s="378">
        <v>46155</v>
      </c>
      <c r="H43" s="10"/>
      <c r="I43" s="64"/>
      <c r="K43" s="64"/>
      <c r="L43" s="61"/>
      <c r="M43" s="61"/>
      <c r="N43" s="61"/>
      <c r="O43" s="61"/>
      <c r="P43" s="61"/>
      <c r="Q43" s="73" t="s">
        <v>48</v>
      </c>
      <c r="R43" s="73"/>
      <c r="S43" s="73"/>
      <c r="T43" s="59">
        <f>VLOOKUP(Table2[[#This Row],[Course Title]],'TSD-Data'!$A$1:$E$83,4,FALSE)</f>
        <v>1000</v>
      </c>
      <c r="U43" s="59">
        <f>VLOOKUP(Table2[[#This Row],[Course Title]],'TSD-Data'!$A$1:$F$83,6,FALSE)</f>
        <v>1.5</v>
      </c>
      <c r="V43" s="63">
        <f>VLOOKUP(Table2[[#This Row],[Course Title]],'TSD-Data'!$A$1:$F$83,5,FALSE)</f>
        <v>0.1</v>
      </c>
      <c r="W43" s="63">
        <v>37</v>
      </c>
      <c r="X43" s="59">
        <f>Table2[[#This Row],[Quotas]]-Table2[[#This Row],[Open Quotas]]</f>
        <v>1</v>
      </c>
      <c r="Y43" s="59">
        <v>4</v>
      </c>
      <c r="Z43" s="63"/>
      <c r="AA43" s="63"/>
      <c r="AB43" s="59"/>
      <c r="AC43" s="59"/>
      <c r="AD43" s="59"/>
      <c r="AE43" s="59"/>
      <c r="AF43" s="63">
        <f ca="1">Table2[[#This Row],[End Date]]+2-TODAY()</f>
        <v>-288</v>
      </c>
      <c r="AG43" s="59">
        <f>IF(ISBLANK(Table2[[#This Row],[Roster Received by]]),1,0)</f>
        <v>0</v>
      </c>
      <c r="AH43" s="59">
        <f ca="1">IF(Table2[[#This Row],[Start Date]]&gt;TODAY(),1,)</f>
        <v>0</v>
      </c>
      <c r="AI43" s="59">
        <f>IF(ISBLANK(Table2[[#This Row],[Primary Instructor]]),0,1)</f>
        <v>1</v>
      </c>
      <c r="AJ43" s="59">
        <f>IF(ISBLANK(Table2[[#This Row],[Instructor 2]]),0,1)</f>
        <v>0</v>
      </c>
      <c r="AK43" s="59">
        <f>'FY 2026 Schedule'!AJ720</f>
        <v>0</v>
      </c>
      <c r="AL43" s="113">
        <v>0</v>
      </c>
      <c r="AM43" s="59">
        <v>3</v>
      </c>
      <c r="AN43" s="59" t="str">
        <f>VLOOKUP(Table2[[#This Row],[Course Title]],'TSD-Data'!$A$1:$G$83,7,FALSE)</f>
        <v>N8-RMI</v>
      </c>
    </row>
    <row r="44" spans="1:40" s="196" customFormat="1" ht="15" customHeight="1" x14ac:dyDescent="0.25">
      <c r="A44" s="361">
        <v>46075</v>
      </c>
      <c r="B44" s="87" t="s">
        <v>84</v>
      </c>
      <c r="C44" s="87" t="str">
        <f>VLOOKUP(Table2[[#This Row],[Course Title]],'TSD-Data'!$A$1:$E$83,2,FALSE)</f>
        <v>A-493-3008</v>
      </c>
      <c r="D44" s="87" t="s">
        <v>86</v>
      </c>
      <c r="E44" s="87" t="s">
        <v>97</v>
      </c>
      <c r="F44" s="378">
        <v>46156</v>
      </c>
      <c r="G44" s="378">
        <v>46156</v>
      </c>
      <c r="H44" s="10"/>
      <c r="I44" s="64"/>
      <c r="K44" s="64"/>
      <c r="L44" s="61"/>
      <c r="M44" s="61"/>
      <c r="N44" s="61"/>
      <c r="O44" s="61"/>
      <c r="P44" s="61"/>
      <c r="Q44" s="73" t="s">
        <v>48</v>
      </c>
      <c r="R44" s="73"/>
      <c r="S44" s="73"/>
      <c r="T44" s="59">
        <f>VLOOKUP(Table2[[#This Row],[Course Title]],'TSD-Data'!$A$1:$E$83,4,FALSE)</f>
        <v>1000</v>
      </c>
      <c r="U44" s="59">
        <f>VLOOKUP(Table2[[#This Row],[Course Title]],'TSD-Data'!$A$1:$F$83,6,FALSE)</f>
        <v>1.5</v>
      </c>
      <c r="V44" s="63">
        <f>VLOOKUP(Table2[[#This Row],[Course Title]],'TSD-Data'!$A$1:$F$83,5,FALSE)</f>
        <v>0.1</v>
      </c>
      <c r="W44" s="63">
        <v>31</v>
      </c>
      <c r="X44" s="59">
        <f>Table2[[#This Row],[Quotas]]-Table2[[#This Row],[Open Quotas]]</f>
        <v>14</v>
      </c>
      <c r="Y44" s="59">
        <v>0</v>
      </c>
      <c r="Z44" s="63"/>
      <c r="AA44" s="63"/>
      <c r="AB44" s="59"/>
      <c r="AC44" s="59"/>
      <c r="AD44" s="59"/>
      <c r="AE44" s="59"/>
      <c r="AF44" s="63">
        <f ca="1">Table2[[#This Row],[End Date]]+2-TODAY()</f>
        <v>-288</v>
      </c>
      <c r="AG44" s="59">
        <f>IF(ISBLANK(Table2[[#This Row],[Roster Received by]]),1,0)</f>
        <v>0</v>
      </c>
      <c r="AH44" s="59">
        <f ca="1">IF(Table2[[#This Row],[Start Date]]&gt;TODAY(),1,)</f>
        <v>0</v>
      </c>
      <c r="AI44" s="59">
        <f>IF(ISBLANK(Table2[[#This Row],[Primary Instructor]]),0,1)</f>
        <v>1</v>
      </c>
      <c r="AJ44" s="59">
        <f>IF(ISBLANK(Table2[[#This Row],[Instructor 2]]),0,1)</f>
        <v>0</v>
      </c>
      <c r="AK44" s="59">
        <f>'FY 2026 Schedule'!AJ729</f>
        <v>0</v>
      </c>
      <c r="AL44" s="113">
        <v>28</v>
      </c>
      <c r="AM44" s="59">
        <v>3</v>
      </c>
      <c r="AN44" s="59" t="str">
        <f>VLOOKUP(Table2[[#This Row],[Course Title]],'TSD-Data'!$A$1:$G$83,7,FALSE)</f>
        <v>N8-RMI</v>
      </c>
    </row>
    <row r="45" spans="1:40" x14ac:dyDescent="0.25">
      <c r="A45" s="360">
        <v>46083</v>
      </c>
      <c r="B45" s="87" t="s">
        <v>70</v>
      </c>
      <c r="C45" s="87" t="str">
        <f>VLOOKUP(Table2[[#This Row],[Course Title]],'TSD-Data'!$A$1:$E$83,2,FALSE)</f>
        <v>A-493-3009</v>
      </c>
      <c r="D45" s="369" t="s">
        <v>73</v>
      </c>
      <c r="E45" s="87" t="s">
        <v>98</v>
      </c>
      <c r="F45" s="378">
        <v>46161</v>
      </c>
      <c r="G45" s="378">
        <v>46163</v>
      </c>
      <c r="H45" s="363"/>
      <c r="I45" s="352"/>
      <c r="J45" s="352"/>
      <c r="K45" s="352"/>
    </row>
    <row r="46" spans="1:40" x14ac:dyDescent="0.25">
      <c r="A46" s="360">
        <v>46083</v>
      </c>
      <c r="B46" s="351" t="s">
        <v>99</v>
      </c>
      <c r="C46" s="351" t="str">
        <f>VLOOKUP(Table2[[#This Row],[Course Title]],'TSD-Data'!$A$1:$E$83,2,FALSE)</f>
        <v>A-493-0014</v>
      </c>
      <c r="D46" s="370" t="s">
        <v>100</v>
      </c>
      <c r="E46" s="351" t="s">
        <v>101</v>
      </c>
      <c r="F46" s="375">
        <v>46132</v>
      </c>
      <c r="G46" s="375">
        <v>46132</v>
      </c>
      <c r="H46" s="363"/>
      <c r="I46" s="352"/>
      <c r="J46" s="352"/>
      <c r="K46" s="352"/>
    </row>
    <row r="47" spans="1:40" x14ac:dyDescent="0.25">
      <c r="A47" s="360">
        <v>46083</v>
      </c>
      <c r="B47" s="351" t="s">
        <v>99</v>
      </c>
      <c r="C47" s="351" t="str">
        <f>VLOOKUP(Table2[[#This Row],[Course Title]],'TSD-Data'!$A$1:$E$83,2,FALSE)</f>
        <v>A-493-0665</v>
      </c>
      <c r="D47" s="351" t="s">
        <v>100</v>
      </c>
      <c r="E47" s="351" t="s">
        <v>75</v>
      </c>
      <c r="F47" s="375">
        <v>46134</v>
      </c>
      <c r="G47" s="375">
        <v>46134</v>
      </c>
      <c r="H47" s="363"/>
      <c r="I47" s="352"/>
      <c r="J47" s="352"/>
      <c r="K47" s="352"/>
    </row>
    <row r="48" spans="1:40" x14ac:dyDescent="0.25">
      <c r="A48" s="360">
        <v>46083</v>
      </c>
      <c r="B48" s="198" t="s">
        <v>45</v>
      </c>
      <c r="C48" s="198" t="str">
        <f>VLOOKUP(Table2[[#This Row],[Course Title]],'TSD-Data'!$A$1:$E$83,2,FALSE)</f>
        <v>A-493-0103</v>
      </c>
      <c r="D48" s="198">
        <v>3683</v>
      </c>
      <c r="E48" s="198" t="s">
        <v>102</v>
      </c>
      <c r="F48" s="376">
        <v>46133</v>
      </c>
      <c r="G48" s="376">
        <v>46135</v>
      </c>
      <c r="H48" s="363"/>
      <c r="I48" s="352"/>
      <c r="J48" s="352"/>
      <c r="K48" s="352"/>
    </row>
    <row r="49" spans="1:40" s="196" customFormat="1" x14ac:dyDescent="0.25">
      <c r="A49" s="361">
        <v>46087</v>
      </c>
      <c r="B49" s="87" t="s">
        <v>45</v>
      </c>
      <c r="C49" s="87" t="str">
        <f>VLOOKUP(Table2[[#This Row],[Course Title]],'TSD-Data'!$A$1:$E$83,2,FALSE)</f>
        <v>A-493-0061</v>
      </c>
      <c r="D49" s="87" t="str">
        <f>VLOOKUP(Table2[[#This Row],[Course Title]],'TSD-Data'!$A$1:$E$83,3,FALSE)</f>
        <v>288E</v>
      </c>
      <c r="E49" s="87" t="s">
        <v>103</v>
      </c>
      <c r="F49" s="378">
        <v>46210</v>
      </c>
      <c r="G49" s="378">
        <v>46212</v>
      </c>
      <c r="H49" s="444"/>
      <c r="I49" s="183"/>
      <c r="J49" s="445"/>
      <c r="K49" s="183"/>
      <c r="L49" s="61"/>
      <c r="M49" s="61"/>
      <c r="N49" s="61"/>
      <c r="O49" s="61"/>
      <c r="P49" s="61"/>
      <c r="Q49" s="73" t="s">
        <v>104</v>
      </c>
      <c r="R49" s="73"/>
      <c r="S49" s="73"/>
      <c r="T49" s="59">
        <f>VLOOKUP(Table2[[#This Row],[Course Title]],'TSD-Data'!$A$1:$E$83,4,FALSE)</f>
        <v>45</v>
      </c>
      <c r="U49" s="59">
        <f>VLOOKUP(Table2[[#This Row],[Course Title]],'TSD-Data'!$A$1:$F$83,6,FALSE)</f>
        <v>30</v>
      </c>
      <c r="V49" s="63">
        <f>VLOOKUP(Table2[[#This Row],[Course Title]],'TSD-Data'!$A$1:$F$83,5,FALSE)</f>
        <v>4</v>
      </c>
      <c r="W49" s="63">
        <v>30</v>
      </c>
      <c r="X49" s="59"/>
      <c r="Y49" s="59"/>
      <c r="Z49" s="63"/>
      <c r="AA49" s="63"/>
      <c r="AB49" s="59"/>
      <c r="AC49" s="59"/>
      <c r="AD49" s="59"/>
      <c r="AE49" s="59"/>
      <c r="AF49" s="63">
        <f ca="1">Table2[[#This Row],[End Date]]+2-TODAY()</f>
        <v>-282</v>
      </c>
      <c r="AG49" s="59">
        <f>IF(ISBLANK(Table2[[#This Row],[Roster Received by]]),1,0)</f>
        <v>0</v>
      </c>
      <c r="AH49" s="59">
        <f ca="1">IF(Table2[[#This Row],[Start Date]]&gt;TODAY(),1,)</f>
        <v>0</v>
      </c>
      <c r="AI49" s="59">
        <f>IF(ISBLANK(Table2[[#This Row],[Primary Instructor]]),0,1)</f>
        <v>1</v>
      </c>
      <c r="AJ49" s="59">
        <f>IF(ISBLANK(Table2[[#This Row],[Instructor 2]]),0,1)</f>
        <v>0</v>
      </c>
      <c r="AK49" s="59">
        <f>'FY 2026 Schedule'!AJ810</f>
        <v>0</v>
      </c>
      <c r="AL49" s="113"/>
      <c r="AM49" s="197">
        <v>4</v>
      </c>
      <c r="AN49" s="59" t="str">
        <f>VLOOKUP(Table2[[#This Row],[Course Title]],'TSD-Data'!$A$1:$G$83,7,FALSE)</f>
        <v>N5</v>
      </c>
    </row>
    <row r="50" spans="1:40" x14ac:dyDescent="0.25">
      <c r="A50" s="360">
        <v>46094</v>
      </c>
      <c r="B50" s="87" t="s">
        <v>70</v>
      </c>
      <c r="C50" s="352" t="s">
        <v>105</v>
      </c>
      <c r="D50" s="446" t="s">
        <v>73</v>
      </c>
      <c r="E50" s="352" t="s">
        <v>106</v>
      </c>
      <c r="F50" s="360">
        <v>46169</v>
      </c>
      <c r="G50" s="360">
        <v>46171</v>
      </c>
      <c r="H50" s="352"/>
      <c r="I50" s="352"/>
      <c r="J50" s="352"/>
      <c r="K50" s="352"/>
    </row>
    <row r="51" spans="1:40" x14ac:dyDescent="0.25">
      <c r="A51" s="360">
        <v>46097</v>
      </c>
      <c r="B51" s="198" t="s">
        <v>84</v>
      </c>
      <c r="C51" s="198" t="str">
        <f>VLOOKUP(Table2[[#This Row],[Course Title]],'TSD-Data'!$A$1:$E$83,2,FALSE)</f>
        <v>A-493-0072</v>
      </c>
      <c r="D51" s="468" t="s">
        <v>73</v>
      </c>
      <c r="E51" s="198" t="s">
        <v>54</v>
      </c>
      <c r="F51" s="376">
        <v>46142</v>
      </c>
      <c r="G51" s="376">
        <v>46142</v>
      </c>
      <c r="H51" s="352"/>
      <c r="I51" s="352"/>
      <c r="J51" s="352"/>
      <c r="K51" s="352"/>
    </row>
    <row r="52" spans="1:40" x14ac:dyDescent="0.25">
      <c r="A52" s="360">
        <v>46097</v>
      </c>
      <c r="B52" s="352" t="s">
        <v>85</v>
      </c>
      <c r="C52" s="352" t="s">
        <v>107</v>
      </c>
      <c r="D52" s="352" t="s">
        <v>87</v>
      </c>
      <c r="E52" s="352" t="s">
        <v>97</v>
      </c>
      <c r="F52" s="360">
        <v>46174</v>
      </c>
      <c r="G52" s="360">
        <v>46178</v>
      </c>
      <c r="H52" s="352"/>
      <c r="I52" s="352"/>
      <c r="J52" s="352"/>
      <c r="K52" s="352"/>
    </row>
    <row r="53" spans="1:40" x14ac:dyDescent="0.25">
      <c r="A53" s="360">
        <v>46099</v>
      </c>
      <c r="B53" s="375" t="s">
        <v>108</v>
      </c>
      <c r="C53" s="375" t="s">
        <v>109</v>
      </c>
      <c r="D53" s="352" t="s">
        <v>110</v>
      </c>
      <c r="E53" s="352" t="s">
        <v>61</v>
      </c>
      <c r="F53" s="360">
        <v>46111</v>
      </c>
      <c r="G53" s="360">
        <v>46115</v>
      </c>
      <c r="H53" s="352"/>
      <c r="I53" s="352"/>
      <c r="J53" s="352"/>
      <c r="K53" s="352"/>
    </row>
    <row r="54" spans="1:40" x14ac:dyDescent="0.25">
      <c r="A54" s="475">
        <v>46099</v>
      </c>
      <c r="B54" s="351" t="s">
        <v>65</v>
      </c>
      <c r="C54" s="351" t="str">
        <f>VLOOKUP(Table2[[#This Row],[Course Title]],'TSD-Data'!$A$1:$E$83,2,FALSE)</f>
        <v>A-493-0103</v>
      </c>
      <c r="D54" s="351" t="s">
        <v>66</v>
      </c>
      <c r="E54" s="351" t="s">
        <v>101</v>
      </c>
      <c r="F54" s="470">
        <v>46219</v>
      </c>
      <c r="G54" s="470">
        <v>46220</v>
      </c>
      <c r="H54" s="470" t="s">
        <v>42</v>
      </c>
      <c r="I54" s="471">
        <v>0.33333333333333331</v>
      </c>
      <c r="J54" s="471"/>
      <c r="K54" s="470"/>
      <c r="L54" s="470"/>
      <c r="M54" s="470"/>
      <c r="N54" s="470"/>
      <c r="O54" s="470"/>
      <c r="P54" s="472" t="s">
        <v>62</v>
      </c>
      <c r="Q54" s="472" t="s">
        <v>111</v>
      </c>
      <c r="R54" s="472"/>
      <c r="S54" s="469">
        <f>VLOOKUP(Table2[[#This Row],[Course Title]],'TSD-Data'!$A$1:$E$83,4,FALSE)</f>
        <v>25</v>
      </c>
      <c r="T54" s="469">
        <f>VLOOKUP(Table2[[#This Row],[Course Title]],'TSD-Data'!$A$1:$F$83,6,FALSE)</f>
        <v>40</v>
      </c>
      <c r="U54" s="473">
        <f>VLOOKUP(Table2[[#This Row],[Course Title]],'TSD-Data'!$A$1:$F$83,5,FALSE)</f>
        <v>5</v>
      </c>
      <c r="V54" s="473">
        <v>60</v>
      </c>
      <c r="W54" s="469"/>
      <c r="X54" s="469">
        <v>0</v>
      </c>
      <c r="Y54" s="473"/>
      <c r="Z54" s="473"/>
      <c r="AA54" s="469"/>
      <c r="AB54" s="469"/>
      <c r="AC54" s="469"/>
      <c r="AD54" s="469"/>
      <c r="AE54" s="473">
        <f ca="1">Table2[[#This Row],[End Date]]+2-TODAY()</f>
        <v>-274</v>
      </c>
      <c r="AF54" s="469">
        <f>IF(ISBLANK(Table2[[#This Row],[Roster Received by]]),1,0)</f>
        <v>0</v>
      </c>
      <c r="AG54" s="469">
        <f ca="1">IF(Table2[[#This Row],[Start Date]]&gt;TODAY(),1,)</f>
        <v>0</v>
      </c>
      <c r="AH54" s="469">
        <f>IF(ISBLANK(Table2[[#This Row],[Primary Instructor]]),0,1)</f>
        <v>1</v>
      </c>
      <c r="AI54" s="469">
        <f>IF(ISBLANK(Table2[[#This Row],[Instructor 2]]),0,1)</f>
        <v>0</v>
      </c>
      <c r="AJ54" s="469">
        <f>'FY 2026 Schedule'!AJ877</f>
        <v>0</v>
      </c>
      <c r="AK54" s="474"/>
      <c r="AL54" s="469">
        <v>4</v>
      </c>
      <c r="AM54" s="469" t="str">
        <f>VLOOKUP(Table2[[#This Row],[Course Title]],'TSD-Data'!$A$1:$G$83,7,FALSE)</f>
        <v>N5</v>
      </c>
    </row>
    <row r="55" spans="1:40" x14ac:dyDescent="0.25">
      <c r="A55" s="475">
        <v>46099</v>
      </c>
      <c r="B55" s="476" t="s">
        <v>72</v>
      </c>
      <c r="C55" s="351" t="str">
        <f>VLOOKUP(Table2[[#This Row],[Course Title]],'TSD-Data'!$A$1:$E$83,2,FALSE)</f>
        <v>A-322-2604</v>
      </c>
      <c r="D55" s="351">
        <v>5891</v>
      </c>
      <c r="E55" s="477" t="s">
        <v>112</v>
      </c>
      <c r="F55" s="470">
        <v>46265</v>
      </c>
      <c r="G55" s="470">
        <v>46267</v>
      </c>
      <c r="H55" s="470" t="s">
        <v>42</v>
      </c>
      <c r="I55" s="471">
        <v>0.33333333333333331</v>
      </c>
      <c r="J55" s="478"/>
      <c r="K55" s="470"/>
      <c r="L55" s="470"/>
      <c r="M55" s="470"/>
      <c r="N55" s="470"/>
      <c r="O55" s="470"/>
      <c r="P55" s="472" t="s">
        <v>62</v>
      </c>
      <c r="Q55" s="472"/>
      <c r="R55" s="472" t="s">
        <v>113</v>
      </c>
      <c r="S55" s="469">
        <f>VLOOKUP(Table2[[#This Row],[Course Title]],'TSD-Data'!$A$1:$E$83,4,FALSE)</f>
        <v>45</v>
      </c>
      <c r="T55" s="469">
        <f>VLOOKUP(Table2[[#This Row],[Course Title]],'TSD-Data'!$A$1:$F$83,6,FALSE)</f>
        <v>24</v>
      </c>
      <c r="U55" s="473">
        <f>VLOOKUP(Table2[[#This Row],[Course Title]],'TSD-Data'!$A$1:$F$83,5,FALSE)</f>
        <v>3</v>
      </c>
      <c r="V55" s="473">
        <v>41</v>
      </c>
      <c r="W55" s="469"/>
      <c r="X55" s="469"/>
      <c r="Y55" s="473"/>
      <c r="Z55" s="473"/>
      <c r="AA55" s="469"/>
      <c r="AB55" s="469"/>
      <c r="AC55" s="469"/>
      <c r="AD55" s="469"/>
      <c r="AE55" s="473">
        <f ca="1">Table2[[#This Row],[End Date]]+2-TODAY()</f>
        <v>-276</v>
      </c>
      <c r="AF55" s="469">
        <f>IF(ISBLANK(Table2[[#This Row],[Roster Received by]]),1,0)</f>
        <v>0</v>
      </c>
      <c r="AG55" s="469">
        <f ca="1">IF(Table2[[#This Row],[Start Date]]&gt;TODAY(),1,)</f>
        <v>0</v>
      </c>
      <c r="AH55" s="469">
        <f>IF(ISBLANK(Table2[[#This Row],[Primary Instructor]]),0,1)</f>
        <v>1</v>
      </c>
      <c r="AI55" s="469">
        <f>IF(ISBLANK(Table2[[#This Row],[Instructor 2]]),0,1)</f>
        <v>0</v>
      </c>
      <c r="AJ55" s="469">
        <f>'FY 2026 Schedule'!AJ950</f>
        <v>0</v>
      </c>
      <c r="AK55" s="474"/>
      <c r="AL55" s="469">
        <v>4</v>
      </c>
      <c r="AM55" s="469" t="str">
        <f>VLOOKUP(Table2[[#This Row],[Course Title]],'TSD-Data'!$A$1:$G$83,7,FALSE)</f>
        <v>N8</v>
      </c>
    </row>
    <row r="56" spans="1:40" x14ac:dyDescent="0.25">
      <c r="A56" s="360">
        <v>46107</v>
      </c>
      <c r="B56" s="351" t="s">
        <v>70</v>
      </c>
      <c r="C56" s="469" t="str">
        <f>VLOOKUP(Table2[[#This Row],[Course Title]],'TSD-Data'!$A$1:$E$83,2,FALSE)</f>
        <v>A-493-0335</v>
      </c>
      <c r="D56" s="469">
        <v>381</v>
      </c>
      <c r="E56" s="351" t="s">
        <v>61</v>
      </c>
      <c r="F56" s="470">
        <v>46146</v>
      </c>
      <c r="G56" s="470">
        <v>46148</v>
      </c>
      <c r="H56" s="352"/>
      <c r="I56" s="352"/>
      <c r="J56" s="352"/>
      <c r="K56" s="352"/>
    </row>
    <row r="57" spans="1:40" x14ac:dyDescent="0.25">
      <c r="A57" s="360">
        <v>46107</v>
      </c>
      <c r="B57" s="198" t="s">
        <v>84</v>
      </c>
      <c r="C57" s="482" t="str">
        <f>VLOOKUP(Table2[[#This Row],[Course Title]],'TSD-Data'!$A$1:$E$83,2,FALSE)</f>
        <v>A-493-0550</v>
      </c>
      <c r="D57" s="482" t="s">
        <v>86</v>
      </c>
      <c r="E57" s="198" t="s">
        <v>61</v>
      </c>
      <c r="F57" s="93">
        <v>46149</v>
      </c>
      <c r="G57" s="93">
        <v>46149</v>
      </c>
      <c r="H57" s="480"/>
      <c r="I57" s="480"/>
      <c r="J57" s="480"/>
      <c r="K57" s="480"/>
    </row>
    <row r="58" spans="1:40" x14ac:dyDescent="0.25">
      <c r="A58" s="360">
        <v>46107</v>
      </c>
      <c r="B58" s="351" t="s">
        <v>84</v>
      </c>
      <c r="C58" s="469" t="str">
        <f>VLOOKUP(Table2[[#This Row],[Course Title]],'TSD-Data'!$A$1:$E$83,2,FALSE)</f>
        <v>A-493-0078</v>
      </c>
      <c r="D58" s="482" t="s">
        <v>86</v>
      </c>
      <c r="E58" s="351" t="s">
        <v>61</v>
      </c>
      <c r="F58" s="470">
        <v>46150</v>
      </c>
      <c r="G58" s="470">
        <v>46150</v>
      </c>
      <c r="H58" s="352"/>
      <c r="I58" s="352"/>
      <c r="J58" s="352"/>
      <c r="K58" s="352"/>
    </row>
    <row r="59" spans="1:40" x14ac:dyDescent="0.25">
      <c r="A59" s="360">
        <v>46107</v>
      </c>
      <c r="B59" s="198" t="s">
        <v>70</v>
      </c>
      <c r="C59" s="482" t="str">
        <f>VLOOKUP(Table2[[#This Row],[Course Title]],'TSD-Data'!$A$1:$E$83,2,FALSE)</f>
        <v>A-493-3002</v>
      </c>
      <c r="D59" s="483" t="s">
        <v>73</v>
      </c>
      <c r="E59" s="198" t="s">
        <v>114</v>
      </c>
      <c r="F59" s="93">
        <v>46153</v>
      </c>
      <c r="G59" s="93">
        <v>46155</v>
      </c>
      <c r="H59" s="352"/>
      <c r="I59" s="352"/>
      <c r="J59" s="352"/>
      <c r="K59" s="352"/>
    </row>
    <row r="60" spans="1:40" x14ac:dyDescent="0.25">
      <c r="A60" s="360">
        <v>46107</v>
      </c>
      <c r="B60" s="351" t="s">
        <v>70</v>
      </c>
      <c r="C60" s="469" t="str">
        <f>VLOOKUP(Table2[[#This Row],[Course Title]],'TSD-Data'!$A$1:$E$83,2,FALSE)</f>
        <v>A-493-3003</v>
      </c>
      <c r="D60" s="483" t="s">
        <v>73</v>
      </c>
      <c r="E60" s="351" t="s">
        <v>101</v>
      </c>
      <c r="F60" s="470">
        <v>46176</v>
      </c>
      <c r="G60" s="470">
        <v>46178</v>
      </c>
      <c r="H60" s="352"/>
      <c r="I60" s="352"/>
      <c r="J60" s="352"/>
      <c r="K60" s="352"/>
    </row>
    <row r="61" spans="1:40" x14ac:dyDescent="0.25">
      <c r="A61" s="360">
        <v>46107</v>
      </c>
      <c r="B61" s="198" t="s">
        <v>70</v>
      </c>
      <c r="C61" s="482" t="str">
        <f>VLOOKUP(Table2[[#This Row],[Course Title]],'TSD-Data'!$A$1:$E$83,2,FALSE)</f>
        <v>A-493-3006</v>
      </c>
      <c r="D61" s="483" t="s">
        <v>73</v>
      </c>
      <c r="E61" s="198" t="s">
        <v>115</v>
      </c>
      <c r="F61" s="93">
        <v>46181</v>
      </c>
      <c r="G61" s="93">
        <v>46183</v>
      </c>
      <c r="H61" s="352"/>
      <c r="I61" s="352"/>
      <c r="J61" s="352"/>
      <c r="K61" s="352"/>
    </row>
    <row r="62" spans="1:40" x14ac:dyDescent="0.25">
      <c r="A62" s="360">
        <v>46107</v>
      </c>
      <c r="B62" s="351" t="s">
        <v>84</v>
      </c>
      <c r="C62" s="469" t="str">
        <f>VLOOKUP(Table2[[#This Row],[Course Title]],'TSD-Data'!$A$1:$E$83,2,FALSE)</f>
        <v>A-493-3007</v>
      </c>
      <c r="D62" s="482" t="s">
        <v>86</v>
      </c>
      <c r="E62" s="351" t="s">
        <v>115</v>
      </c>
      <c r="F62" s="470">
        <v>46184</v>
      </c>
      <c r="G62" s="470">
        <v>46184</v>
      </c>
      <c r="H62" s="352"/>
      <c r="I62" s="352"/>
      <c r="J62" s="352"/>
      <c r="K62" s="352"/>
    </row>
    <row r="63" spans="1:40" x14ac:dyDescent="0.25">
      <c r="A63" s="360">
        <v>46107</v>
      </c>
      <c r="B63" s="198" t="s">
        <v>70</v>
      </c>
      <c r="C63" s="482" t="str">
        <f>VLOOKUP(Table2[[#This Row],[Course Title]],'TSD-Data'!$A$1:$E$83,2,FALSE)</f>
        <v>A-493-2098</v>
      </c>
      <c r="D63" s="483" t="s">
        <v>73</v>
      </c>
      <c r="E63" s="198" t="s">
        <v>116</v>
      </c>
      <c r="F63" s="93">
        <v>46210</v>
      </c>
      <c r="G63" s="93">
        <v>46212</v>
      </c>
      <c r="H63" s="352"/>
      <c r="I63" s="352"/>
      <c r="J63" s="352"/>
      <c r="K63" s="352"/>
    </row>
    <row r="64" spans="1:40" x14ac:dyDescent="0.25">
      <c r="A64" s="360">
        <v>46107</v>
      </c>
      <c r="B64" s="351" t="s">
        <v>84</v>
      </c>
      <c r="C64" s="469" t="str">
        <f>VLOOKUP(Table2[[#This Row],[Course Title]],'TSD-Data'!$A$1:$E$83,2,FALSE)</f>
        <v>F-4J-0023</v>
      </c>
      <c r="D64" s="482" t="s">
        <v>86</v>
      </c>
      <c r="E64" s="351" t="s">
        <v>116</v>
      </c>
      <c r="F64" s="470">
        <v>46213</v>
      </c>
      <c r="G64" s="470">
        <v>46213</v>
      </c>
      <c r="H64" s="352"/>
      <c r="I64" s="352"/>
      <c r="J64" s="352"/>
      <c r="K64" s="352"/>
    </row>
    <row r="65" spans="1:11" x14ac:dyDescent="0.25">
      <c r="A65" s="360">
        <v>46107</v>
      </c>
      <c r="B65" s="198" t="s">
        <v>70</v>
      </c>
      <c r="C65" s="482" t="str">
        <f>VLOOKUP(Table2[[#This Row],[Course Title]],'TSD-Data'!$A$1:$E$83,2,FALSE)</f>
        <v>A-493-3011</v>
      </c>
      <c r="D65" s="483" t="s">
        <v>73</v>
      </c>
      <c r="E65" s="198" t="s">
        <v>117</v>
      </c>
      <c r="F65" s="93">
        <v>46218</v>
      </c>
      <c r="G65" s="93">
        <v>46220</v>
      </c>
      <c r="H65" s="352"/>
      <c r="I65" s="352"/>
      <c r="J65" s="352"/>
      <c r="K65" s="352"/>
    </row>
    <row r="66" spans="1:11" x14ac:dyDescent="0.25">
      <c r="A66" s="360">
        <v>46107</v>
      </c>
      <c r="B66" s="351" t="s">
        <v>84</v>
      </c>
      <c r="C66" s="469" t="str">
        <f>VLOOKUP(Table2[[#This Row],[Course Title]],'TSD-Data'!$A$1:$E$83,2,FALSE)</f>
        <v>A-493-3010</v>
      </c>
      <c r="D66" s="482" t="s">
        <v>86</v>
      </c>
      <c r="E66" s="351" t="s">
        <v>118</v>
      </c>
      <c r="F66" s="470">
        <v>46223</v>
      </c>
      <c r="G66" s="470">
        <v>46223</v>
      </c>
      <c r="H66" s="352"/>
      <c r="I66" s="352"/>
      <c r="J66" s="352"/>
      <c r="K66" s="352"/>
    </row>
    <row r="67" spans="1:11" x14ac:dyDescent="0.25">
      <c r="A67" s="360">
        <v>46107</v>
      </c>
      <c r="B67" s="198" t="s">
        <v>84</v>
      </c>
      <c r="C67" s="482" t="str">
        <f>VLOOKUP(Table2[[#This Row],[Course Title]],'TSD-Data'!$A$1:$E$83,2,FALSE)</f>
        <v>A-493-3018</v>
      </c>
      <c r="D67" s="482" t="s">
        <v>86</v>
      </c>
      <c r="E67" s="198" t="s">
        <v>118</v>
      </c>
      <c r="F67" s="91">
        <v>46224</v>
      </c>
      <c r="G67" s="91">
        <v>46224</v>
      </c>
      <c r="H67" s="352"/>
      <c r="I67" s="352"/>
      <c r="J67" s="352"/>
      <c r="K67" s="352"/>
    </row>
    <row r="68" spans="1:11" x14ac:dyDescent="0.25">
      <c r="A68" s="360">
        <v>46107</v>
      </c>
      <c r="B68" s="351" t="s">
        <v>70</v>
      </c>
      <c r="C68" s="469" t="str">
        <f>VLOOKUP(Table2[[#This Row],[Course Title]],'TSD-Data'!$A$1:$E$83,2,FALSE)</f>
        <v>A-493-3004</v>
      </c>
      <c r="D68" s="483" t="s">
        <v>73</v>
      </c>
      <c r="E68" s="351" t="s">
        <v>119</v>
      </c>
      <c r="F68" s="470">
        <v>46232</v>
      </c>
      <c r="G68" s="470">
        <v>46234</v>
      </c>
      <c r="H68" s="352"/>
      <c r="I68" s="352"/>
      <c r="J68" s="352"/>
      <c r="K68" s="352"/>
    </row>
    <row r="69" spans="1:11" x14ac:dyDescent="0.25">
      <c r="A69" s="360">
        <v>46107</v>
      </c>
      <c r="B69" s="198" t="s">
        <v>70</v>
      </c>
      <c r="C69" s="482" t="str">
        <f>VLOOKUP(Table2[[#This Row],[Course Title]],'TSD-Data'!$A$1:$E$83,2,FALSE)</f>
        <v>A-493-3001</v>
      </c>
      <c r="D69" s="483" t="s">
        <v>73</v>
      </c>
      <c r="E69" s="198" t="s">
        <v>51</v>
      </c>
      <c r="F69" s="93">
        <v>46237</v>
      </c>
      <c r="G69" s="93">
        <v>46239</v>
      </c>
      <c r="H69" s="352"/>
      <c r="I69" s="352"/>
      <c r="J69" s="352"/>
      <c r="K69" s="352"/>
    </row>
    <row r="70" spans="1:11" x14ac:dyDescent="0.25">
      <c r="A70" s="360">
        <v>46107</v>
      </c>
      <c r="B70" s="351" t="s">
        <v>84</v>
      </c>
      <c r="C70" s="469" t="str">
        <f>VLOOKUP(Table2[[#This Row],[Course Title]],'TSD-Data'!$A$1:$E$83,2,FALSE)</f>
        <v>A-493-3013</v>
      </c>
      <c r="D70" s="482" t="s">
        <v>86</v>
      </c>
      <c r="E70" s="351" t="s">
        <v>51</v>
      </c>
      <c r="F70" s="470">
        <v>46240</v>
      </c>
      <c r="G70" s="470">
        <v>46240</v>
      </c>
      <c r="H70" s="352"/>
      <c r="I70" s="352"/>
      <c r="J70" s="352"/>
      <c r="K70" s="352"/>
    </row>
    <row r="71" spans="1:11" x14ac:dyDescent="0.25">
      <c r="A71" s="360">
        <v>46107</v>
      </c>
      <c r="B71" s="198" t="s">
        <v>70</v>
      </c>
      <c r="C71" s="482" t="str">
        <f>VLOOKUP(Table2[[#This Row],[Course Title]],'TSD-Data'!$A$1:$E$83,2,FALSE)</f>
        <v>A-493-3014</v>
      </c>
      <c r="D71" s="483" t="s">
        <v>73</v>
      </c>
      <c r="E71" s="198" t="s">
        <v>76</v>
      </c>
      <c r="F71" s="93">
        <v>46251</v>
      </c>
      <c r="G71" s="93">
        <v>46253</v>
      </c>
      <c r="H71" s="352"/>
      <c r="I71" s="352"/>
      <c r="J71" s="352"/>
      <c r="K71" s="352"/>
    </row>
    <row r="72" spans="1:11" x14ac:dyDescent="0.25">
      <c r="A72" s="360">
        <v>46107</v>
      </c>
      <c r="B72" s="351" t="s">
        <v>70</v>
      </c>
      <c r="C72" s="469" t="str">
        <f>VLOOKUP(Table2[[#This Row],[Course Title]],'TSD-Data'!$A$1:$E$83,2,FALSE)</f>
        <v>A-493-3015</v>
      </c>
      <c r="D72" s="483" t="s">
        <v>73</v>
      </c>
      <c r="E72" s="477" t="s">
        <v>46</v>
      </c>
      <c r="F72" s="470">
        <v>46259</v>
      </c>
      <c r="G72" s="470">
        <v>46261</v>
      </c>
      <c r="H72" s="352"/>
      <c r="I72" s="352"/>
      <c r="J72" s="352"/>
      <c r="K72" s="352"/>
    </row>
    <row r="73" spans="1:11" x14ac:dyDescent="0.25">
      <c r="A73" s="360">
        <v>46107</v>
      </c>
      <c r="B73" s="198" t="s">
        <v>84</v>
      </c>
      <c r="C73" s="482" t="str">
        <f>VLOOKUP(Table2[[#This Row],[Course Title]],'TSD-Data'!$A$1:$E$83,2,FALSE)</f>
        <v>A-493-3016</v>
      </c>
      <c r="D73" s="482" t="s">
        <v>86</v>
      </c>
      <c r="E73" s="442" t="s">
        <v>46</v>
      </c>
      <c r="F73" s="93">
        <v>46262</v>
      </c>
      <c r="G73" s="93">
        <v>46262</v>
      </c>
      <c r="H73" s="352"/>
      <c r="I73" s="352"/>
      <c r="J73" s="352"/>
      <c r="K73" s="352"/>
    </row>
    <row r="74" spans="1:11" x14ac:dyDescent="0.25">
      <c r="A74" s="360">
        <v>46107</v>
      </c>
      <c r="B74" s="351" t="s">
        <v>70</v>
      </c>
      <c r="C74" s="469" t="str">
        <f>VLOOKUP(Table2[[#This Row],[Course Title]],'TSD-Data'!$A$1:$E$83,2,FALSE)</f>
        <v>A-493-3012</v>
      </c>
      <c r="D74" s="483" t="s">
        <v>73</v>
      </c>
      <c r="E74" s="477" t="s">
        <v>120</v>
      </c>
      <c r="F74" s="470">
        <v>46274</v>
      </c>
      <c r="G74" s="470">
        <v>46276</v>
      </c>
      <c r="H74" s="352"/>
      <c r="I74" s="352"/>
      <c r="J74" s="352"/>
      <c r="K74" s="352"/>
    </row>
    <row r="75" spans="1:11" x14ac:dyDescent="0.25">
      <c r="A75" s="360">
        <v>46107</v>
      </c>
      <c r="B75" s="198" t="s">
        <v>70</v>
      </c>
      <c r="C75" s="482" t="str">
        <f>VLOOKUP(Table2[[#This Row],[Course Title]],'TSD-Data'!$A$1:$E$83,2,FALSE)</f>
        <v>A-493-3005</v>
      </c>
      <c r="D75" s="483" t="s">
        <v>73</v>
      </c>
      <c r="E75" s="442" t="s">
        <v>121</v>
      </c>
      <c r="F75" s="93">
        <v>46279</v>
      </c>
      <c r="G75" s="93">
        <v>46281</v>
      </c>
      <c r="H75" s="352"/>
      <c r="I75" s="352"/>
      <c r="J75" s="352"/>
      <c r="K75" s="352"/>
    </row>
    <row r="76" spans="1:11" x14ac:dyDescent="0.25">
      <c r="A76" s="360">
        <v>46107</v>
      </c>
      <c r="B76" s="351" t="s">
        <v>70</v>
      </c>
      <c r="C76" s="469" t="str">
        <f>VLOOKUP(Table2[[#This Row],[Course Title]],'TSD-Data'!$A$1:$E$83,2,FALSE)</f>
        <v>A-493-3017</v>
      </c>
      <c r="D76" s="483" t="s">
        <v>73</v>
      </c>
      <c r="E76" s="477" t="s">
        <v>75</v>
      </c>
      <c r="F76" s="470">
        <v>46286</v>
      </c>
      <c r="G76" s="470">
        <v>46288</v>
      </c>
      <c r="H76" s="352"/>
      <c r="I76" s="352"/>
      <c r="J76" s="352"/>
      <c r="K76" s="352"/>
    </row>
    <row r="77" spans="1:11" x14ac:dyDescent="0.25">
      <c r="A77" s="360">
        <v>46107</v>
      </c>
      <c r="B77" s="351" t="s">
        <v>99</v>
      </c>
      <c r="C77" s="469" t="str">
        <f>VLOOKUP(Table2[[#This Row],[Course Title]],'TSD-Data'!$A$1:$E$83,2,FALSE)</f>
        <v>A-493-3008</v>
      </c>
      <c r="D77" s="469" t="s">
        <v>100</v>
      </c>
      <c r="E77" s="351" t="s">
        <v>46</v>
      </c>
      <c r="F77" s="470">
        <v>46153</v>
      </c>
      <c r="G77" s="470">
        <v>46153</v>
      </c>
      <c r="H77" s="352"/>
      <c r="I77" s="352"/>
      <c r="J77" s="352"/>
      <c r="K77" s="352"/>
    </row>
    <row r="78" spans="1:11" x14ac:dyDescent="0.25">
      <c r="A78" s="360">
        <v>46107</v>
      </c>
      <c r="B78" s="198" t="s">
        <v>99</v>
      </c>
      <c r="C78" s="482" t="str">
        <f>VLOOKUP(Table2[[#This Row],[Course Title]],'TSD-Data'!$A$1:$E$83,2,FALSE)</f>
        <v>A-493-3009</v>
      </c>
      <c r="D78" s="469" t="s">
        <v>100</v>
      </c>
      <c r="E78" s="198" t="s">
        <v>61</v>
      </c>
      <c r="F78" s="93">
        <v>46160</v>
      </c>
      <c r="G78" s="93">
        <v>46160</v>
      </c>
      <c r="H78" s="352"/>
      <c r="I78" s="352"/>
      <c r="J78" s="352"/>
      <c r="K78" s="352"/>
    </row>
    <row r="79" spans="1:11" x14ac:dyDescent="0.25">
      <c r="A79" s="360">
        <v>46107</v>
      </c>
      <c r="B79" s="351" t="s">
        <v>99</v>
      </c>
      <c r="C79" s="469" t="str">
        <f>VLOOKUP(Table2[[#This Row],[Course Title]],'TSD-Data'!$A$1:$E$83,2,FALSE)</f>
        <v>Holiday</v>
      </c>
      <c r="D79" s="469" t="s">
        <v>100</v>
      </c>
      <c r="E79" s="351" t="s">
        <v>122</v>
      </c>
      <c r="F79" s="470">
        <v>46161</v>
      </c>
      <c r="G79" s="470">
        <v>46161</v>
      </c>
      <c r="H79" s="352"/>
      <c r="I79" s="352"/>
      <c r="J79" s="352"/>
      <c r="K79" s="352"/>
    </row>
    <row r="80" spans="1:11" x14ac:dyDescent="0.25">
      <c r="A80" s="360">
        <v>46107</v>
      </c>
      <c r="B80" s="198" t="s">
        <v>99</v>
      </c>
      <c r="C80" s="482" t="str">
        <f>VLOOKUP(Table2[[#This Row],[Course Title]],'TSD-Data'!$A$1:$E$83,2,FALSE)</f>
        <v>A-493-0331</v>
      </c>
      <c r="D80" s="469" t="s">
        <v>100</v>
      </c>
      <c r="E80" s="198" t="s">
        <v>123</v>
      </c>
      <c r="F80" s="93">
        <v>46162</v>
      </c>
      <c r="G80" s="93">
        <v>46162</v>
      </c>
      <c r="H80" s="352"/>
      <c r="I80" s="352"/>
      <c r="J80" s="352"/>
      <c r="K80" s="352"/>
    </row>
    <row r="81" spans="1:11" x14ac:dyDescent="0.25">
      <c r="A81" s="360">
        <v>46107</v>
      </c>
      <c r="B81" s="351" t="s">
        <v>99</v>
      </c>
      <c r="C81" s="469" t="str">
        <f>VLOOKUP(Table2[[#This Row],[Course Title]],'TSD-Data'!$A$1:$E$83,2,FALSE)</f>
        <v>A-493-0665</v>
      </c>
      <c r="D81" s="469" t="s">
        <v>100</v>
      </c>
      <c r="E81" s="351" t="s">
        <v>124</v>
      </c>
      <c r="F81" s="470">
        <v>46163</v>
      </c>
      <c r="G81" s="470">
        <v>46163</v>
      </c>
      <c r="H81" s="352"/>
      <c r="I81" s="352"/>
      <c r="J81" s="352"/>
      <c r="K81" s="352"/>
    </row>
    <row r="82" spans="1:11" x14ac:dyDescent="0.25">
      <c r="A82" s="360">
        <v>46107</v>
      </c>
      <c r="B82" s="198" t="s">
        <v>99</v>
      </c>
      <c r="C82" s="482" t="str">
        <f>VLOOKUP(Table2[[#This Row],[Course Title]],'TSD-Data'!$A$1:$E$83,2,FALSE)</f>
        <v>A-493-0061</v>
      </c>
      <c r="D82" s="469" t="s">
        <v>100</v>
      </c>
      <c r="E82" s="198" t="s">
        <v>83</v>
      </c>
      <c r="F82" s="93">
        <v>46181</v>
      </c>
      <c r="G82" s="93">
        <v>46181</v>
      </c>
      <c r="H82" s="352"/>
      <c r="I82" s="352"/>
      <c r="J82" s="352"/>
      <c r="K82" s="352"/>
    </row>
    <row r="83" spans="1:11" x14ac:dyDescent="0.25">
      <c r="A83" s="360">
        <v>46107</v>
      </c>
      <c r="B83" s="351" t="s">
        <v>99</v>
      </c>
      <c r="C83" s="469" t="str">
        <f>VLOOKUP(Table2[[#This Row],[Course Title]],'TSD-Data'!$A$1:$E$83,2,FALSE)</f>
        <v>A-493-0012</v>
      </c>
      <c r="D83" s="469" t="s">
        <v>100</v>
      </c>
      <c r="E83" s="351" t="s">
        <v>96</v>
      </c>
      <c r="F83" s="470">
        <v>46183</v>
      </c>
      <c r="G83" s="470">
        <v>46183</v>
      </c>
      <c r="H83" s="352"/>
      <c r="I83" s="352"/>
      <c r="J83" s="352"/>
      <c r="K83" s="352"/>
    </row>
    <row r="84" spans="1:11" x14ac:dyDescent="0.25">
      <c r="A84" s="360">
        <v>46107</v>
      </c>
      <c r="B84" s="198" t="s">
        <v>99</v>
      </c>
      <c r="C84" s="482" t="str">
        <f>VLOOKUP(Table2[[#This Row],[Course Title]],'TSD-Data'!$A$1:$E$83,2,FALSE)</f>
        <v>A-493-0012</v>
      </c>
      <c r="D84" s="469" t="s">
        <v>100</v>
      </c>
      <c r="E84" s="198" t="s">
        <v>119</v>
      </c>
      <c r="F84" s="93">
        <v>46185</v>
      </c>
      <c r="G84" s="93">
        <v>46185</v>
      </c>
      <c r="H84" s="352"/>
      <c r="I84" s="352"/>
      <c r="J84" s="352"/>
      <c r="K84" s="352"/>
    </row>
    <row r="85" spans="1:11" x14ac:dyDescent="0.25">
      <c r="A85" s="360">
        <v>46107</v>
      </c>
      <c r="B85" s="351" t="s">
        <v>99</v>
      </c>
      <c r="C85" s="469" t="str">
        <f>VLOOKUP(Table2[[#This Row],[Course Title]],'TSD-Data'!$A$1:$E$83,2,FALSE)</f>
        <v>A-322-2604</v>
      </c>
      <c r="D85" s="469" t="s">
        <v>100</v>
      </c>
      <c r="E85" s="351" t="s">
        <v>125</v>
      </c>
      <c r="F85" s="470">
        <v>46195</v>
      </c>
      <c r="G85" s="470">
        <v>46195</v>
      </c>
      <c r="H85" s="352"/>
      <c r="I85" s="352"/>
      <c r="J85" s="352"/>
      <c r="K85" s="352"/>
    </row>
    <row r="86" spans="1:11" x14ac:dyDescent="0.25">
      <c r="A86" s="360">
        <v>46107</v>
      </c>
      <c r="B86" s="198" t="s">
        <v>99</v>
      </c>
      <c r="C86" s="482" t="str">
        <f>VLOOKUP(Table2[[#This Row],[Course Title]],'TSD-Data'!$A$1:$E$83,2,FALSE)</f>
        <v>A-493-0335</v>
      </c>
      <c r="D86" s="469" t="s">
        <v>100</v>
      </c>
      <c r="E86" s="198" t="s">
        <v>103</v>
      </c>
      <c r="F86" s="93">
        <v>46196</v>
      </c>
      <c r="G86" s="93">
        <v>46196</v>
      </c>
      <c r="H86" s="352"/>
      <c r="I86" s="352"/>
      <c r="J86" s="352"/>
      <c r="K86" s="352"/>
    </row>
    <row r="87" spans="1:11" x14ac:dyDescent="0.25">
      <c r="A87" s="360">
        <v>46107</v>
      </c>
      <c r="B87" s="351" t="s">
        <v>99</v>
      </c>
      <c r="C87" s="469" t="str">
        <f>VLOOKUP(Table2[[#This Row],[Course Title]],'TSD-Data'!$A$1:$E$83,2,FALSE)</f>
        <v>A-493-0550</v>
      </c>
      <c r="D87" s="469" t="s">
        <v>100</v>
      </c>
      <c r="E87" s="351" t="s">
        <v>76</v>
      </c>
      <c r="F87" s="470">
        <v>46197</v>
      </c>
      <c r="G87" s="470">
        <v>46197</v>
      </c>
      <c r="H87" s="352"/>
      <c r="I87" s="352"/>
      <c r="J87" s="352"/>
      <c r="K87" s="352"/>
    </row>
    <row r="88" spans="1:11" x14ac:dyDescent="0.25">
      <c r="A88" s="360">
        <v>46107</v>
      </c>
      <c r="B88" s="198" t="s">
        <v>99</v>
      </c>
      <c r="C88" s="482" t="str">
        <f>VLOOKUP(Table2[[#This Row],[Course Title]],'TSD-Data'!$A$1:$E$83,2,FALSE)</f>
        <v>A-493-0078</v>
      </c>
      <c r="D88" s="469" t="s">
        <v>100</v>
      </c>
      <c r="E88" s="198" t="s">
        <v>74</v>
      </c>
      <c r="F88" s="93">
        <v>46198</v>
      </c>
      <c r="G88" s="93">
        <v>46198</v>
      </c>
      <c r="H88" s="352"/>
      <c r="I88" s="352"/>
      <c r="J88" s="352"/>
      <c r="K88" s="352"/>
    </row>
    <row r="89" spans="1:11" x14ac:dyDescent="0.25">
      <c r="A89" s="360">
        <v>46107</v>
      </c>
      <c r="B89" s="351" t="s">
        <v>99</v>
      </c>
      <c r="C89" s="469" t="str">
        <f>VLOOKUP(Table2[[#This Row],[Course Title]],'TSD-Data'!$A$1:$E$83,2,FALSE)</f>
        <v>A-493-0085</v>
      </c>
      <c r="D89" s="469" t="s">
        <v>100</v>
      </c>
      <c r="E89" s="351" t="s">
        <v>112</v>
      </c>
      <c r="F89" s="470">
        <v>46209</v>
      </c>
      <c r="G89" s="470">
        <v>46209</v>
      </c>
      <c r="H89" s="352"/>
      <c r="I89" s="352"/>
      <c r="J89" s="352"/>
      <c r="K89" s="352"/>
    </row>
    <row r="90" spans="1:11" x14ac:dyDescent="0.25">
      <c r="A90" s="360">
        <v>46107</v>
      </c>
      <c r="B90" s="198" t="s">
        <v>99</v>
      </c>
      <c r="C90" s="482" t="str">
        <f>VLOOKUP(Table2[[#This Row],[Course Title]],'TSD-Data'!$A$1:$E$83,2,FALSE)</f>
        <v>A-570-0100</v>
      </c>
      <c r="D90" s="469" t="s">
        <v>100</v>
      </c>
      <c r="E90" s="198" t="s">
        <v>117</v>
      </c>
      <c r="F90" s="93">
        <v>46210</v>
      </c>
      <c r="G90" s="93">
        <v>46210</v>
      </c>
      <c r="H90" s="352"/>
      <c r="I90" s="352"/>
      <c r="J90" s="352"/>
      <c r="K90" s="352"/>
    </row>
    <row r="91" spans="1:11" x14ac:dyDescent="0.25">
      <c r="A91" s="360">
        <v>46107</v>
      </c>
      <c r="B91" s="351" t="s">
        <v>99</v>
      </c>
      <c r="C91" s="469" t="str">
        <f>VLOOKUP(Table2[[#This Row],[Course Title]],'TSD-Data'!$A$1:$E$83,2,FALSE)</f>
        <v>A-493-2098</v>
      </c>
      <c r="D91" s="469" t="s">
        <v>100</v>
      </c>
      <c r="E91" s="351" t="s">
        <v>126</v>
      </c>
      <c r="F91" s="470">
        <v>46213</v>
      </c>
      <c r="G91" s="470">
        <v>46213</v>
      </c>
      <c r="H91" s="352"/>
      <c r="I91" s="352"/>
      <c r="J91" s="352"/>
      <c r="K91" s="352"/>
    </row>
    <row r="92" spans="1:11" x14ac:dyDescent="0.25">
      <c r="A92" s="360">
        <v>46107</v>
      </c>
      <c r="B92" s="355" t="s">
        <v>99</v>
      </c>
      <c r="C92" s="489" t="str">
        <f>VLOOKUP(Table2[[#This Row],[Course Title]],'TSD-Data'!$A$1:$E$83,2,FALSE)</f>
        <v>A-4J-0022</v>
      </c>
      <c r="D92" s="490" t="s">
        <v>100</v>
      </c>
      <c r="E92" s="355" t="s">
        <v>127</v>
      </c>
      <c r="F92" s="491">
        <v>46224</v>
      </c>
      <c r="G92" s="491">
        <v>46224</v>
      </c>
      <c r="H92" s="480"/>
      <c r="I92" s="480"/>
      <c r="J92" s="480"/>
      <c r="K92" s="480"/>
    </row>
    <row r="93" spans="1:11" x14ac:dyDescent="0.25">
      <c r="A93" s="360">
        <v>46107</v>
      </c>
      <c r="B93" s="485" t="s">
        <v>99</v>
      </c>
      <c r="C93" s="486" t="str">
        <f>VLOOKUP(Table2[[#This Row],[Course Title]],'TSD-Data'!$A$1:$E$83,2,FALSE)</f>
        <v>A-493-0099</v>
      </c>
      <c r="D93" s="486" t="s">
        <v>100</v>
      </c>
      <c r="E93" s="485" t="s">
        <v>114</v>
      </c>
      <c r="F93" s="487">
        <v>46238</v>
      </c>
      <c r="G93" s="487">
        <v>46238</v>
      </c>
      <c r="H93" s="352"/>
      <c r="I93" s="352"/>
      <c r="J93" s="352"/>
      <c r="K93" s="352"/>
    </row>
    <row r="94" spans="1:11" x14ac:dyDescent="0.25">
      <c r="A94" s="360">
        <v>46107</v>
      </c>
      <c r="B94" s="87" t="s">
        <v>99</v>
      </c>
      <c r="C94" s="488" t="str">
        <f>VLOOKUP(Table2[[#This Row],[Course Title]],'TSD-Data'!$A$1:$E$83,2,FALSE)</f>
        <v>Function</v>
      </c>
      <c r="D94" s="486" t="s">
        <v>100</v>
      </c>
      <c r="E94" s="87" t="s">
        <v>128</v>
      </c>
      <c r="F94" s="69">
        <v>46240</v>
      </c>
      <c r="G94" s="69">
        <v>46240</v>
      </c>
      <c r="H94" s="352"/>
      <c r="I94" s="352"/>
      <c r="J94" s="352"/>
      <c r="K94" s="352"/>
    </row>
    <row r="95" spans="1:11" x14ac:dyDescent="0.25">
      <c r="A95" s="360">
        <v>46107</v>
      </c>
      <c r="B95" s="485" t="s">
        <v>99</v>
      </c>
      <c r="C95" s="486" t="str">
        <f>VLOOKUP(Table2[[#This Row],[Course Title]],'TSD-Data'!$A$1:$E$83,2,FALSE)</f>
        <v>Holiday</v>
      </c>
      <c r="D95" s="486" t="s">
        <v>100</v>
      </c>
      <c r="E95" s="485" t="s">
        <v>129</v>
      </c>
      <c r="F95" s="487">
        <v>46252</v>
      </c>
      <c r="G95" s="487">
        <v>46252</v>
      </c>
      <c r="H95" s="352"/>
      <c r="I95" s="352"/>
      <c r="J95" s="352"/>
      <c r="K95" s="352"/>
    </row>
    <row r="96" spans="1:11" x14ac:dyDescent="0.25">
      <c r="A96" s="360">
        <v>46107</v>
      </c>
      <c r="B96" s="359" t="s">
        <v>49</v>
      </c>
      <c r="C96" s="469" t="str">
        <f>VLOOKUP(Table2[[#This Row],[Course Title]],'TSD-Data'!$A$1:$E$83,2,FALSE)</f>
        <v>A-493-0103</v>
      </c>
      <c r="D96" s="469">
        <v>3682</v>
      </c>
      <c r="E96" s="359" t="s">
        <v>112</v>
      </c>
      <c r="F96" s="481">
        <v>46160</v>
      </c>
      <c r="G96" s="481">
        <v>46164</v>
      </c>
      <c r="H96" s="352"/>
      <c r="I96" s="352"/>
      <c r="J96" s="352"/>
      <c r="K96" s="352"/>
    </row>
    <row r="97" spans="1:11" x14ac:dyDescent="0.25">
      <c r="A97" s="360">
        <v>46107</v>
      </c>
      <c r="B97" s="358" t="s">
        <v>49</v>
      </c>
      <c r="C97" s="482" t="str">
        <f>VLOOKUP(Table2[[#This Row],[Course Title]],'TSD-Data'!$A$1:$E$83,2,FALSE)</f>
        <v>A-493-0061</v>
      </c>
      <c r="D97" s="469">
        <v>3682</v>
      </c>
      <c r="E97" s="358" t="s">
        <v>130</v>
      </c>
      <c r="F97" s="479">
        <v>46160</v>
      </c>
      <c r="G97" s="479">
        <v>46164</v>
      </c>
      <c r="H97" s="352"/>
      <c r="I97" s="352"/>
      <c r="J97" s="352"/>
      <c r="K97" s="352"/>
    </row>
    <row r="98" spans="1:11" x14ac:dyDescent="0.25">
      <c r="A98" s="360">
        <v>46107</v>
      </c>
      <c r="B98" s="359" t="s">
        <v>49</v>
      </c>
      <c r="C98" s="469" t="str">
        <f>VLOOKUP(Table2[[#This Row],[Course Title]],'TSD-Data'!$A$1:$E$83,2,FALSE)</f>
        <v>A-322-2604</v>
      </c>
      <c r="D98" s="469">
        <v>3682</v>
      </c>
      <c r="E98" s="359" t="s">
        <v>83</v>
      </c>
      <c r="F98" s="470">
        <v>46181</v>
      </c>
      <c r="G98" s="470">
        <v>46185</v>
      </c>
      <c r="H98" s="352"/>
      <c r="I98" s="352"/>
      <c r="J98" s="352"/>
      <c r="K98" s="352"/>
    </row>
    <row r="99" spans="1:11" x14ac:dyDescent="0.25">
      <c r="A99" s="360">
        <v>46107</v>
      </c>
      <c r="B99" s="358" t="s">
        <v>49</v>
      </c>
      <c r="C99" s="482" t="str">
        <f>VLOOKUP(Table2[[#This Row],[Course Title]],'TSD-Data'!$A$1:$E$83,2,FALSE)</f>
        <v>A-493-0550</v>
      </c>
      <c r="D99" s="469">
        <v>3682</v>
      </c>
      <c r="E99" s="358" t="s">
        <v>120</v>
      </c>
      <c r="F99" s="93">
        <v>46223</v>
      </c>
      <c r="G99" s="93">
        <v>46227</v>
      </c>
      <c r="H99" s="352"/>
      <c r="I99" s="352"/>
      <c r="J99" s="352"/>
      <c r="K99" s="352"/>
    </row>
    <row r="100" spans="1:11" x14ac:dyDescent="0.25">
      <c r="A100" s="360">
        <v>46107</v>
      </c>
      <c r="B100" s="359" t="s">
        <v>49</v>
      </c>
      <c r="C100" s="469" t="str">
        <f>VLOOKUP(Table2[[#This Row],[Course Title]],'TSD-Data'!$A$1:$E$83,2,FALSE)</f>
        <v>A-493-2098</v>
      </c>
      <c r="D100" s="469">
        <v>3682</v>
      </c>
      <c r="E100" s="359" t="s">
        <v>129</v>
      </c>
      <c r="F100" s="481">
        <v>46237</v>
      </c>
      <c r="G100" s="481">
        <v>46241</v>
      </c>
      <c r="H100" s="352"/>
      <c r="I100" s="352"/>
      <c r="J100" s="352"/>
      <c r="K100" s="352"/>
    </row>
    <row r="101" spans="1:11" x14ac:dyDescent="0.25">
      <c r="A101" s="360">
        <v>46107</v>
      </c>
      <c r="B101" s="358" t="s">
        <v>49</v>
      </c>
      <c r="C101" s="482" t="str">
        <f>VLOOKUP(Table2[[#This Row],[Course Title]],'TSD-Data'!$A$1:$E$83,2,FALSE)</f>
        <v>A-493-0099</v>
      </c>
      <c r="D101" s="469">
        <v>3682</v>
      </c>
      <c r="E101" s="358" t="s">
        <v>128</v>
      </c>
      <c r="F101" s="479">
        <v>46244</v>
      </c>
      <c r="G101" s="479">
        <v>46248</v>
      </c>
      <c r="H101" s="352"/>
      <c r="I101" s="352"/>
      <c r="J101" s="352"/>
      <c r="K101" s="352"/>
    </row>
    <row r="102" spans="1:11" x14ac:dyDescent="0.25">
      <c r="A102" s="360">
        <v>46107</v>
      </c>
      <c r="B102" s="351" t="s">
        <v>49</v>
      </c>
      <c r="C102" s="469" t="str">
        <f>VLOOKUP(Table2[[#This Row],[Course Title]],'TSD-Data'!$A$1:$E$83,2,FALSE)</f>
        <v>A-493-0070</v>
      </c>
      <c r="D102" s="469">
        <v>3682</v>
      </c>
      <c r="E102" s="477" t="s">
        <v>131</v>
      </c>
      <c r="F102" s="470">
        <v>46265</v>
      </c>
      <c r="G102" s="470">
        <v>46269</v>
      </c>
      <c r="H102" s="352"/>
      <c r="I102" s="352"/>
      <c r="J102" s="352"/>
      <c r="K102" s="352"/>
    </row>
    <row r="103" spans="1:11" x14ac:dyDescent="0.25">
      <c r="A103" s="360">
        <v>46107</v>
      </c>
      <c r="B103" s="358" t="s">
        <v>49</v>
      </c>
      <c r="C103" s="482" t="str">
        <f>VLOOKUP(Table2[[#This Row],[Course Title]],'TSD-Data'!$A$1:$E$83,2,FALSE)</f>
        <v>A-493-0665</v>
      </c>
      <c r="D103" s="469">
        <v>3682</v>
      </c>
      <c r="E103" s="443" t="s">
        <v>132</v>
      </c>
      <c r="F103" s="479">
        <v>46279</v>
      </c>
      <c r="G103" s="479">
        <v>46283</v>
      </c>
      <c r="H103" s="352"/>
      <c r="I103" s="352"/>
      <c r="J103" s="352"/>
      <c r="K103" s="352"/>
    </row>
    <row r="104" spans="1:11" x14ac:dyDescent="0.25">
      <c r="A104" s="360">
        <v>46107</v>
      </c>
      <c r="B104" s="359" t="s">
        <v>49</v>
      </c>
      <c r="C104" s="469" t="str">
        <f>VLOOKUP(Table2[[#This Row],[Course Title]],'TSD-Data'!$A$1:$E$83,2,FALSE)</f>
        <v>A-493-0103</v>
      </c>
      <c r="D104" s="469">
        <v>3682</v>
      </c>
      <c r="E104" s="492" t="s">
        <v>78</v>
      </c>
      <c r="F104" s="481">
        <v>46286</v>
      </c>
      <c r="G104" s="481">
        <v>46290</v>
      </c>
      <c r="H104" s="352"/>
      <c r="I104" s="352"/>
      <c r="J104" s="352"/>
      <c r="K104" s="352"/>
    </row>
    <row r="105" spans="1:11" x14ac:dyDescent="0.25">
      <c r="A105" s="360">
        <v>46107</v>
      </c>
      <c r="B105" s="198" t="s">
        <v>45</v>
      </c>
      <c r="C105" s="482" t="str">
        <f>VLOOKUP(Table2[[#This Row],[Course Title]],'TSD-Data'!$A$1:$E$83,2,FALSE)</f>
        <v>A-493-0078</v>
      </c>
      <c r="D105" s="482">
        <v>3683</v>
      </c>
      <c r="E105" s="198" t="s">
        <v>122</v>
      </c>
      <c r="F105" s="93">
        <v>46161</v>
      </c>
      <c r="G105" s="93">
        <v>46163</v>
      </c>
      <c r="H105" s="352"/>
      <c r="I105" s="352"/>
      <c r="J105" s="352"/>
      <c r="K105" s="352"/>
    </row>
    <row r="106" spans="1:11" x14ac:dyDescent="0.25">
      <c r="A106" s="360">
        <v>46107</v>
      </c>
      <c r="B106" s="198" t="s">
        <v>45</v>
      </c>
      <c r="C106" s="482" t="str">
        <f>VLOOKUP(Table2[[#This Row],[Course Title]],'TSD-Data'!$A$1:$E$83,2,FALSE)</f>
        <v>A-570-0100</v>
      </c>
      <c r="D106" s="482">
        <v>3683</v>
      </c>
      <c r="E106" s="198" t="s">
        <v>74</v>
      </c>
      <c r="F106" s="93">
        <v>46196</v>
      </c>
      <c r="G106" s="93">
        <v>46198</v>
      </c>
      <c r="H106" s="352"/>
      <c r="I106" s="352"/>
      <c r="J106" s="352"/>
      <c r="K106" s="352"/>
    </row>
    <row r="107" spans="1:11" x14ac:dyDescent="0.25">
      <c r="A107" s="360">
        <v>46107</v>
      </c>
      <c r="B107" s="351" t="s">
        <v>45</v>
      </c>
      <c r="C107" s="469" t="str">
        <f>VLOOKUP(Table2[[#This Row],[Course Title]],'TSD-Data'!$A$1:$E$83,2,FALSE)</f>
        <v>A-493-2098</v>
      </c>
      <c r="D107" s="482">
        <v>3683</v>
      </c>
      <c r="E107" s="351" t="s">
        <v>133</v>
      </c>
      <c r="F107" s="470">
        <v>46202</v>
      </c>
      <c r="G107" s="470">
        <v>46204</v>
      </c>
      <c r="H107" s="352"/>
      <c r="I107" s="352"/>
      <c r="J107" s="352"/>
      <c r="K107" s="352"/>
    </row>
    <row r="108" spans="1:11" x14ac:dyDescent="0.25">
      <c r="A108" s="360">
        <v>46107</v>
      </c>
      <c r="B108" s="198" t="s">
        <v>45</v>
      </c>
      <c r="C108" s="482" t="str">
        <f>VLOOKUP(Table2[[#This Row],[Course Title]],'TSD-Data'!$A$1:$E$83,2,FALSE)</f>
        <v>A-493-0015</v>
      </c>
      <c r="D108" s="482">
        <v>3683</v>
      </c>
      <c r="E108" s="198" t="s">
        <v>117</v>
      </c>
      <c r="F108" s="93">
        <v>46223</v>
      </c>
      <c r="G108" s="93">
        <v>46225</v>
      </c>
      <c r="H108" s="352"/>
      <c r="I108" s="352"/>
      <c r="J108" s="352"/>
      <c r="K108" s="352"/>
    </row>
    <row r="109" spans="1:11" x14ac:dyDescent="0.25">
      <c r="A109" s="360">
        <v>46107</v>
      </c>
      <c r="B109" s="351" t="s">
        <v>45</v>
      </c>
      <c r="C109" s="469" t="str">
        <f>VLOOKUP(Table2[[#This Row],[Course Title]],'TSD-Data'!$A$1:$E$83,2,FALSE)</f>
        <v>A-493-0020</v>
      </c>
      <c r="D109" s="482">
        <v>3683</v>
      </c>
      <c r="E109" s="351" t="s">
        <v>114</v>
      </c>
      <c r="F109" s="484">
        <v>46224</v>
      </c>
      <c r="G109" s="484">
        <v>46226</v>
      </c>
      <c r="H109" s="352"/>
      <c r="I109" s="352"/>
      <c r="J109" s="352"/>
      <c r="K109" s="352"/>
    </row>
    <row r="110" spans="1:11" x14ac:dyDescent="0.25">
      <c r="A110" s="360">
        <v>46107</v>
      </c>
      <c r="B110" s="198" t="s">
        <v>45</v>
      </c>
      <c r="C110" s="482" t="str">
        <f>VLOOKUP(Table2[[#This Row],[Course Title]],'TSD-Data'!$A$1:$E$83,2,FALSE)</f>
        <v>A-493-0331</v>
      </c>
      <c r="D110" s="482">
        <v>3683</v>
      </c>
      <c r="E110" s="198" t="s">
        <v>75</v>
      </c>
      <c r="F110" s="93">
        <v>46238</v>
      </c>
      <c r="G110" s="93">
        <v>46240</v>
      </c>
      <c r="H110" s="352"/>
      <c r="I110" s="352"/>
      <c r="J110" s="352"/>
      <c r="K110" s="352"/>
    </row>
    <row r="111" spans="1:11" x14ac:dyDescent="0.25">
      <c r="A111" s="360">
        <v>46107</v>
      </c>
      <c r="B111" s="351" t="s">
        <v>45</v>
      </c>
      <c r="C111" s="469" t="str">
        <f>VLOOKUP(Table2[[#This Row],[Course Title]],'TSD-Data'!$A$1:$E$83,2,FALSE)</f>
        <v>A-493-0550</v>
      </c>
      <c r="D111" s="482">
        <v>3683</v>
      </c>
      <c r="E111" s="351" t="s">
        <v>125</v>
      </c>
      <c r="F111" s="470">
        <v>46238</v>
      </c>
      <c r="G111" s="470">
        <v>46240</v>
      </c>
      <c r="H111" s="352"/>
      <c r="I111" s="352"/>
      <c r="J111" s="352"/>
      <c r="K111" s="352"/>
    </row>
    <row r="112" spans="1:11" x14ac:dyDescent="0.25">
      <c r="A112" s="360">
        <v>46107</v>
      </c>
      <c r="B112" s="198" t="s">
        <v>45</v>
      </c>
      <c r="C112" s="482" t="str">
        <f>VLOOKUP(Table2[[#This Row],[Course Title]],'TSD-Data'!$A$1:$E$83,2,FALSE)</f>
        <v>Function</v>
      </c>
      <c r="D112" s="482">
        <v>3683</v>
      </c>
      <c r="E112" s="442" t="s">
        <v>134</v>
      </c>
      <c r="F112" s="91">
        <v>46260</v>
      </c>
      <c r="G112" s="91">
        <v>46262</v>
      </c>
      <c r="H112" s="352"/>
      <c r="I112" s="352"/>
      <c r="J112" s="352"/>
      <c r="K112" s="352"/>
    </row>
    <row r="113" spans="1:41" x14ac:dyDescent="0.25">
      <c r="A113" s="360">
        <v>46107</v>
      </c>
      <c r="B113" s="351" t="s">
        <v>45</v>
      </c>
      <c r="C113" s="469" t="str">
        <f>VLOOKUP(Table2[[#This Row],[Course Title]],'TSD-Data'!$A$1:$E$83,2,FALSE)</f>
        <v>A-493-3002</v>
      </c>
      <c r="D113" s="482">
        <v>3683</v>
      </c>
      <c r="E113" s="477" t="s">
        <v>118</v>
      </c>
      <c r="F113" s="470">
        <v>46265</v>
      </c>
      <c r="G113" s="470">
        <v>46267</v>
      </c>
      <c r="H113" s="352"/>
      <c r="I113" s="352"/>
      <c r="J113" s="352"/>
      <c r="K113" s="352"/>
    </row>
    <row r="114" spans="1:41" x14ac:dyDescent="0.25">
      <c r="A114" s="360">
        <v>46107</v>
      </c>
      <c r="B114" s="198" t="s">
        <v>45</v>
      </c>
      <c r="C114" s="482" t="str">
        <f>VLOOKUP(Table2[[#This Row],[Course Title]],'TSD-Data'!$A$1:$E$83,2,FALSE)</f>
        <v>A-493-3006</v>
      </c>
      <c r="D114" s="482">
        <v>3683</v>
      </c>
      <c r="E114" s="442" t="s">
        <v>96</v>
      </c>
      <c r="F114" s="93">
        <v>46274</v>
      </c>
      <c r="G114" s="93">
        <v>46276</v>
      </c>
      <c r="H114" s="352"/>
      <c r="I114" s="352"/>
      <c r="J114" s="352"/>
      <c r="K114" s="352"/>
    </row>
    <row r="115" spans="1:41" x14ac:dyDescent="0.25">
      <c r="A115" s="360">
        <v>46107</v>
      </c>
      <c r="B115" s="351" t="s">
        <v>45</v>
      </c>
      <c r="C115" s="469" t="str">
        <f>VLOOKUP(Table2[[#This Row],[Course Title]],'TSD-Data'!$A$1:$E$83,2,FALSE)</f>
        <v>A-4J-0022</v>
      </c>
      <c r="D115" s="482">
        <v>3683</v>
      </c>
      <c r="E115" s="477" t="s">
        <v>135</v>
      </c>
      <c r="F115" s="470">
        <v>46293</v>
      </c>
      <c r="G115" s="470">
        <v>46295</v>
      </c>
      <c r="H115" s="352"/>
      <c r="I115" s="352"/>
      <c r="J115" s="352"/>
      <c r="K115" s="352"/>
    </row>
    <row r="116" spans="1:41" x14ac:dyDescent="0.25">
      <c r="A116" s="360">
        <v>46127</v>
      </c>
      <c r="B116" s="359" t="s">
        <v>49</v>
      </c>
      <c r="C116" s="469" t="str">
        <f>VLOOKUP(Table2[[#This Row],[Course Title]],'TSD-Data'!$A$1:$E$83,2,FALSE)</f>
        <v>A-493-0103</v>
      </c>
      <c r="D116" s="469">
        <v>3682</v>
      </c>
      <c r="E116" s="359" t="s">
        <v>50</v>
      </c>
      <c r="F116" s="481">
        <v>46146</v>
      </c>
      <c r="G116" s="481">
        <v>46150</v>
      </c>
      <c r="H116" s="352"/>
      <c r="I116" s="352"/>
      <c r="J116" s="352"/>
      <c r="K116" s="352"/>
    </row>
    <row r="117" spans="1:41" x14ac:dyDescent="0.25">
      <c r="A117" s="360">
        <v>46127</v>
      </c>
      <c r="B117" s="351" t="s">
        <v>45</v>
      </c>
      <c r="C117" s="469" t="str">
        <f>VLOOKUP(Table2[[#This Row],[Course Title]],'TSD-Data'!$A$1:$E$83,2,FALSE)</f>
        <v>A-493-0061</v>
      </c>
      <c r="D117" s="469">
        <v>3683</v>
      </c>
      <c r="E117" s="351" t="s">
        <v>116</v>
      </c>
      <c r="F117" s="470">
        <v>46181</v>
      </c>
      <c r="G117" s="470">
        <v>46183</v>
      </c>
      <c r="H117" s="352"/>
      <c r="I117" s="352"/>
      <c r="J117" s="352"/>
      <c r="K117" s="352"/>
    </row>
    <row r="118" spans="1:41" x14ac:dyDescent="0.25">
      <c r="A118" s="360">
        <v>46127</v>
      </c>
      <c r="B118" s="513" t="s">
        <v>72</v>
      </c>
      <c r="C118" s="489" t="s">
        <v>136</v>
      </c>
      <c r="D118" s="489">
        <v>5891</v>
      </c>
      <c r="E118" s="442" t="s">
        <v>101</v>
      </c>
      <c r="F118" s="93">
        <v>46281</v>
      </c>
      <c r="G118" s="93">
        <v>46283</v>
      </c>
      <c r="H118" s="352"/>
      <c r="I118" s="352"/>
      <c r="J118" s="352"/>
      <c r="K118" s="352"/>
    </row>
    <row r="119" spans="1:41" s="196" customFormat="1" x14ac:dyDescent="0.25">
      <c r="A119" s="512" t="s">
        <v>137</v>
      </c>
      <c r="B119" s="87" t="s">
        <v>138</v>
      </c>
      <c r="C119" s="488" t="str">
        <f>VLOOKUP(Table2[[#This Row],[Course Title]],'TSD-Data'!$A$1:$E$83,2,FALSE)</f>
        <v>A-493-3010</v>
      </c>
      <c r="D119" s="488" t="str">
        <f>VLOOKUP(Table2[[#This Row],[Course Title]],'TSD-Data'!$A$1:$E$83,3,FALSE)</f>
        <v>31VC</v>
      </c>
      <c r="E119" s="83" t="s">
        <v>130</v>
      </c>
      <c r="F119" s="61">
        <v>46146</v>
      </c>
      <c r="G119" s="61">
        <v>45785</v>
      </c>
      <c r="H119" s="61"/>
      <c r="I119" s="64"/>
      <c r="K119" s="64"/>
      <c r="L119" s="61"/>
      <c r="M119" s="61"/>
      <c r="N119" s="61"/>
      <c r="O119" s="61"/>
      <c r="P119" s="61"/>
      <c r="Q119" s="73" t="s">
        <v>55</v>
      </c>
      <c r="R119" s="73"/>
      <c r="S119" s="73"/>
      <c r="T119" s="59">
        <f>VLOOKUP(Table2[[#This Row],[Course Title]],'TSD-Data'!$A$1:$E$83,4,FALSE)</f>
        <v>1000</v>
      </c>
      <c r="U119" s="59">
        <f>VLOOKUP(Table2[[#This Row],[Course Title]],'TSD-Data'!$A$1:$F$83,6,FALSE)</f>
        <v>4</v>
      </c>
      <c r="V119" s="63">
        <f>VLOOKUP(Table2[[#This Row],[Course Title]],'TSD-Data'!$A$1:$F$83,5,FALSE)</f>
        <v>0.5</v>
      </c>
      <c r="W119" s="63">
        <v>0</v>
      </c>
      <c r="X119" s="59">
        <f>Table2[[#This Row],[Quotas]]-Table2[[#This Row],[Open Quotas]]</f>
        <v>9</v>
      </c>
      <c r="Y119" s="59">
        <v>0</v>
      </c>
      <c r="Z119" s="63"/>
      <c r="AA119" s="63"/>
      <c r="AB119" s="59"/>
      <c r="AC119" s="59"/>
      <c r="AD119" s="59"/>
      <c r="AE119" s="59"/>
      <c r="AF119" s="149">
        <f ca="1">Table2[[#This Row],[End Date]]+2-TODAY()</f>
        <v>-236</v>
      </c>
      <c r="AG119" s="151">
        <f>IF(ISBLANK(Table2[[#This Row],[Roster Received by]]),1,0)</f>
        <v>0</v>
      </c>
      <c r="AH119" s="151">
        <f ca="1">IF(Table2[[#This Row],[Start Date]]&gt;TODAY(),1,)</f>
        <v>0</v>
      </c>
      <c r="AI119" s="151">
        <f>IF(ISBLANK(Table2[[#This Row],[Primary Instructor]]),0,1)</f>
        <v>1</v>
      </c>
      <c r="AJ119" s="151">
        <f>IF(ISBLANK(Table2[[#This Row],[Instructor 2]]),0,1)</f>
        <v>0</v>
      </c>
      <c r="AK119" s="496">
        <f>Table2[[#This Row],[Course Length (Hours)]]/(Table2[[#This Row],[1 Instructor]]+Table2[[#This Row],[2 Instructors]])</f>
        <v>4</v>
      </c>
      <c r="AL119" s="113">
        <v>0</v>
      </c>
      <c r="AM119" s="151">
        <v>3</v>
      </c>
      <c r="AN119" s="151" t="str">
        <f>VLOOKUP(Table2[[#This Row],[Course Title]],'TSD-Data'!$A$1:$G$83,7,FALSE)</f>
        <v>N8-RMI</v>
      </c>
      <c r="AO119" s="502">
        <f>Table2[[#This Row],[Quotas]]-Table2[[#This Row],[Graduates]]-Table2[[#This Row],[Fail]]</f>
        <v>963</v>
      </c>
    </row>
    <row r="120" spans="1:41" x14ac:dyDescent="0.25">
      <c r="A120" s="360">
        <v>46168</v>
      </c>
      <c r="B120" s="350" t="s">
        <v>139</v>
      </c>
      <c r="C120" s="514" t="s">
        <v>109</v>
      </c>
      <c r="D120" s="514">
        <v>1228</v>
      </c>
      <c r="E120" s="352" t="s">
        <v>140</v>
      </c>
      <c r="F120" s="511">
        <v>46174</v>
      </c>
      <c r="G120" s="511">
        <v>46177</v>
      </c>
      <c r="H120" s="352"/>
      <c r="I120" s="352"/>
      <c r="J120" s="352"/>
      <c r="K120" s="352"/>
    </row>
    <row r="121" spans="1:41" x14ac:dyDescent="0.25">
      <c r="A121" s="360">
        <v>46171</v>
      </c>
      <c r="B121" s="352" t="s">
        <v>141</v>
      </c>
      <c r="C121" s="510" t="s">
        <v>142</v>
      </c>
      <c r="D121" s="510" t="s">
        <v>143</v>
      </c>
      <c r="E121" s="352" t="s">
        <v>144</v>
      </c>
      <c r="F121" s="511">
        <v>46175</v>
      </c>
      <c r="G121" s="511">
        <v>46177</v>
      </c>
      <c r="H121" s="352"/>
      <c r="I121" s="352"/>
      <c r="J121" s="352"/>
      <c r="K121" s="352"/>
    </row>
    <row r="122" spans="1:41" x14ac:dyDescent="0.25">
      <c r="A122" s="351" t="s">
        <v>137</v>
      </c>
      <c r="B122" s="351" t="s">
        <v>138</v>
      </c>
      <c r="C122" s="469" t="str">
        <f>VLOOKUP(Table2[[#This Row],[Course Title]],'TSD-Data'!$A$1:$E$83,2,FALSE)</f>
        <v>Function</v>
      </c>
      <c r="D122" s="469" t="s">
        <v>145</v>
      </c>
      <c r="E122" s="477" t="s">
        <v>81</v>
      </c>
      <c r="F122" s="470">
        <v>46279</v>
      </c>
      <c r="G122" s="470">
        <v>46283</v>
      </c>
      <c r="H122" s="470" t="s">
        <v>42</v>
      </c>
      <c r="I122" s="471">
        <v>0.33333333333333331</v>
      </c>
      <c r="J122" s="471"/>
      <c r="K122" s="470"/>
      <c r="L122" s="470"/>
      <c r="M122" s="470"/>
      <c r="N122" s="470"/>
      <c r="O122" s="470"/>
      <c r="P122" s="472" t="s">
        <v>55</v>
      </c>
      <c r="Q122" s="472"/>
      <c r="R122" s="472"/>
      <c r="S122" s="469">
        <f>VLOOKUP(Table2[[#This Row],[Course Title]],'TSD-Data'!$A$1:$E$83,4,FALSE)</f>
        <v>0</v>
      </c>
      <c r="T122" s="469">
        <f>VLOOKUP(Table2[[#This Row],[Course Title]],'TSD-Data'!$A$1:$F$83,6,FALSE)</f>
        <v>0</v>
      </c>
      <c r="U122" s="473">
        <f>VLOOKUP(Table2[[#This Row],[Course Title]],'TSD-Data'!$A$1:$F$83,5,FALSE)</f>
        <v>0</v>
      </c>
      <c r="V122" s="473">
        <v>0</v>
      </c>
      <c r="W122" s="469">
        <f>Table2[[#This Row],[Quotas]]-Table2[[#This Row],[Open Quotas]]</f>
        <v>0</v>
      </c>
      <c r="X122" s="469"/>
      <c r="Y122" s="473"/>
      <c r="Z122" s="473"/>
      <c r="AA122" s="469"/>
      <c r="AB122" s="469"/>
      <c r="AC122" s="469"/>
      <c r="AD122" s="469"/>
      <c r="AE122" s="523">
        <f ca="1">Table2[[#This Row],[End Date]]+2-TODAY()</f>
        <v>-235</v>
      </c>
      <c r="AF122" s="524">
        <f>IF(ISBLANK(Table2[[#This Row],[Roster Received by]]),1,0)</f>
        <v>0</v>
      </c>
      <c r="AG122" s="524">
        <f ca="1">IF(Table2[[#This Row],[Start Date]]&gt;TODAY(),1,)</f>
        <v>0</v>
      </c>
      <c r="AH122" s="524">
        <f>IF(ISBLANK(Table2[[#This Row],[Primary Instructor]]),0,1)</f>
        <v>0</v>
      </c>
      <c r="AI122" s="524">
        <f>IF(ISBLANK(Table2[[#This Row],[Instructor 2]]),0,1)</f>
        <v>0</v>
      </c>
      <c r="AJ122" s="525" t="e">
        <f>Table2[[#This Row],[Course Length (Hours)]]/(Table2[[#This Row],[1 Instructor]]+Table2[[#This Row],[2 Instructors]])</f>
        <v>#DIV/0!</v>
      </c>
      <c r="AK122" s="474"/>
      <c r="AL122" s="524">
        <v>4</v>
      </c>
      <c r="AM122" s="524" t="str">
        <f>VLOOKUP(Table2[[#This Row],[Course Title]],'TSD-Data'!$A$1:$G$83,7,FALSE)</f>
        <v>TSD</v>
      </c>
      <c r="AN122" s="526">
        <f>Table2[[#This Row],[Quotas]]-Table2[[#This Row],[Graduates]]-Table2[[#This Row],[Fail]]</f>
        <v>0</v>
      </c>
    </row>
    <row r="123" spans="1:41" x14ac:dyDescent="0.25">
      <c r="A123" s="360">
        <v>46212</v>
      </c>
      <c r="B123" s="351" t="s">
        <v>146</v>
      </c>
      <c r="C123" s="469" t="str">
        <f>VLOOKUP(Table2[[#This Row],[Course Title]],'TSD-Data'!$A$1:$E$83,2,FALSE)</f>
        <v>A-493-3004</v>
      </c>
      <c r="D123" s="469" t="s">
        <v>147</v>
      </c>
      <c r="E123" s="477" t="s">
        <v>54</v>
      </c>
      <c r="F123" s="470">
        <v>46237</v>
      </c>
      <c r="G123" s="470">
        <v>46240</v>
      </c>
      <c r="H123" s="352"/>
      <c r="I123" s="471">
        <v>0.33333333333333331</v>
      </c>
      <c r="J123" s="471">
        <v>0.20833333333333334</v>
      </c>
      <c r="K123" s="471">
        <v>0.625</v>
      </c>
      <c r="L123" s="471">
        <v>0.54166666666666663</v>
      </c>
      <c r="M123" s="471">
        <v>8.3333333333333329E-2</v>
      </c>
      <c r="N123" s="471">
        <v>0.875</v>
      </c>
      <c r="O123" s="472" t="s">
        <v>148</v>
      </c>
    </row>
    <row r="124" spans="1:41" x14ac:dyDescent="0.25">
      <c r="A124" s="360">
        <v>46212</v>
      </c>
      <c r="B124" s="198" t="s">
        <v>146</v>
      </c>
      <c r="C124" s="482" t="str">
        <f>VLOOKUP(Table2[[#This Row],[Course Title]],'TSD-Data'!$A$1:$E$83,2,FALSE)</f>
        <v>A-493-3001</v>
      </c>
      <c r="D124" s="482" t="s">
        <v>147</v>
      </c>
      <c r="E124" s="527" t="s">
        <v>54</v>
      </c>
      <c r="F124" s="93">
        <v>46265</v>
      </c>
      <c r="G124" s="93">
        <v>46268</v>
      </c>
      <c r="H124" s="352"/>
      <c r="I124" s="528">
        <v>0.33333333333333331</v>
      </c>
      <c r="J124" s="528">
        <v>0.20833333333333334</v>
      </c>
      <c r="K124" s="528">
        <v>0.625</v>
      </c>
      <c r="L124" s="528">
        <v>0.54166666666666663</v>
      </c>
      <c r="M124" s="528">
        <v>8.3333333333333329E-2</v>
      </c>
      <c r="N124" s="528">
        <v>0.875</v>
      </c>
      <c r="O124" s="371" t="s">
        <v>148</v>
      </c>
    </row>
    <row r="125" spans="1:41" x14ac:dyDescent="0.25">
      <c r="A125" s="352"/>
      <c r="B125" s="352"/>
      <c r="C125" s="352"/>
      <c r="D125" s="352"/>
      <c r="E125" s="352"/>
      <c r="F125" s="352"/>
      <c r="G125" s="352"/>
      <c r="H125" s="352"/>
      <c r="I125" s="352"/>
      <c r="J125" s="352"/>
      <c r="K125" s="352"/>
    </row>
    <row r="126" spans="1:41" x14ac:dyDescent="0.25">
      <c r="A126" s="352"/>
      <c r="B126" s="352"/>
      <c r="C126" s="352"/>
      <c r="D126" s="352"/>
      <c r="E126" s="352"/>
      <c r="F126" s="352"/>
      <c r="G126" s="352"/>
      <c r="H126" s="352"/>
      <c r="I126" s="352"/>
      <c r="J126" s="352"/>
      <c r="K126" s="352"/>
    </row>
    <row r="127" spans="1:41" x14ac:dyDescent="0.25">
      <c r="A127" s="352"/>
      <c r="B127" s="352"/>
      <c r="C127" s="352"/>
      <c r="D127" s="352"/>
      <c r="E127" s="352"/>
      <c r="F127" s="352"/>
      <c r="G127" s="352"/>
      <c r="H127" s="352"/>
      <c r="I127" s="352"/>
      <c r="J127" s="352"/>
      <c r="K127" s="352"/>
    </row>
    <row r="128" spans="1:41" x14ac:dyDescent="0.25">
      <c r="A128" s="352"/>
      <c r="B128" s="352"/>
      <c r="C128" s="352"/>
      <c r="D128" s="352"/>
      <c r="E128" s="352"/>
      <c r="F128" s="352"/>
      <c r="G128" s="352"/>
      <c r="H128" s="352"/>
      <c r="I128" s="352"/>
      <c r="J128" s="352"/>
      <c r="K128" s="352"/>
    </row>
    <row r="129" spans="1:11" x14ac:dyDescent="0.25">
      <c r="A129" s="352"/>
      <c r="B129" s="352"/>
      <c r="C129" s="352"/>
      <c r="D129" s="352"/>
      <c r="E129" s="352"/>
      <c r="F129" s="352"/>
      <c r="G129" s="352"/>
      <c r="H129" s="352"/>
      <c r="I129" s="352"/>
      <c r="J129" s="352"/>
      <c r="K129" s="352"/>
    </row>
    <row r="130" spans="1:11" x14ac:dyDescent="0.25">
      <c r="A130" s="352"/>
      <c r="B130" s="352"/>
      <c r="C130" s="352"/>
      <c r="D130" s="352"/>
      <c r="E130" s="352"/>
      <c r="F130" s="352"/>
      <c r="G130" s="352"/>
      <c r="H130" s="352"/>
      <c r="I130" s="352"/>
      <c r="J130" s="352"/>
      <c r="K130" s="352"/>
    </row>
    <row r="131" spans="1:11" x14ac:dyDescent="0.25">
      <c r="A131" s="352"/>
      <c r="B131" s="352"/>
      <c r="C131" s="352"/>
      <c r="D131" s="352"/>
      <c r="E131" s="352"/>
      <c r="F131" s="352"/>
      <c r="G131" s="352"/>
      <c r="H131" s="352"/>
      <c r="I131" s="352"/>
      <c r="J131" s="352"/>
      <c r="K131" s="352"/>
    </row>
  </sheetData>
  <protectedRanges>
    <protectedRange algorithmName="SHA-512" hashValue="n6K25g9uzAcpntxjqTQaPVdKX1eij75CLB1gBuUNBybVL5B3VaxVW/Tcen54TXijIel0fCN9KO3xZiLZCJMSZw==" saltValue="89UdTK4UUElaUoKBccfOYw==" spinCount="100000" sqref="D4" name="CIN CDP_1_1_1"/>
    <protectedRange algorithmName="SHA-512" hashValue="n6K25g9uzAcpntxjqTQaPVdKX1eij75CLB1gBuUNBybVL5B3VaxVW/Tcen54TXijIel0fCN9KO3xZiLZCJMSZw==" saltValue="89UdTK4UUElaUoKBccfOYw==" spinCount="100000" sqref="D17" name="CIN CDP_1_1_10"/>
    <protectedRange algorithmName="SHA-512" hashValue="n6K25g9uzAcpntxjqTQaPVdKX1eij75CLB1gBuUNBybVL5B3VaxVW/Tcen54TXijIel0fCN9KO3xZiLZCJMSZw==" saltValue="89UdTK4UUElaUoKBccfOYw==" spinCount="100000" sqref="D18 D22" name="CIN CDP_1_1_11"/>
    <protectedRange algorithmName="SHA-512" hashValue="n6K25g9uzAcpntxjqTQaPVdKX1eij75CLB1gBuUNBybVL5B3VaxVW/Tcen54TXijIel0fCN9KO3xZiLZCJMSZw==" saltValue="89UdTK4UUElaUoKBccfOYw==" spinCount="100000" sqref="D19" name="CIN CDP_1_1_15"/>
    <protectedRange algorithmName="SHA-512" hashValue="n6K25g9uzAcpntxjqTQaPVdKX1eij75CLB1gBuUNBybVL5B3VaxVW/Tcen54TXijIel0fCN9KO3xZiLZCJMSZw==" saltValue="89UdTK4UUElaUoKBccfOYw==" spinCount="100000" sqref="D20" name="CIN CDP_1_1_14"/>
    <protectedRange algorithmName="SHA-512" hashValue="n6K25g9uzAcpntxjqTQaPVdKX1eij75CLB1gBuUNBybVL5B3VaxVW/Tcen54TXijIel0fCN9KO3xZiLZCJMSZw==" saltValue="89UdTK4UUElaUoKBccfOYw==" spinCount="100000" sqref="D21" name="CIN CDP_1_1_3"/>
    <protectedRange algorithmName="SHA-512" hashValue="n6K25g9uzAcpntxjqTQaPVdKX1eij75CLB1gBuUNBybVL5B3VaxVW/Tcen54TXijIel0fCN9KO3xZiLZCJMSZw==" saltValue="89UdTK4UUElaUoKBccfOYw==" spinCount="100000" sqref="D23" name="CIN CDP_1_1_12"/>
    <protectedRange algorithmName="SHA-512" hashValue="n6K25g9uzAcpntxjqTQaPVdKX1eij75CLB1gBuUNBybVL5B3VaxVW/Tcen54TXijIel0fCN9KO3xZiLZCJMSZw==" saltValue="89UdTK4UUElaUoKBccfOYw==" spinCount="100000" sqref="D24" name="CIN CDP_1_1_6"/>
    <protectedRange algorithmName="SHA-512" hashValue="n6K25g9uzAcpntxjqTQaPVdKX1eij75CLB1gBuUNBybVL5B3VaxVW/Tcen54TXijIel0fCN9KO3xZiLZCJMSZw==" saltValue="89UdTK4UUElaUoKBccfOYw==" spinCount="100000" sqref="D25" name="CIN CDP_1_1_5"/>
    <protectedRange algorithmName="SHA-512" hashValue="n6K25g9uzAcpntxjqTQaPVdKX1eij75CLB1gBuUNBybVL5B3VaxVW/Tcen54TXijIel0fCN9KO3xZiLZCJMSZw==" saltValue="89UdTK4UUElaUoKBccfOYw==" spinCount="100000" sqref="D26" name="CIN CDP_1_1_7"/>
    <protectedRange algorithmName="SHA-512" hashValue="n6K25g9uzAcpntxjqTQaPVdKX1eij75CLB1gBuUNBybVL5B3VaxVW/Tcen54TXijIel0fCN9KO3xZiLZCJMSZw==" saltValue="89UdTK4UUElaUoKBccfOYw==" spinCount="100000" sqref="D27" name="CIN CDP_1_1_13"/>
    <protectedRange algorithmName="SHA-512" hashValue="n6K25g9uzAcpntxjqTQaPVdKX1eij75CLB1gBuUNBybVL5B3VaxVW/Tcen54TXijIel0fCN9KO3xZiLZCJMSZw==" saltValue="89UdTK4UUElaUoKBccfOYw==" spinCount="100000" sqref="D28" name="CIN CDP_1_1_16"/>
    <protectedRange algorithmName="SHA-512" hashValue="n6K25g9uzAcpntxjqTQaPVdKX1eij75CLB1gBuUNBybVL5B3VaxVW/Tcen54TXijIel0fCN9KO3xZiLZCJMSZw==" saltValue="89UdTK4UUElaUoKBccfOYw==" spinCount="100000" sqref="D29" name="CIN CDP_1_1_17"/>
    <protectedRange algorithmName="SHA-512" hashValue="n6K25g9uzAcpntxjqTQaPVdKX1eij75CLB1gBuUNBybVL5B3VaxVW/Tcen54TXijIel0fCN9KO3xZiLZCJMSZw==" saltValue="89UdTK4UUElaUoKBccfOYw==" spinCount="100000" sqref="D30" name="CIN CDP_1_1_18"/>
    <protectedRange algorithmName="SHA-512" hashValue="n6K25g9uzAcpntxjqTQaPVdKX1eij75CLB1gBuUNBybVL5B3VaxVW/Tcen54TXijIel0fCN9KO3xZiLZCJMSZw==" saltValue="89UdTK4UUElaUoKBccfOYw==" spinCount="100000" sqref="D32" name="CIN CDP_1_1_20"/>
    <protectedRange algorithmName="SHA-512" hashValue="n6K25g9uzAcpntxjqTQaPVdKX1eij75CLB1gBuUNBybVL5B3VaxVW/Tcen54TXijIel0fCN9KO3xZiLZCJMSZw==" saltValue="89UdTK4UUElaUoKBccfOYw==" spinCount="100000" sqref="D31" name="CIN CDP_1_1_21"/>
    <protectedRange algorithmName="SHA-512" hashValue="n6K25g9uzAcpntxjqTQaPVdKX1eij75CLB1gBuUNBybVL5B3VaxVW/Tcen54TXijIel0fCN9KO3xZiLZCJMSZw==" saltValue="89UdTK4UUElaUoKBccfOYw==" spinCount="100000" sqref="D33:D35" name="CIN CDP_1_1_19"/>
    <protectedRange algorithmName="SHA-512" hashValue="n6K25g9uzAcpntxjqTQaPVdKX1eij75CLB1gBuUNBybVL5B3VaxVW/Tcen54TXijIel0fCN9KO3xZiLZCJMSZw==" saltValue="89UdTK4UUElaUoKBccfOYw==" spinCount="100000" sqref="D36:D40" name="CIN CDP_1_1_24"/>
    <protectedRange algorithmName="SHA-512" hashValue="n6K25g9uzAcpntxjqTQaPVdKX1eij75CLB1gBuUNBybVL5B3VaxVW/Tcen54TXijIel0fCN9KO3xZiLZCJMSZw==" saltValue="89UdTK4UUElaUoKBccfOYw==" spinCount="100000" sqref="D41" name="CIN CDP_1_1_22"/>
    <protectedRange algorithmName="SHA-512" hashValue="n6K25g9uzAcpntxjqTQaPVdKX1eij75CLB1gBuUNBybVL5B3VaxVW/Tcen54TXijIel0fCN9KO3xZiLZCJMSZw==" saltValue="89UdTK4UUElaUoKBccfOYw==" spinCount="100000" sqref="D42" name="CIN CDP_1_1_23"/>
    <protectedRange algorithmName="SHA-512" hashValue="n6K25g9uzAcpntxjqTQaPVdKX1eij75CLB1gBuUNBybVL5B3VaxVW/Tcen54TXijIel0fCN9KO3xZiLZCJMSZw==" saltValue="89UdTK4UUElaUoKBccfOYw==" spinCount="100000" sqref="D43:D44" name="CIN CDP_1_1"/>
    <protectedRange algorithmName="SHA-512" hashValue="n6K25g9uzAcpntxjqTQaPVdKX1eij75CLB1gBuUNBybVL5B3VaxVW/Tcen54TXijIel0fCN9KO3xZiLZCJMSZw==" saltValue="89UdTK4UUElaUoKBccfOYw==" spinCount="100000" sqref="D45" name="CIN CDP_1_1_25"/>
    <protectedRange algorithmName="SHA-512" hashValue="n6K25g9uzAcpntxjqTQaPVdKX1eij75CLB1gBuUNBybVL5B3VaxVW/Tcen54TXijIel0fCN9KO3xZiLZCJMSZw==" saltValue="89UdTK4UUElaUoKBccfOYw==" spinCount="100000" sqref="D46" name="CIN CDP_1_1_26"/>
    <protectedRange algorithmName="SHA-512" hashValue="n6K25g9uzAcpntxjqTQaPVdKX1eij75CLB1gBuUNBybVL5B3VaxVW/Tcen54TXijIel0fCN9KO3xZiLZCJMSZw==" saltValue="89UdTK4UUElaUoKBccfOYw==" spinCount="100000" sqref="D47" name="CIN CDP_1_1_27"/>
    <protectedRange algorithmName="SHA-512" hashValue="n6K25g9uzAcpntxjqTQaPVdKX1eij75CLB1gBuUNBybVL5B3VaxVW/Tcen54TXijIel0fCN9KO3xZiLZCJMSZw==" saltValue="89UdTK4UUElaUoKBccfOYw==" spinCount="100000" sqref="D48" name="CIN CDP_1_1_29"/>
    <protectedRange algorithmName="SHA-512" hashValue="n6K25g9uzAcpntxjqTQaPVdKX1eij75CLB1gBuUNBybVL5B3VaxVW/Tcen54TXijIel0fCN9KO3xZiLZCJMSZw==" saltValue="89UdTK4UUElaUoKBccfOYw==" spinCount="100000" sqref="D49" name="CIN CDP_1_1_2"/>
    <protectedRange algorithmName="SHA-512" hashValue="n6K25g9uzAcpntxjqTQaPVdKX1eij75CLB1gBuUNBybVL5B3VaxVW/Tcen54TXijIel0fCN9KO3xZiLZCJMSZw==" saltValue="89UdTK4UUElaUoKBccfOYw==" spinCount="100000" sqref="D51" name="CIN CDP_1_1_8"/>
    <protectedRange algorithmName="SHA-512" hashValue="n6K25g9uzAcpntxjqTQaPVdKX1eij75CLB1gBuUNBybVL5B3VaxVW/Tcen54TXijIel0fCN9KO3xZiLZCJMSZw==" saltValue="89UdTK4UUElaUoKBccfOYw==" spinCount="100000" sqref="D54" name="CIN CDP_1_1_28"/>
    <protectedRange algorithmName="SHA-512" hashValue="n6K25g9uzAcpntxjqTQaPVdKX1eij75CLB1gBuUNBybVL5B3VaxVW/Tcen54TXijIel0fCN9KO3xZiLZCJMSZw==" saltValue="89UdTK4UUElaUoKBccfOYw==" spinCount="100000" sqref="D55" name="CIN CDP_1_1_30"/>
    <protectedRange algorithmName="SHA-512" hashValue="n6K25g9uzAcpntxjqTQaPVdKX1eij75CLB1gBuUNBybVL5B3VaxVW/Tcen54TXijIel0fCN9KO3xZiLZCJMSZw==" saltValue="89UdTK4UUElaUoKBccfOYw==" spinCount="100000" sqref="D56" name="CIN CDP_1_1_32"/>
    <protectedRange algorithmName="SHA-512" hashValue="n6K25g9uzAcpntxjqTQaPVdKX1eij75CLB1gBuUNBybVL5B3VaxVW/Tcen54TXijIel0fCN9KO3xZiLZCJMSZw==" saltValue="89UdTK4UUElaUoKBccfOYw==" spinCount="100000" sqref="D57:D58 D62 D64 D66:D67 D70 D73" name="CIN CDP_1_1_33"/>
    <protectedRange algorithmName="SHA-512" hashValue="n6K25g9uzAcpntxjqTQaPVdKX1eij75CLB1gBuUNBybVL5B3VaxVW/Tcen54TXijIel0fCN9KO3xZiLZCJMSZw==" saltValue="89UdTK4UUElaUoKBccfOYw==" spinCount="100000" sqref="D74:D76 D71:D72 D68:D69 D65 D63 D59:D61" name="CIN CDP_1_1_50"/>
    <protectedRange algorithmName="SHA-512" hashValue="n6K25g9uzAcpntxjqTQaPVdKX1eij75CLB1gBuUNBybVL5B3VaxVW/Tcen54TXijIel0fCN9KO3xZiLZCJMSZw==" saltValue="89UdTK4UUElaUoKBccfOYw==" spinCount="100000" sqref="D77:D95" name="CIN CDP_1_1_51"/>
    <protectedRange algorithmName="SHA-512" hashValue="n6K25g9uzAcpntxjqTQaPVdKX1eij75CLB1gBuUNBybVL5B3VaxVW/Tcen54TXijIel0fCN9KO3xZiLZCJMSZw==" saltValue="89UdTK4UUElaUoKBccfOYw==" spinCount="100000" sqref="D96:D104" name="CIN CDP_1_1_68"/>
    <protectedRange algorithmName="SHA-512" hashValue="n6K25g9uzAcpntxjqTQaPVdKX1eij75CLB1gBuUNBybVL5B3VaxVW/Tcen54TXijIel0fCN9KO3xZiLZCJMSZw==" saltValue="89UdTK4UUElaUoKBccfOYw==" spinCount="100000" sqref="D105:D115" name="CIN CDP_1_1_77"/>
    <protectedRange algorithmName="SHA-512" hashValue="n6K25g9uzAcpntxjqTQaPVdKX1eij75CLB1gBuUNBybVL5B3VaxVW/Tcen54TXijIel0fCN9KO3xZiLZCJMSZw==" saltValue="89UdTK4UUElaUoKBccfOYw==" spinCount="100000" sqref="D116" name="CIN CDP_1_1_9"/>
    <protectedRange algorithmName="SHA-512" hashValue="n6K25g9uzAcpntxjqTQaPVdKX1eij75CLB1gBuUNBybVL5B3VaxVW/Tcen54TXijIel0fCN9KO3xZiLZCJMSZw==" saltValue="89UdTK4UUElaUoKBccfOYw==" spinCount="100000" sqref="D117" name="CIN CDP_1_1_31"/>
    <protectedRange algorithmName="SHA-512" hashValue="n6K25g9uzAcpntxjqTQaPVdKX1eij75CLB1gBuUNBybVL5B3VaxVW/Tcen54TXijIel0fCN9KO3xZiLZCJMSZw==" saltValue="89UdTK4UUElaUoKBccfOYw==" spinCount="100000" sqref="D118" name="CIN CDP_1_1_34"/>
    <protectedRange algorithmName="SHA-512" hashValue="n6K25g9uzAcpntxjqTQaPVdKX1eij75CLB1gBuUNBybVL5B3VaxVW/Tcen54TXijIel0fCN9KO3xZiLZCJMSZw==" saltValue="89UdTK4UUElaUoKBccfOYw==" spinCount="100000" sqref="D119" name="CIN CDP_1_1_35"/>
    <protectedRange algorithmName="SHA-512" hashValue="n6K25g9uzAcpntxjqTQaPVdKX1eij75CLB1gBuUNBybVL5B3VaxVW/Tcen54TXijIel0fCN9KO3xZiLZCJMSZw==" saltValue="89UdTK4UUElaUoKBccfOYw==" spinCount="100000" sqref="D122" name="CIN CDP_1_1_37"/>
    <protectedRange algorithmName="SHA-512" hashValue="n6K25g9uzAcpntxjqTQaPVdKX1eij75CLB1gBuUNBybVL5B3VaxVW/Tcen54TXijIel0fCN9KO3xZiLZCJMSZw==" saltValue="89UdTK4UUElaUoKBccfOYw==" spinCount="100000" sqref="D123:D124" name="CIN CDP_1_1_4"/>
  </protectedRanges>
  <autoFilter ref="A3:XEX117" xr:uid="{4DBE3317-33E4-4429-8800-0B69D62EC4D0}"/>
  <conditionalFormatting sqref="B13">
    <cfRule type="expression" dxfId="1509" priority="100">
      <formula>$AB13="McQueen, Jennifer"</formula>
    </cfRule>
    <cfRule type="expression" dxfId="1508" priority="99">
      <formula>$AB13="Jenne, Richard"</formula>
    </cfRule>
    <cfRule type="expression" dxfId="1507" priority="98">
      <formula>$AB13="Benzick, Sue"</formula>
    </cfRule>
  </conditionalFormatting>
  <conditionalFormatting sqref="E11 Y11:Z11">
    <cfRule type="expression" dxfId="1506" priority="112">
      <formula>$Z11="Jenne, Richard"</formula>
    </cfRule>
    <cfRule type="expression" dxfId="1505" priority="111">
      <formula>$Z11="Benzick, Sue"</formula>
    </cfRule>
  </conditionalFormatting>
  <conditionalFormatting sqref="E82">
    <cfRule type="expression" dxfId="1501" priority="6">
      <formula>$AA82="Jenne, Richard"</formula>
    </cfRule>
    <cfRule type="expression" dxfId="1500" priority="5">
      <formula>$AA82="Benzick, Sue"</formula>
    </cfRule>
    <cfRule type="expression" dxfId="1499" priority="7">
      <formula>$AA82="McQueen, Jennifer"</formula>
    </cfRule>
  </conditionalFormatting>
  <conditionalFormatting sqref="F15">
    <cfRule type="expression" dxfId="1498" priority="77">
      <formula>#REF!="McQueen, Jennifer"</formula>
    </cfRule>
    <cfRule type="expression" dxfId="1497" priority="76">
      <formula>#REF!="Jenne, Richard"</formula>
    </cfRule>
    <cfRule type="expression" dxfId="1496" priority="75">
      <formula>#REF!="Benzick, Sue"</formula>
    </cfRule>
  </conditionalFormatting>
  <conditionalFormatting sqref="F16:G16">
    <cfRule type="expression" dxfId="1495" priority="62">
      <formula>#REF!="Benzick, Sue"</formula>
    </cfRule>
    <cfRule type="expression" dxfId="1494" priority="63">
      <formula>#REF!="Jenne, Richard"</formula>
    </cfRule>
    <cfRule type="expression" dxfId="1493" priority="64">
      <formula>#REF!="McQueen, Jennifer"</formula>
    </cfRule>
  </conditionalFormatting>
  <conditionalFormatting sqref="H4:H11">
    <cfRule type="containsText" dxfId="1492" priority="107" operator="containsText" text="Funded">
      <formula>NOT(ISERROR(SEARCH("Funded",H4)))</formula>
    </cfRule>
    <cfRule type="containsText" dxfId="1491" priority="106" operator="containsText" text="Unfunded">
      <formula>NOT(ISERROR(SEARCH("Unfunded",H4)))</formula>
    </cfRule>
  </conditionalFormatting>
  <conditionalFormatting sqref="H13:H16">
    <cfRule type="containsText" dxfId="1490" priority="61" operator="containsText" text="Funded">
      <formula>NOT(ISERROR(SEARCH("Funded",H13)))</formula>
    </cfRule>
    <cfRule type="containsText" dxfId="1489" priority="60" operator="containsText" text="Unfunded">
      <formula>NOT(ISERROR(SEARCH("Unfunded",H13)))</formula>
    </cfRule>
  </conditionalFormatting>
  <conditionalFormatting sqref="H20">
    <cfRule type="containsText" dxfId="1488" priority="55" operator="containsText" text="Unfunded">
      <formula>NOT(ISERROR(SEARCH("Unfunded",H20)))</formula>
    </cfRule>
    <cfRule type="containsText" dxfId="1487" priority="56" operator="containsText" text="Funded">
      <formula>NOT(ISERROR(SEARCH("Funded",H20)))</formula>
    </cfRule>
  </conditionalFormatting>
  <conditionalFormatting sqref="H24">
    <cfRule type="containsText" dxfId="1486" priority="51" operator="containsText" text="Funded">
      <formula>NOT(ISERROR(SEARCH("Funded",H24)))</formula>
    </cfRule>
    <cfRule type="containsText" dxfId="1485" priority="50" operator="containsText" text="Unfunded">
      <formula>NOT(ISERROR(SEARCH("Unfunded",H24)))</formula>
    </cfRule>
  </conditionalFormatting>
  <conditionalFormatting sqref="H26:H27">
    <cfRule type="containsText" dxfId="1484" priority="39" operator="containsText" text="Funded">
      <formula>NOT(ISERROR(SEARCH("Funded",H26)))</formula>
    </cfRule>
    <cfRule type="containsText" dxfId="1483" priority="38" operator="containsText" text="Unfunded">
      <formula>NOT(ISERROR(SEARCH("Unfunded",H26)))</formula>
    </cfRule>
  </conditionalFormatting>
  <conditionalFormatting sqref="H43:H44">
    <cfRule type="containsText" dxfId="1482" priority="18" operator="containsText" text="Funded">
      <formula>NOT(ISERROR(SEARCH("Funded",H43)))</formula>
    </cfRule>
    <cfRule type="containsText" dxfId="1481" priority="17" operator="containsText" text="Unfunded">
      <formula>NOT(ISERROR(SEARCH("Unfunded",H43)))</formula>
    </cfRule>
  </conditionalFormatting>
  <conditionalFormatting sqref="H49">
    <cfRule type="containsText" dxfId="1480" priority="12" operator="containsText" text="Unfunded">
      <formula>NOT(ISERROR(SEARCH("Unfunded",H49)))</formula>
    </cfRule>
    <cfRule type="containsText" dxfId="1479" priority="13" operator="containsText" text="Funded">
      <formula>NOT(ISERROR(SEARCH("Funded",H49)))</formula>
    </cfRule>
  </conditionalFormatting>
  <conditionalFormatting sqref="H54:H55">
    <cfRule type="containsText" dxfId="1478" priority="9" operator="containsText" text="Funded">
      <formula>NOT(ISERROR(SEARCH("Funded",H54)))</formula>
    </cfRule>
    <cfRule type="containsText" dxfId="1477" priority="8" operator="containsText" text="Unfunded">
      <formula>NOT(ISERROR(SEARCH("Unfunded",H54)))</formula>
    </cfRule>
  </conditionalFormatting>
  <conditionalFormatting sqref="H119">
    <cfRule type="containsText" dxfId="1476" priority="4" operator="containsText" text="Funded">
      <formula>NOT(ISERROR(SEARCH("Funded",H119)))</formula>
    </cfRule>
    <cfRule type="containsText" dxfId="1475" priority="3" operator="containsText" text="Unfunded">
      <formula>NOT(ISERROR(SEARCH("Unfunded",H119)))</formula>
    </cfRule>
  </conditionalFormatting>
  <conditionalFormatting sqref="H122">
    <cfRule type="containsText" dxfId="1474" priority="1" operator="containsText" text="Unfunded">
      <formula>NOT(ISERROR(SEARCH("Unfunded",H122)))</formula>
    </cfRule>
    <cfRule type="containsText" dxfId="1473" priority="2" operator="containsText" text="Funded">
      <formula>NOT(ISERROR(SEARCH("Funded",H122)))</formula>
    </cfRule>
  </conditionalFormatting>
  <conditionalFormatting sqref="I13:I15">
    <cfRule type="expression" dxfId="1469" priority="73">
      <formula>#REF!="Jenne, Richard"</formula>
    </cfRule>
    <cfRule type="expression" dxfId="1468" priority="74">
      <formula>#REF!="McQueen, Jennifer"</formula>
    </cfRule>
    <cfRule type="expression" dxfId="1467" priority="72">
      <formula>#REF!="Benzick, Sue"</formula>
    </cfRule>
  </conditionalFormatting>
  <conditionalFormatting sqref="I16:O16">
    <cfRule type="expression" dxfId="1466" priority="65">
      <formula>#REF!="Benzick, Sue"</formula>
    </cfRule>
    <cfRule type="expression" dxfId="1465" priority="66">
      <formula>#REF!="Jenne, Richard"</formula>
    </cfRule>
    <cfRule type="expression" dxfId="1464" priority="67">
      <formula>#REF!="McQueen, Jennifer"</formula>
    </cfRule>
  </conditionalFormatting>
  <conditionalFormatting sqref="J5:O5">
    <cfRule type="expression" dxfId="1463" priority="127">
      <formula>#REF!="McQueen, Jennifer"</formula>
    </cfRule>
    <cfRule type="expression" dxfId="1462" priority="125">
      <formula>#REF!="Benzick, Sue"</formula>
    </cfRule>
    <cfRule type="expression" dxfId="1461" priority="126">
      <formula>#REF!="Jenne, Richard"</formula>
    </cfRule>
  </conditionalFormatting>
  <conditionalFormatting sqref="J14:O14">
    <cfRule type="expression" dxfId="1460" priority="82">
      <formula>#REF!="Benzick, Sue"</formula>
    </cfRule>
    <cfRule type="expression" dxfId="1459" priority="83">
      <formula>#REF!="Jenne, Richard"</formula>
    </cfRule>
    <cfRule type="expression" dxfId="1458" priority="84">
      <formula>#REF!="McQueen, Jennifer"</formula>
    </cfRule>
  </conditionalFormatting>
  <conditionalFormatting sqref="J20:O20">
    <cfRule type="expression" dxfId="1457" priority="53">
      <formula>#REF!="Jenne, Richard"</formula>
    </cfRule>
    <cfRule type="expression" dxfId="1456" priority="54">
      <formula>#REF!="McQueen, Jennifer"</formula>
    </cfRule>
    <cfRule type="expression" dxfId="1455" priority="52">
      <formula>#REF!="Benzick, Sue"</formula>
    </cfRule>
  </conditionalFormatting>
  <conditionalFormatting sqref="K27">
    <cfRule type="expression" dxfId="1454" priority="40">
      <formula>$Y27="Benzick, Sue"</formula>
    </cfRule>
    <cfRule type="expression" dxfId="1453" priority="41">
      <formula>$Y27="Jenne, Richard"</formula>
    </cfRule>
    <cfRule type="expression" dxfId="1452" priority="42">
      <formula>$Y27="McQueen, Jennifer"</formula>
    </cfRule>
  </conditionalFormatting>
  <conditionalFormatting sqref="K49">
    <cfRule type="expression" dxfId="1451" priority="16">
      <formula>#REF!="McQueen, Jennifer"</formula>
    </cfRule>
    <cfRule type="expression" dxfId="1450" priority="15">
      <formula>#REF!="Jenne, Richard"</formula>
    </cfRule>
    <cfRule type="expression" dxfId="1449" priority="14">
      <formula>#REF!="Benzick, Sue"</formula>
    </cfRule>
  </conditionalFormatting>
  <conditionalFormatting sqref="K44:P44">
    <cfRule type="expression" dxfId="1448" priority="21">
      <formula>#REF!="McQueen, Jennifer"</formula>
    </cfRule>
    <cfRule type="expression" dxfId="1447" priority="20">
      <formula>#REF!="Jenne, Richard"</formula>
    </cfRule>
    <cfRule type="expression" dxfId="1446" priority="19">
      <formula>#REF!="Benzick, Sue"</formula>
    </cfRule>
  </conditionalFormatting>
  <conditionalFormatting sqref="L27">
    <cfRule type="expression" dxfId="1445" priority="45">
      <formula>#REF!="McQueen, Jennifer"</formula>
    </cfRule>
    <cfRule type="expression" dxfId="1444" priority="44">
      <formula>#REF!="Jenne, Richard"</formula>
    </cfRule>
    <cfRule type="expression" dxfId="1443" priority="43">
      <formula>#REF!="Benzick, Sue"</formula>
    </cfRule>
  </conditionalFormatting>
  <conditionalFormatting sqref="L43">
    <cfRule type="expression" dxfId="1442" priority="32">
      <formula>$Z43="McQueen, Jennifer"</formula>
    </cfRule>
    <cfRule type="expression" dxfId="1441" priority="31">
      <formula>$Z43="Jenne, Richard"</formula>
    </cfRule>
    <cfRule type="expression" dxfId="1440" priority="30">
      <formula>$Z43="Benzick, Sue"</formula>
    </cfRule>
  </conditionalFormatting>
  <conditionalFormatting sqref="M43">
    <cfRule type="expression" dxfId="1439" priority="35">
      <formula>#REF!="McQueen, Jennifer"</formula>
    </cfRule>
    <cfRule type="expression" dxfId="1438" priority="34">
      <formula>#REF!="Jenne, Richard"</formula>
    </cfRule>
    <cfRule type="expression" dxfId="1437" priority="33">
      <formula>#REF!="Benzick, Sue"</formula>
    </cfRule>
  </conditionalFormatting>
  <conditionalFormatting sqref="M27:O27">
    <cfRule type="expression" dxfId="1436" priority="47">
      <formula>$Y27="Jenne, Richard"</formula>
    </cfRule>
    <cfRule type="expression" dxfId="1435" priority="46">
      <formula>$Y27="Benzick, Sue"</formula>
    </cfRule>
  </conditionalFormatting>
  <conditionalFormatting sqref="N43:P43">
    <cfRule type="expression" dxfId="1434" priority="37">
      <formula>$Z43="Jenne, Richard"</formula>
    </cfRule>
    <cfRule type="expression" dxfId="1433" priority="36">
      <formula>$Z43="Benzick, Sue"</formula>
    </cfRule>
  </conditionalFormatting>
  <conditionalFormatting sqref="Z13:Z15">
    <cfRule type="expression" dxfId="1432" priority="79">
      <formula>$Z13="Jenne, Richard"</formula>
    </cfRule>
    <cfRule type="expression" dxfId="1431" priority="78">
      <formula>$Z13="Benzick, Sue"</formula>
    </cfRule>
  </conditionalFormatting>
  <conditionalFormatting sqref="Z16">
    <cfRule type="expression" dxfId="1430" priority="68">
      <formula>$Y16="Benzick, Sue"</formula>
    </cfRule>
    <cfRule type="expression" dxfId="1429" priority="69">
      <formula>$Y16="Jenne, Richard"</formula>
    </cfRule>
  </conditionalFormatting>
  <dataValidations count="1">
    <dataValidation allowBlank="1" showInputMessage="1" showErrorMessage="1" sqref="Y4:Y5 Z6 Y8:Y11 T12 Y13:Y16 Y20 Y26:Y27 Z43:Z44 Z49 Y54:Y55 Z119 Y122" xr:uid="{280735AD-9393-4A13-9548-B1BEC2849C05}"/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4" id="{3C1E4ECB-B9F1-48FB-9C0D-E47C0F29C77D}">
            <xm:f>'FY 2026 Schedule'!#REF!="Jenne, Richard"</xm:f>
            <x14:dxf>
              <font>
                <b/>
                <i val="0"/>
              </font>
            </x14:dxf>
          </x14:cfRule>
          <x14:cfRule type="expression" priority="103" id="{6450F992-AEC1-4CE5-90BF-6CD42276DC4E}">
            <xm:f>'FY 2026 Schedule'!#REF!="Benzick, Sue"</xm:f>
            <x14:dxf>
              <font>
                <b/>
                <i val="0"/>
              </font>
            </x14:dxf>
          </x14:cfRule>
          <x14:cfRule type="expression" priority="105" id="{E2C47D4A-BAF6-42CF-A767-1C2D8E78F12A}">
            <xm:f>'FY 2026 Schedule'!#REF!="McQueen, Jennifer"</xm:f>
            <x14:dxf>
              <font>
                <b/>
                <i val="0"/>
              </font>
            </x14:dxf>
          </x14:cfRule>
          <xm:sqref>E12</xm:sqref>
        </x14:conditionalFormatting>
        <x14:conditionalFormatting xmlns:xm="http://schemas.microsoft.com/office/excel/2006/main">
          <x14:cfRule type="expression" priority="108" id="{85F36C4D-7022-451F-A5E8-06EDA207C5B1}">
            <xm:f>'FY 2026 Schedule'!#REF!="Benzick, Sue"</xm:f>
            <x14:dxf>
              <font>
                <b/>
                <i val="0"/>
              </font>
            </x14:dxf>
          </x14:cfRule>
          <x14:cfRule type="expression" priority="109" id="{F9CF1551-68CF-49B0-80C6-3D2D7CBAC9B7}">
            <xm:f>'FY 2026 Schedule'!#REF!="Jenne, Richard"</xm:f>
            <x14:dxf>
              <font>
                <b/>
                <i val="0"/>
              </font>
            </x14:dxf>
          </x14:cfRule>
          <x14:cfRule type="expression" priority="110" id="{2B782D55-0045-42B3-86BD-52A5DB9879C2}">
            <xm:f>'FY 2026 Schedule'!#REF!="McQueen, Jennifer"</xm:f>
            <x14:dxf>
              <font>
                <b/>
                <i val="0"/>
              </font>
            </x14:dxf>
          </x14:cfRule>
          <xm:sqref>I11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84DEEC20-2CBD-48B2-B014-51948FF1B981}">
          <x14:formula1>
            <xm:f>'TSD-Data'!$Q$2:$Q$13</xm:f>
          </x14:formula1>
          <xm:sqref>R4:R5 S6 R8:R11 M12 R13:R16 R20 R26:R27 S43:S44 S49 R54:R55 S119 R122</xm:sqref>
        </x14:dataValidation>
        <x14:dataValidation type="list" allowBlank="1" showInputMessage="1" showErrorMessage="1" xr:uid="{12B7A7D4-296D-4D60-9BF9-E690C2577975}">
          <x14:formula1>
            <xm:f>'TSD-Data'!$L$2:$L$105</xm:f>
          </x14:formula1>
          <xm:sqref>E4:E5 E119 E116 E105 E96:E97 E77:E81 E56:E59 E51 E42:E47 E36:E40 E27:E32 E13:E25 E11 E7</xm:sqref>
        </x14:dataValidation>
        <x14:dataValidation type="list" allowBlank="1" showInputMessage="1" showErrorMessage="1" xr:uid="{1987BB65-ACC6-465A-B135-7C00A4A2118B}">
          <x14:formula1>
            <xm:f>'TSD-Data'!$H$2:$H$45</xm:f>
          </x14:formula1>
          <xm:sqref>P4:Q5 P13:Q16 K12:L12 P8:Q11 Q6:R6 P20:Q20 P26:Q27 Q43:R44 Q49:R49 P54:Q55 Q119:R119 P122:Q122 O123:O124</xm:sqref>
        </x14:dataValidation>
        <x14:dataValidation type="list" allowBlank="1" showInputMessage="1" showErrorMessage="1" xr:uid="{9B760F2C-AAA5-4777-93A2-EEE7453008FF}">
          <x14:formula1>
            <xm:f>'TSD-Data'!$A$2:$A$71</xm:f>
          </x14:formula1>
          <xm:sqref>B4:B5 B7</xm:sqref>
        </x14:dataValidation>
        <x14:dataValidation type="list" allowBlank="1" showInputMessage="1" showErrorMessage="1" xr:uid="{721DAE03-5107-4601-96DA-74459EE8872E}">
          <x14:formula1>
            <xm:f>'TSD-Data'!$A$2:$A$80</xm:f>
          </x14:formula1>
          <xm:sqref>B11:B51 B67:B119 B54:B65 B122:B124</xm:sqref>
        </x14:dataValidation>
        <x14:dataValidation type="list" allowBlank="1" showInputMessage="1" showErrorMessage="1" xr:uid="{25075241-160E-433D-87AF-62DABA40036C}">
          <x14:formula1>
            <xm:f>'TSD-Data'!$N$2:$N$9</xm:f>
          </x14:formula1>
          <xm:sqref>AD4:AD5 AE119 AE43:AE44 AD27 AD20 AD13:AD16 Y12 AD11</xm:sqref>
        </x14:dataValidation>
        <x14:dataValidation type="list" allowBlank="1" showInputMessage="1" showErrorMessage="1" xr:uid="{BA0EEB62-5E87-46C1-8AEB-AA38650AC643}">
          <x14:formula1>
            <xm:f>'TSD-Data'!$N$2:$N$12</xm:f>
          </x14:formula1>
          <xm:sqref>AD122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16E2E-0CF1-483A-8D55-A437DC56FDD5}">
  <sheetPr>
    <tabColor rgb="FFCD96D6"/>
  </sheetPr>
  <dimension ref="A1:CU1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1" sqref="B1"/>
    </sheetView>
  </sheetViews>
  <sheetFormatPr defaultRowHeight="15" x14ac:dyDescent="0.25"/>
  <cols>
    <col min="1" max="1" width="66.42578125" bestFit="1" customWidth="1"/>
    <col min="2" max="2" width="17.85546875" bestFit="1" customWidth="1"/>
    <col min="3" max="97" width="3.7109375" bestFit="1" customWidth="1"/>
    <col min="98" max="99" width="11.28515625" bestFit="1" customWidth="1"/>
    <col min="100" max="477" width="66.5703125" bestFit="1" customWidth="1"/>
    <col min="478" max="478" width="41.85546875" bestFit="1" customWidth="1"/>
    <col min="479" max="479" width="43.42578125" bestFit="1" customWidth="1"/>
    <col min="480" max="480" width="61.7109375" bestFit="1" customWidth="1"/>
    <col min="481" max="481" width="71.7109375" bestFit="1" customWidth="1"/>
    <col min="482" max="482" width="40.85546875" bestFit="1" customWidth="1"/>
    <col min="483" max="483" width="49.85546875" bestFit="1" customWidth="1"/>
    <col min="484" max="484" width="40.85546875" bestFit="1" customWidth="1"/>
    <col min="485" max="485" width="65.5703125" bestFit="1" customWidth="1"/>
    <col min="486" max="486" width="33" bestFit="1" customWidth="1"/>
  </cols>
  <sheetData>
    <row r="1" spans="1:99" x14ac:dyDescent="0.25">
      <c r="A1" s="6" t="s">
        <v>802</v>
      </c>
      <c r="B1" t="s">
        <v>803</v>
      </c>
    </row>
    <row r="3" spans="1:99" x14ac:dyDescent="0.25">
      <c r="B3" s="6" t="s">
        <v>746</v>
      </c>
    </row>
    <row r="4" spans="1:99" ht="162" x14ac:dyDescent="0.25">
      <c r="A4" t="s">
        <v>747</v>
      </c>
      <c r="B4" s="156" t="s">
        <v>312</v>
      </c>
      <c r="C4" s="156" t="s">
        <v>76</v>
      </c>
      <c r="D4" s="156" t="s">
        <v>183</v>
      </c>
      <c r="E4" s="156" t="s">
        <v>749</v>
      </c>
      <c r="F4" s="156" t="s">
        <v>75</v>
      </c>
      <c r="G4" s="156" t="s">
        <v>112</v>
      </c>
      <c r="H4" s="156" t="s">
        <v>88</v>
      </c>
      <c r="I4" s="156" t="s">
        <v>804</v>
      </c>
      <c r="J4" s="156" t="s">
        <v>751</v>
      </c>
      <c r="K4" s="156" t="s">
        <v>805</v>
      </c>
      <c r="L4" s="156" t="s">
        <v>115</v>
      </c>
      <c r="M4" s="156" t="s">
        <v>806</v>
      </c>
      <c r="N4" s="156" t="s">
        <v>74</v>
      </c>
      <c r="O4" s="156" t="s">
        <v>83</v>
      </c>
      <c r="P4" s="156" t="s">
        <v>352</v>
      </c>
      <c r="Q4" s="156" t="s">
        <v>127</v>
      </c>
      <c r="R4" s="156" t="s">
        <v>106</v>
      </c>
      <c r="S4" s="156" t="s">
        <v>297</v>
      </c>
      <c r="T4" s="156" t="s">
        <v>754</v>
      </c>
      <c r="U4" s="156" t="s">
        <v>118</v>
      </c>
      <c r="V4" s="156" t="s">
        <v>755</v>
      </c>
      <c r="W4" s="156" t="s">
        <v>807</v>
      </c>
      <c r="X4" s="156" t="s">
        <v>46</v>
      </c>
      <c r="Y4" s="156" t="s">
        <v>52</v>
      </c>
      <c r="Z4" s="156" t="s">
        <v>132</v>
      </c>
      <c r="AA4" s="156" t="s">
        <v>257</v>
      </c>
      <c r="AB4" s="156" t="s">
        <v>808</v>
      </c>
      <c r="AC4" s="156" t="s">
        <v>809</v>
      </c>
      <c r="AD4" s="156" t="s">
        <v>103</v>
      </c>
      <c r="AE4" s="156" t="s">
        <v>134</v>
      </c>
      <c r="AF4" s="156" t="s">
        <v>258</v>
      </c>
      <c r="AG4" s="156" t="s">
        <v>757</v>
      </c>
      <c r="AH4" s="156" t="s">
        <v>50</v>
      </c>
      <c r="AI4" s="156" t="s">
        <v>758</v>
      </c>
      <c r="AJ4" s="156" t="s">
        <v>759</v>
      </c>
      <c r="AK4" s="156" t="s">
        <v>542</v>
      </c>
      <c r="AL4" s="156" t="s">
        <v>96</v>
      </c>
      <c r="AM4" s="156" t="s">
        <v>131</v>
      </c>
      <c r="AN4" s="156" t="s">
        <v>41</v>
      </c>
      <c r="AO4" s="515" t="s">
        <v>810</v>
      </c>
      <c r="AP4" s="156" t="s">
        <v>811</v>
      </c>
      <c r="AQ4" s="156" t="s">
        <v>310</v>
      </c>
      <c r="AR4" s="156" t="s">
        <v>329</v>
      </c>
      <c r="AS4" s="156" t="s">
        <v>761</v>
      </c>
      <c r="AT4" s="156" t="s">
        <v>477</v>
      </c>
      <c r="AU4" s="156" t="s">
        <v>762</v>
      </c>
      <c r="AV4" s="515" t="s">
        <v>763</v>
      </c>
      <c r="AW4" s="515" t="s">
        <v>812</v>
      </c>
      <c r="AX4" s="156" t="s">
        <v>813</v>
      </c>
      <c r="AY4" s="156" t="s">
        <v>814</v>
      </c>
      <c r="AZ4" s="156" t="s">
        <v>309</v>
      </c>
      <c r="BA4" s="515" t="s">
        <v>815</v>
      </c>
      <c r="BB4" s="156" t="s">
        <v>816</v>
      </c>
      <c r="BC4" s="515" t="s">
        <v>817</v>
      </c>
      <c r="BD4" s="515" t="s">
        <v>818</v>
      </c>
      <c r="BE4" s="156" t="s">
        <v>819</v>
      </c>
      <c r="BF4" s="156" t="s">
        <v>820</v>
      </c>
      <c r="BG4" s="156" t="s">
        <v>821</v>
      </c>
      <c r="BH4" s="156" t="s">
        <v>764</v>
      </c>
      <c r="BI4" s="156" t="s">
        <v>766</v>
      </c>
      <c r="BJ4" s="156" t="s">
        <v>768</v>
      </c>
      <c r="BK4" s="156" t="s">
        <v>557</v>
      </c>
      <c r="BL4" s="156" t="s">
        <v>769</v>
      </c>
      <c r="BM4" s="156" t="s">
        <v>133</v>
      </c>
      <c r="BN4" s="156" t="s">
        <v>770</v>
      </c>
      <c r="BO4" s="156" t="s">
        <v>259</v>
      </c>
      <c r="BP4" s="156" t="s">
        <v>114</v>
      </c>
      <c r="BQ4" s="156" t="s">
        <v>279</v>
      </c>
      <c r="BR4" s="156" t="s">
        <v>78</v>
      </c>
      <c r="BS4" s="156" t="s">
        <v>298</v>
      </c>
      <c r="BT4" s="156" t="s">
        <v>771</v>
      </c>
      <c r="BU4" s="156" t="s">
        <v>81</v>
      </c>
      <c r="BV4" s="156" t="s">
        <v>102</v>
      </c>
      <c r="BW4" s="156" t="s">
        <v>120</v>
      </c>
      <c r="BX4" s="156" t="s">
        <v>121</v>
      </c>
      <c r="BY4" s="156" t="s">
        <v>129</v>
      </c>
      <c r="BZ4" s="156" t="s">
        <v>98</v>
      </c>
      <c r="CA4" s="156" t="s">
        <v>97</v>
      </c>
      <c r="CB4" s="156" t="s">
        <v>327</v>
      </c>
      <c r="CC4" s="156" t="s">
        <v>101</v>
      </c>
      <c r="CD4" s="156" t="s">
        <v>300</v>
      </c>
      <c r="CE4" s="156" t="s">
        <v>822</v>
      </c>
      <c r="CF4" s="156" t="s">
        <v>359</v>
      </c>
      <c r="CG4" s="156" t="s">
        <v>467</v>
      </c>
      <c r="CH4" s="156" t="s">
        <v>347</v>
      </c>
      <c r="CI4" s="156" t="s">
        <v>774</v>
      </c>
      <c r="CJ4" s="156" t="s">
        <v>116</v>
      </c>
      <c r="CK4" s="156" t="s">
        <v>823</v>
      </c>
      <c r="CL4" s="156" t="s">
        <v>824</v>
      </c>
      <c r="CM4" s="156" t="s">
        <v>616</v>
      </c>
      <c r="CN4" s="156" t="s">
        <v>122</v>
      </c>
      <c r="CO4" s="156" t="s">
        <v>71</v>
      </c>
      <c r="CP4" s="156" t="s">
        <v>117</v>
      </c>
      <c r="CQ4" s="156" t="s">
        <v>618</v>
      </c>
      <c r="CR4" s="156" t="s">
        <v>51</v>
      </c>
      <c r="CS4" s="156" t="s">
        <v>825</v>
      </c>
      <c r="CT4" s="189" t="s">
        <v>360</v>
      </c>
    </row>
    <row r="5" spans="1:99" x14ac:dyDescent="0.25">
      <c r="A5" s="158" t="s">
        <v>826</v>
      </c>
      <c r="B5" s="54"/>
      <c r="C5" s="54">
        <v>30</v>
      </c>
      <c r="D5" s="54">
        <v>28</v>
      </c>
      <c r="E5" s="54">
        <v>6</v>
      </c>
      <c r="F5" s="54">
        <v>20</v>
      </c>
      <c r="G5" s="54">
        <v>20</v>
      </c>
      <c r="H5" s="54">
        <v>32</v>
      </c>
      <c r="I5" s="54"/>
      <c r="J5" s="54">
        <v>1</v>
      </c>
      <c r="K5" s="54"/>
      <c r="L5" s="54"/>
      <c r="M5" s="54"/>
      <c r="N5" s="54"/>
      <c r="O5" s="54">
        <v>38</v>
      </c>
      <c r="P5" s="54">
        <v>4</v>
      </c>
      <c r="Q5" s="54"/>
      <c r="R5" s="54"/>
      <c r="S5" s="54">
        <v>32</v>
      </c>
      <c r="T5" s="54"/>
      <c r="U5" s="54">
        <v>11</v>
      </c>
      <c r="V5" s="54"/>
      <c r="W5" s="54"/>
      <c r="X5" s="54"/>
      <c r="Y5" s="54">
        <v>42</v>
      </c>
      <c r="Z5" s="54">
        <v>30</v>
      </c>
      <c r="AA5" s="54"/>
      <c r="AB5" s="54"/>
      <c r="AC5" s="54"/>
      <c r="AD5" s="54"/>
      <c r="AE5" s="54"/>
      <c r="AF5" s="54"/>
      <c r="AG5" s="54"/>
      <c r="AH5" s="54">
        <v>30</v>
      </c>
      <c r="AI5" s="54"/>
      <c r="AJ5" s="54">
        <v>30</v>
      </c>
      <c r="AK5" s="54"/>
      <c r="AL5" s="54">
        <v>18</v>
      </c>
      <c r="AM5" s="54"/>
      <c r="AN5" s="54">
        <v>30</v>
      </c>
      <c r="AO5" s="54"/>
      <c r="AP5" s="54">
        <v>8</v>
      </c>
      <c r="AQ5" s="54">
        <v>40</v>
      </c>
      <c r="AR5" s="54">
        <v>80</v>
      </c>
      <c r="AS5" s="54">
        <v>45</v>
      </c>
      <c r="AT5" s="54">
        <v>10</v>
      </c>
      <c r="AU5" s="54"/>
      <c r="AV5" s="54"/>
      <c r="AW5" s="54"/>
      <c r="AX5" s="54">
        <v>70</v>
      </c>
      <c r="AY5" s="54">
        <v>40</v>
      </c>
      <c r="AZ5" s="54">
        <v>42</v>
      </c>
      <c r="BA5" s="54"/>
      <c r="BB5" s="54">
        <v>2</v>
      </c>
      <c r="BC5" s="54"/>
      <c r="BD5" s="54"/>
      <c r="BE5" s="54">
        <v>5</v>
      </c>
      <c r="BF5" s="54"/>
      <c r="BG5" s="54">
        <v>2</v>
      </c>
      <c r="BH5" s="54"/>
      <c r="BI5" s="54"/>
      <c r="BJ5" s="54"/>
      <c r="BK5" s="54"/>
      <c r="BL5" s="54"/>
      <c r="BM5" s="54"/>
      <c r="BN5" s="54">
        <v>30</v>
      </c>
      <c r="BO5" s="54"/>
      <c r="BP5" s="54"/>
      <c r="BQ5" s="54">
        <v>13</v>
      </c>
      <c r="BR5" s="54">
        <v>32</v>
      </c>
      <c r="BS5" s="54"/>
      <c r="BT5" s="54"/>
      <c r="BU5" s="54">
        <v>45</v>
      </c>
      <c r="BV5" s="54">
        <v>6</v>
      </c>
      <c r="BW5" s="54">
        <v>10</v>
      </c>
      <c r="BX5" s="54">
        <v>10</v>
      </c>
      <c r="BY5" s="54">
        <v>30</v>
      </c>
      <c r="BZ5" s="54"/>
      <c r="CA5" s="54">
        <v>30</v>
      </c>
      <c r="CB5" s="54"/>
      <c r="CC5" s="54">
        <v>63</v>
      </c>
      <c r="CD5" s="54">
        <v>51</v>
      </c>
      <c r="CE5" s="54"/>
      <c r="CF5" s="54"/>
      <c r="CG5" s="54"/>
      <c r="CH5" s="54">
        <v>10</v>
      </c>
      <c r="CI5" s="54"/>
      <c r="CJ5" s="54"/>
      <c r="CK5" s="54">
        <v>20</v>
      </c>
      <c r="CL5" s="54"/>
      <c r="CM5" s="54"/>
      <c r="CN5" s="54"/>
      <c r="CO5" s="54">
        <v>8</v>
      </c>
      <c r="CP5" s="54">
        <v>6</v>
      </c>
      <c r="CQ5" s="54"/>
      <c r="CR5" s="54">
        <v>28</v>
      </c>
      <c r="CS5" s="54"/>
      <c r="CT5" s="519">
        <v>1138</v>
      </c>
    </row>
    <row r="6" spans="1:99" x14ac:dyDescent="0.25">
      <c r="A6" s="158" t="s">
        <v>827</v>
      </c>
      <c r="B6" s="54">
        <v>20</v>
      </c>
      <c r="C6" s="54"/>
      <c r="D6" s="54">
        <v>30</v>
      </c>
      <c r="E6" s="54">
        <v>10</v>
      </c>
      <c r="F6" s="54">
        <v>30</v>
      </c>
      <c r="G6" s="54">
        <v>20</v>
      </c>
      <c r="H6" s="54"/>
      <c r="I6" s="54"/>
      <c r="J6" s="54">
        <v>1</v>
      </c>
      <c r="K6" s="54"/>
      <c r="L6" s="54"/>
      <c r="M6" s="54"/>
      <c r="N6" s="54">
        <v>30</v>
      </c>
      <c r="O6" s="54">
        <v>40</v>
      </c>
      <c r="P6" s="54">
        <v>2</v>
      </c>
      <c r="Q6" s="54"/>
      <c r="R6" s="54"/>
      <c r="S6" s="54"/>
      <c r="T6" s="54"/>
      <c r="U6" s="54">
        <v>8</v>
      </c>
      <c r="V6" s="54"/>
      <c r="W6" s="54"/>
      <c r="X6" s="54">
        <v>30</v>
      </c>
      <c r="Y6" s="54">
        <v>44</v>
      </c>
      <c r="Z6" s="54"/>
      <c r="AA6" s="54"/>
      <c r="AB6" s="54">
        <v>30</v>
      </c>
      <c r="AC6" s="54">
        <v>30</v>
      </c>
      <c r="AD6" s="54">
        <v>30</v>
      </c>
      <c r="AE6" s="54">
        <v>20</v>
      </c>
      <c r="AF6" s="54"/>
      <c r="AG6" s="54">
        <v>30</v>
      </c>
      <c r="AH6" s="54"/>
      <c r="AI6" s="54"/>
      <c r="AJ6" s="54"/>
      <c r="AK6" s="54"/>
      <c r="AL6" s="54">
        <v>10</v>
      </c>
      <c r="AM6" s="54">
        <v>30</v>
      </c>
      <c r="AN6" s="54"/>
      <c r="AO6" s="54">
        <v>40</v>
      </c>
      <c r="AP6" s="54">
        <v>8</v>
      </c>
      <c r="AQ6" s="54"/>
      <c r="AR6" s="54"/>
      <c r="AS6" s="54">
        <v>1</v>
      </c>
      <c r="AT6" s="54">
        <v>40</v>
      </c>
      <c r="AU6" s="54"/>
      <c r="AV6" s="54">
        <v>40</v>
      </c>
      <c r="AW6" s="54">
        <v>40</v>
      </c>
      <c r="AX6" s="54">
        <v>0</v>
      </c>
      <c r="AY6" s="54"/>
      <c r="AZ6" s="54"/>
      <c r="BA6" s="54">
        <v>40</v>
      </c>
      <c r="BB6" s="54">
        <v>1</v>
      </c>
      <c r="BC6" s="54">
        <v>40</v>
      </c>
      <c r="BD6" s="54">
        <v>40</v>
      </c>
      <c r="BE6" s="54">
        <v>5</v>
      </c>
      <c r="BF6" s="54"/>
      <c r="BG6" s="54"/>
      <c r="BH6" s="54"/>
      <c r="BI6" s="54"/>
      <c r="BJ6" s="54"/>
      <c r="BK6" s="54"/>
      <c r="BL6" s="54"/>
      <c r="BM6" s="54">
        <v>15</v>
      </c>
      <c r="BN6" s="54"/>
      <c r="BO6" s="54"/>
      <c r="BP6" s="54">
        <v>32</v>
      </c>
      <c r="BQ6" s="54">
        <v>50</v>
      </c>
      <c r="BR6" s="54">
        <v>4</v>
      </c>
      <c r="BS6" s="54">
        <v>20</v>
      </c>
      <c r="BT6" s="54">
        <v>30</v>
      </c>
      <c r="BU6" s="54">
        <v>23</v>
      </c>
      <c r="BV6" s="54">
        <v>28</v>
      </c>
      <c r="BW6" s="54">
        <v>10</v>
      </c>
      <c r="BX6" s="54"/>
      <c r="BY6" s="54"/>
      <c r="BZ6" s="54"/>
      <c r="CA6" s="54"/>
      <c r="CB6" s="54"/>
      <c r="CC6" s="54">
        <v>23</v>
      </c>
      <c r="CD6" s="54">
        <v>42</v>
      </c>
      <c r="CE6" s="54">
        <v>30</v>
      </c>
      <c r="CF6" s="54"/>
      <c r="CG6" s="54"/>
      <c r="CH6" s="54">
        <v>10</v>
      </c>
      <c r="CI6" s="54"/>
      <c r="CJ6" s="54">
        <v>25</v>
      </c>
      <c r="CK6" s="54">
        <v>20</v>
      </c>
      <c r="CL6" s="54">
        <v>30</v>
      </c>
      <c r="CM6" s="54"/>
      <c r="CN6" s="54">
        <v>30</v>
      </c>
      <c r="CO6" s="54">
        <v>8</v>
      </c>
      <c r="CP6" s="54">
        <v>29</v>
      </c>
      <c r="CQ6" s="54"/>
      <c r="CR6" s="54">
        <v>32</v>
      </c>
      <c r="CS6" s="54"/>
      <c r="CT6" s="519">
        <v>1231</v>
      </c>
    </row>
    <row r="7" spans="1:99" x14ac:dyDescent="0.25">
      <c r="A7" s="158" t="s">
        <v>828</v>
      </c>
      <c r="B7" s="54"/>
      <c r="C7" s="54">
        <v>27</v>
      </c>
      <c r="D7" s="54">
        <v>32</v>
      </c>
      <c r="E7" s="54">
        <v>59</v>
      </c>
      <c r="F7" s="54">
        <v>31</v>
      </c>
      <c r="G7" s="54">
        <v>63</v>
      </c>
      <c r="H7" s="54">
        <v>32</v>
      </c>
      <c r="I7" s="54">
        <v>4</v>
      </c>
      <c r="J7" s="54"/>
      <c r="K7" s="54">
        <v>2</v>
      </c>
      <c r="L7" s="54">
        <v>16</v>
      </c>
      <c r="M7" s="54">
        <v>2</v>
      </c>
      <c r="N7" s="54">
        <v>25</v>
      </c>
      <c r="O7" s="54">
        <v>49</v>
      </c>
      <c r="P7" s="54">
        <v>4</v>
      </c>
      <c r="Q7" s="54">
        <v>35</v>
      </c>
      <c r="R7" s="54">
        <v>21</v>
      </c>
      <c r="S7" s="54">
        <v>33</v>
      </c>
      <c r="T7" s="54">
        <v>2</v>
      </c>
      <c r="U7" s="54">
        <v>14</v>
      </c>
      <c r="V7" s="54">
        <v>23</v>
      </c>
      <c r="W7" s="54">
        <v>3</v>
      </c>
      <c r="X7" s="54">
        <v>25</v>
      </c>
      <c r="Y7" s="54">
        <v>42</v>
      </c>
      <c r="Z7" s="54">
        <v>1</v>
      </c>
      <c r="AA7" s="54">
        <v>0</v>
      </c>
      <c r="AB7" s="54"/>
      <c r="AC7" s="54"/>
      <c r="AD7" s="54"/>
      <c r="AE7" s="54"/>
      <c r="AF7" s="54">
        <v>17</v>
      </c>
      <c r="AG7" s="54">
        <v>3</v>
      </c>
      <c r="AH7" s="54">
        <v>1</v>
      </c>
      <c r="AI7" s="54"/>
      <c r="AJ7" s="54">
        <v>0</v>
      </c>
      <c r="AK7" s="54">
        <v>0</v>
      </c>
      <c r="AL7" s="54">
        <v>24</v>
      </c>
      <c r="AM7" s="54">
        <v>2</v>
      </c>
      <c r="AN7" s="54">
        <v>5</v>
      </c>
      <c r="AO7" s="54"/>
      <c r="AP7" s="54"/>
      <c r="AQ7" s="54"/>
      <c r="AR7" s="54"/>
      <c r="AS7" s="54">
        <v>25</v>
      </c>
      <c r="AT7" s="54">
        <v>10</v>
      </c>
      <c r="AU7" s="54">
        <v>3</v>
      </c>
      <c r="AV7" s="54"/>
      <c r="AW7" s="54"/>
      <c r="AX7" s="54">
        <v>50</v>
      </c>
      <c r="AY7" s="54"/>
      <c r="AZ7" s="54">
        <v>2</v>
      </c>
      <c r="BA7" s="54"/>
      <c r="BB7" s="54">
        <v>3</v>
      </c>
      <c r="BC7" s="54"/>
      <c r="BD7" s="54"/>
      <c r="BE7" s="54">
        <v>5</v>
      </c>
      <c r="BF7" s="54">
        <v>10</v>
      </c>
      <c r="BG7" s="54">
        <v>2</v>
      </c>
      <c r="BH7" s="54"/>
      <c r="BI7" s="54"/>
      <c r="BJ7" s="54"/>
      <c r="BK7" s="54"/>
      <c r="BL7" s="54">
        <v>2</v>
      </c>
      <c r="BM7" s="54">
        <v>32</v>
      </c>
      <c r="BN7" s="54">
        <v>28</v>
      </c>
      <c r="BO7" s="54">
        <v>3</v>
      </c>
      <c r="BP7" s="54">
        <v>31</v>
      </c>
      <c r="BQ7" s="54">
        <v>72</v>
      </c>
      <c r="BR7" s="54">
        <v>34</v>
      </c>
      <c r="BS7" s="54">
        <v>0</v>
      </c>
      <c r="BT7" s="54">
        <v>28</v>
      </c>
      <c r="BU7" s="54">
        <v>60</v>
      </c>
      <c r="BV7" s="54">
        <v>7</v>
      </c>
      <c r="BW7" s="54">
        <v>10</v>
      </c>
      <c r="BX7" s="54">
        <v>11</v>
      </c>
      <c r="BY7" s="54">
        <v>28</v>
      </c>
      <c r="BZ7" s="54">
        <v>22</v>
      </c>
      <c r="CA7" s="54">
        <v>37</v>
      </c>
      <c r="CB7" s="54"/>
      <c r="CC7" s="54">
        <v>82</v>
      </c>
      <c r="CD7" s="54">
        <v>52</v>
      </c>
      <c r="CE7" s="54"/>
      <c r="CF7" s="54"/>
      <c r="CG7" s="54">
        <v>37</v>
      </c>
      <c r="CH7" s="54">
        <v>5</v>
      </c>
      <c r="CI7" s="54">
        <v>2</v>
      </c>
      <c r="CJ7" s="54">
        <v>25</v>
      </c>
      <c r="CK7" s="54">
        <v>20</v>
      </c>
      <c r="CL7" s="54"/>
      <c r="CM7" s="54">
        <v>5</v>
      </c>
      <c r="CN7" s="54">
        <v>0</v>
      </c>
      <c r="CO7" s="54">
        <v>12</v>
      </c>
      <c r="CP7" s="54">
        <v>11</v>
      </c>
      <c r="CQ7" s="54"/>
      <c r="CR7" s="54">
        <v>51</v>
      </c>
      <c r="CS7" s="54"/>
      <c r="CT7" s="519">
        <v>1414</v>
      </c>
    </row>
    <row r="8" spans="1:99" x14ac:dyDescent="0.25">
      <c r="A8" s="158" t="s">
        <v>829</v>
      </c>
      <c r="B8" s="54"/>
      <c r="C8" s="54">
        <v>0</v>
      </c>
      <c r="D8" s="54">
        <v>22</v>
      </c>
      <c r="E8" s="54">
        <v>32</v>
      </c>
      <c r="F8" s="54">
        <v>32</v>
      </c>
      <c r="G8" s="54">
        <v>54</v>
      </c>
      <c r="H8" s="54">
        <v>32</v>
      </c>
      <c r="I8" s="54"/>
      <c r="J8" s="54">
        <v>2</v>
      </c>
      <c r="K8" s="54">
        <v>0</v>
      </c>
      <c r="L8" s="54">
        <v>17</v>
      </c>
      <c r="M8" s="54">
        <v>8</v>
      </c>
      <c r="N8" s="54">
        <v>30</v>
      </c>
      <c r="O8" s="54">
        <v>30</v>
      </c>
      <c r="P8" s="54">
        <v>28</v>
      </c>
      <c r="Q8" s="54">
        <v>60</v>
      </c>
      <c r="R8" s="54">
        <v>16</v>
      </c>
      <c r="S8" s="54">
        <v>32</v>
      </c>
      <c r="T8" s="54">
        <v>0</v>
      </c>
      <c r="U8" s="54">
        <v>0</v>
      </c>
      <c r="V8" s="54">
        <v>0</v>
      </c>
      <c r="W8" s="54">
        <v>3</v>
      </c>
      <c r="X8" s="54">
        <v>30</v>
      </c>
      <c r="Y8" s="54">
        <v>30</v>
      </c>
      <c r="Z8" s="54">
        <v>4</v>
      </c>
      <c r="AA8" s="54">
        <v>29</v>
      </c>
      <c r="AB8" s="54"/>
      <c r="AC8" s="54"/>
      <c r="AD8" s="54"/>
      <c r="AE8" s="54">
        <v>20</v>
      </c>
      <c r="AF8" s="54">
        <v>19</v>
      </c>
      <c r="AG8" s="54">
        <v>0</v>
      </c>
      <c r="AH8" s="54">
        <v>2</v>
      </c>
      <c r="AI8" s="54"/>
      <c r="AJ8" s="54">
        <v>2</v>
      </c>
      <c r="AK8" s="54">
        <v>2</v>
      </c>
      <c r="AL8" s="54">
        <v>5</v>
      </c>
      <c r="AM8" s="54">
        <v>35</v>
      </c>
      <c r="AN8" s="54">
        <v>14</v>
      </c>
      <c r="AO8" s="54"/>
      <c r="AP8" s="54"/>
      <c r="AQ8" s="54"/>
      <c r="AR8" s="54"/>
      <c r="AS8" s="54">
        <v>3</v>
      </c>
      <c r="AT8" s="54">
        <v>10</v>
      </c>
      <c r="AU8" s="54"/>
      <c r="AV8" s="54"/>
      <c r="AW8" s="54"/>
      <c r="AX8" s="54">
        <v>50</v>
      </c>
      <c r="AY8" s="54"/>
      <c r="AZ8" s="54">
        <v>2</v>
      </c>
      <c r="BA8" s="54"/>
      <c r="BB8" s="54">
        <v>2</v>
      </c>
      <c r="BC8" s="54"/>
      <c r="BD8" s="54"/>
      <c r="BE8" s="54">
        <v>0</v>
      </c>
      <c r="BF8" s="54"/>
      <c r="BG8" s="54">
        <v>2</v>
      </c>
      <c r="BH8" s="54"/>
      <c r="BI8" s="54"/>
      <c r="BJ8" s="54"/>
      <c r="BK8" s="54"/>
      <c r="BL8" s="54">
        <v>0</v>
      </c>
      <c r="BM8" s="54">
        <v>32</v>
      </c>
      <c r="BN8" s="54">
        <v>30</v>
      </c>
      <c r="BO8" s="54">
        <v>0</v>
      </c>
      <c r="BP8" s="54">
        <v>30</v>
      </c>
      <c r="BQ8" s="54">
        <v>58</v>
      </c>
      <c r="BR8" s="54">
        <v>30</v>
      </c>
      <c r="BS8" s="54">
        <v>3</v>
      </c>
      <c r="BT8" s="54">
        <v>34</v>
      </c>
      <c r="BU8" s="54">
        <v>59</v>
      </c>
      <c r="BV8" s="54">
        <v>4</v>
      </c>
      <c r="BW8" s="54"/>
      <c r="BX8" s="54">
        <v>11</v>
      </c>
      <c r="BY8" s="54">
        <v>30</v>
      </c>
      <c r="BZ8" s="54">
        <v>15</v>
      </c>
      <c r="CA8" s="54">
        <v>31</v>
      </c>
      <c r="CB8" s="54"/>
      <c r="CC8" s="54">
        <v>37</v>
      </c>
      <c r="CD8" s="54">
        <v>36</v>
      </c>
      <c r="CE8" s="54"/>
      <c r="CF8" s="54"/>
      <c r="CG8" s="54">
        <v>35</v>
      </c>
      <c r="CH8" s="54">
        <v>5</v>
      </c>
      <c r="CI8" s="54">
        <v>0</v>
      </c>
      <c r="CJ8" s="54">
        <v>27</v>
      </c>
      <c r="CK8" s="54">
        <v>60</v>
      </c>
      <c r="CL8" s="54"/>
      <c r="CM8" s="54">
        <v>0</v>
      </c>
      <c r="CN8" s="54">
        <v>3</v>
      </c>
      <c r="CO8" s="54">
        <v>0</v>
      </c>
      <c r="CP8" s="54">
        <v>21</v>
      </c>
      <c r="CQ8" s="54">
        <v>25</v>
      </c>
      <c r="CR8" s="54">
        <v>48</v>
      </c>
      <c r="CS8" s="54"/>
      <c r="CT8" s="519">
        <v>1323</v>
      </c>
    </row>
    <row r="9" spans="1:99" x14ac:dyDescent="0.25">
      <c r="A9" s="158" t="s">
        <v>830</v>
      </c>
      <c r="B9" s="54"/>
      <c r="C9" s="54"/>
      <c r="D9" s="54">
        <v>20</v>
      </c>
      <c r="E9" s="54"/>
      <c r="F9" s="54">
        <v>30</v>
      </c>
      <c r="G9" s="54">
        <v>34</v>
      </c>
      <c r="H9" s="54">
        <v>32</v>
      </c>
      <c r="I9" s="54"/>
      <c r="J9" s="54">
        <v>2</v>
      </c>
      <c r="K9" s="54"/>
      <c r="L9" s="54">
        <v>15</v>
      </c>
      <c r="M9" s="54"/>
      <c r="N9" s="54"/>
      <c r="O9" s="54">
        <v>25</v>
      </c>
      <c r="P9" s="54"/>
      <c r="Q9" s="54"/>
      <c r="R9" s="54"/>
      <c r="S9" s="54">
        <v>30</v>
      </c>
      <c r="T9" s="54"/>
      <c r="U9" s="54"/>
      <c r="V9" s="54">
        <v>20</v>
      </c>
      <c r="W9" s="54">
        <v>30</v>
      </c>
      <c r="X9" s="54"/>
      <c r="Y9" s="54">
        <v>30</v>
      </c>
      <c r="Z9" s="54"/>
      <c r="AA9" s="54">
        <v>30</v>
      </c>
      <c r="AB9" s="54"/>
      <c r="AC9" s="54"/>
      <c r="AD9" s="54"/>
      <c r="AE9" s="54"/>
      <c r="AF9" s="54"/>
      <c r="AG9" s="54">
        <v>4</v>
      </c>
      <c r="AH9" s="54">
        <v>30</v>
      </c>
      <c r="AI9" s="54">
        <v>2</v>
      </c>
      <c r="AJ9" s="54"/>
      <c r="AK9" s="54"/>
      <c r="AL9" s="54">
        <v>10</v>
      </c>
      <c r="AM9" s="54">
        <v>2</v>
      </c>
      <c r="AN9" s="54">
        <v>32</v>
      </c>
      <c r="AO9" s="54"/>
      <c r="AP9" s="54"/>
      <c r="AQ9" s="54"/>
      <c r="AR9" s="54"/>
      <c r="AS9" s="54">
        <v>2</v>
      </c>
      <c r="AT9" s="54">
        <v>10</v>
      </c>
      <c r="AU9" s="54">
        <v>3</v>
      </c>
      <c r="AV9" s="54"/>
      <c r="AW9" s="54"/>
      <c r="AX9" s="54">
        <v>15</v>
      </c>
      <c r="AY9" s="54">
        <v>11</v>
      </c>
      <c r="AZ9" s="54">
        <v>2</v>
      </c>
      <c r="BA9" s="54"/>
      <c r="BB9" s="54">
        <v>3</v>
      </c>
      <c r="BC9" s="54"/>
      <c r="BD9" s="54"/>
      <c r="BE9" s="54">
        <v>3</v>
      </c>
      <c r="BF9" s="54"/>
      <c r="BG9" s="54">
        <v>2</v>
      </c>
      <c r="BH9" s="54">
        <v>1</v>
      </c>
      <c r="BI9" s="54"/>
      <c r="BJ9" s="54"/>
      <c r="BK9" s="54"/>
      <c r="BL9" s="54"/>
      <c r="BM9" s="54"/>
      <c r="BN9" s="54">
        <v>1</v>
      </c>
      <c r="BO9" s="54"/>
      <c r="BP9" s="54">
        <v>2</v>
      </c>
      <c r="BQ9" s="54">
        <v>28</v>
      </c>
      <c r="BR9" s="54">
        <v>30</v>
      </c>
      <c r="BS9" s="54"/>
      <c r="BT9" s="54"/>
      <c r="BU9" s="54">
        <v>51</v>
      </c>
      <c r="BV9" s="54"/>
      <c r="BW9" s="54"/>
      <c r="BX9" s="54">
        <v>15</v>
      </c>
      <c r="BY9" s="54">
        <v>5</v>
      </c>
      <c r="BZ9" s="54"/>
      <c r="CA9" s="54"/>
      <c r="CB9" s="54"/>
      <c r="CC9" s="54">
        <v>45</v>
      </c>
      <c r="CD9" s="54">
        <v>34</v>
      </c>
      <c r="CE9" s="54"/>
      <c r="CF9" s="54"/>
      <c r="CG9" s="54"/>
      <c r="CH9" s="54">
        <v>10</v>
      </c>
      <c r="CI9" s="54"/>
      <c r="CJ9" s="54"/>
      <c r="CK9" s="54">
        <v>20</v>
      </c>
      <c r="CL9" s="54"/>
      <c r="CM9" s="54"/>
      <c r="CN9" s="54"/>
      <c r="CO9" s="54">
        <v>5</v>
      </c>
      <c r="CP9" s="54"/>
      <c r="CQ9" s="54">
        <v>30</v>
      </c>
      <c r="CR9" s="54">
        <v>28</v>
      </c>
      <c r="CS9" s="54"/>
      <c r="CT9" s="519">
        <v>734</v>
      </c>
    </row>
    <row r="10" spans="1:99" x14ac:dyDescent="0.25">
      <c r="A10" s="158" t="s">
        <v>831</v>
      </c>
      <c r="B10" s="54"/>
      <c r="C10" s="54"/>
      <c r="D10" s="54">
        <v>20</v>
      </c>
      <c r="E10" s="54"/>
      <c r="F10" s="54">
        <v>30</v>
      </c>
      <c r="G10" s="54"/>
      <c r="H10" s="54">
        <v>30</v>
      </c>
      <c r="I10" s="54"/>
      <c r="J10" s="54">
        <v>2</v>
      </c>
      <c r="K10" s="54"/>
      <c r="L10" s="54">
        <v>15</v>
      </c>
      <c r="M10" s="54"/>
      <c r="N10" s="54">
        <v>30</v>
      </c>
      <c r="O10" s="54">
        <v>25</v>
      </c>
      <c r="P10" s="54"/>
      <c r="Q10" s="54">
        <v>60</v>
      </c>
      <c r="R10" s="54"/>
      <c r="S10" s="54">
        <v>30</v>
      </c>
      <c r="T10" s="54"/>
      <c r="U10" s="54">
        <v>5</v>
      </c>
      <c r="V10" s="54"/>
      <c r="W10" s="54"/>
      <c r="X10" s="54">
        <v>30</v>
      </c>
      <c r="Y10" s="54">
        <v>30</v>
      </c>
      <c r="Z10" s="54"/>
      <c r="AA10" s="54"/>
      <c r="AB10" s="54"/>
      <c r="AC10" s="54"/>
      <c r="AD10" s="54">
        <v>30</v>
      </c>
      <c r="AE10" s="54"/>
      <c r="AF10" s="54"/>
      <c r="AG10" s="54">
        <v>4</v>
      </c>
      <c r="AH10" s="54"/>
      <c r="AI10" s="54">
        <v>6</v>
      </c>
      <c r="AJ10" s="54"/>
      <c r="AK10" s="54"/>
      <c r="AL10" s="54">
        <v>15</v>
      </c>
      <c r="AM10" s="54">
        <v>6</v>
      </c>
      <c r="AN10" s="54">
        <v>2</v>
      </c>
      <c r="AO10" s="54"/>
      <c r="AP10" s="54"/>
      <c r="AQ10" s="54"/>
      <c r="AR10" s="54"/>
      <c r="AS10" s="54">
        <v>5</v>
      </c>
      <c r="AT10" s="54"/>
      <c r="AU10" s="54">
        <v>3</v>
      </c>
      <c r="AV10" s="54"/>
      <c r="AW10" s="54"/>
      <c r="AX10" s="54">
        <v>15</v>
      </c>
      <c r="AY10" s="54">
        <v>5</v>
      </c>
      <c r="AZ10" s="54"/>
      <c r="BA10" s="54"/>
      <c r="BB10" s="54">
        <v>1</v>
      </c>
      <c r="BC10" s="54"/>
      <c r="BD10" s="54"/>
      <c r="BE10" s="54">
        <v>0</v>
      </c>
      <c r="BF10" s="54">
        <v>10</v>
      </c>
      <c r="BG10" s="54"/>
      <c r="BH10" s="54"/>
      <c r="BI10" s="54"/>
      <c r="BJ10" s="54"/>
      <c r="BK10" s="54"/>
      <c r="BL10" s="54"/>
      <c r="BM10" s="54"/>
      <c r="BN10" s="54">
        <v>30</v>
      </c>
      <c r="BO10" s="54"/>
      <c r="BP10" s="54">
        <v>30</v>
      </c>
      <c r="BQ10" s="54">
        <v>39</v>
      </c>
      <c r="BR10" s="54">
        <v>30</v>
      </c>
      <c r="BS10" s="54"/>
      <c r="BT10" s="54">
        <v>30</v>
      </c>
      <c r="BU10" s="54">
        <v>41</v>
      </c>
      <c r="BV10" s="54"/>
      <c r="BW10" s="54"/>
      <c r="BX10" s="54">
        <v>10</v>
      </c>
      <c r="BY10" s="54">
        <v>30</v>
      </c>
      <c r="BZ10" s="54"/>
      <c r="CA10" s="54"/>
      <c r="CB10" s="54"/>
      <c r="CC10" s="54">
        <v>15</v>
      </c>
      <c r="CD10" s="54">
        <v>20</v>
      </c>
      <c r="CE10" s="54"/>
      <c r="CF10" s="54"/>
      <c r="CG10" s="54"/>
      <c r="CH10" s="54">
        <v>10</v>
      </c>
      <c r="CI10" s="54"/>
      <c r="CJ10" s="54"/>
      <c r="CK10" s="54">
        <v>20</v>
      </c>
      <c r="CL10" s="54"/>
      <c r="CM10" s="54"/>
      <c r="CN10" s="54">
        <v>30</v>
      </c>
      <c r="CO10" s="54">
        <v>0</v>
      </c>
      <c r="CP10" s="54">
        <v>21</v>
      </c>
      <c r="CQ10" s="54"/>
      <c r="CR10" s="54">
        <v>20</v>
      </c>
      <c r="CS10" s="54"/>
      <c r="CT10" s="519">
        <v>785</v>
      </c>
    </row>
    <row r="11" spans="1:99" x14ac:dyDescent="0.25">
      <c r="A11" s="158" t="s">
        <v>832</v>
      </c>
      <c r="B11" s="54"/>
      <c r="C11" s="54"/>
      <c r="D11" s="54">
        <v>20</v>
      </c>
      <c r="E11" s="54"/>
      <c r="F11" s="54">
        <v>30</v>
      </c>
      <c r="G11" s="54"/>
      <c r="H11" s="54">
        <v>20</v>
      </c>
      <c r="I11" s="54"/>
      <c r="J11" s="54"/>
      <c r="K11" s="54"/>
      <c r="L11" s="54"/>
      <c r="M11" s="54"/>
      <c r="N11" s="54"/>
      <c r="O11" s="54">
        <v>25</v>
      </c>
      <c r="P11" s="54"/>
      <c r="Q11" s="54"/>
      <c r="R11" s="54"/>
      <c r="S11" s="54">
        <v>30</v>
      </c>
      <c r="T11" s="54"/>
      <c r="U11" s="54">
        <v>5</v>
      </c>
      <c r="V11" s="54">
        <v>20</v>
      </c>
      <c r="W11" s="54">
        <v>30</v>
      </c>
      <c r="X11" s="54">
        <v>1</v>
      </c>
      <c r="Y11" s="54">
        <v>30</v>
      </c>
      <c r="Z11" s="54"/>
      <c r="AA11" s="54">
        <v>30</v>
      </c>
      <c r="AB11" s="54"/>
      <c r="AC11" s="54"/>
      <c r="AD11" s="54"/>
      <c r="AE11" s="54"/>
      <c r="AF11" s="54"/>
      <c r="AG11" s="54">
        <v>4</v>
      </c>
      <c r="AH11" s="54">
        <v>30</v>
      </c>
      <c r="AI11" s="54">
        <v>2</v>
      </c>
      <c r="AJ11" s="54"/>
      <c r="AK11" s="54"/>
      <c r="AL11" s="54">
        <v>15</v>
      </c>
      <c r="AM11" s="54">
        <v>5</v>
      </c>
      <c r="AN11" s="54">
        <v>32</v>
      </c>
      <c r="AO11" s="54"/>
      <c r="AP11" s="54"/>
      <c r="AQ11" s="54"/>
      <c r="AR11" s="54"/>
      <c r="AS11" s="54"/>
      <c r="AT11" s="54"/>
      <c r="AU11" s="54">
        <v>3</v>
      </c>
      <c r="AV11" s="54"/>
      <c r="AW11" s="54"/>
      <c r="AX11" s="54">
        <v>10</v>
      </c>
      <c r="AY11" s="54">
        <v>11</v>
      </c>
      <c r="AZ11" s="54"/>
      <c r="BA11" s="54"/>
      <c r="BB11" s="54">
        <v>1</v>
      </c>
      <c r="BC11" s="54"/>
      <c r="BD11" s="54"/>
      <c r="BE11" s="54">
        <v>3</v>
      </c>
      <c r="BF11" s="54"/>
      <c r="BG11" s="54"/>
      <c r="BH11" s="54"/>
      <c r="BI11" s="54"/>
      <c r="BJ11" s="54"/>
      <c r="BK11" s="54"/>
      <c r="BL11" s="54"/>
      <c r="BM11" s="54"/>
      <c r="BN11" s="54"/>
      <c r="BO11" s="54"/>
      <c r="BP11" s="54"/>
      <c r="BQ11" s="54">
        <v>24</v>
      </c>
      <c r="BR11" s="54">
        <v>30</v>
      </c>
      <c r="BS11" s="54"/>
      <c r="BT11" s="54"/>
      <c r="BU11" s="54">
        <v>54</v>
      </c>
      <c r="BV11" s="54"/>
      <c r="BW11" s="54"/>
      <c r="BX11" s="54">
        <v>10</v>
      </c>
      <c r="BY11" s="54">
        <v>30</v>
      </c>
      <c r="BZ11" s="54"/>
      <c r="CA11" s="54"/>
      <c r="CB11" s="54"/>
      <c r="CC11" s="54">
        <v>23</v>
      </c>
      <c r="CD11" s="54">
        <v>22</v>
      </c>
      <c r="CE11" s="54"/>
      <c r="CF11" s="54"/>
      <c r="CG11" s="54"/>
      <c r="CH11" s="54">
        <v>10</v>
      </c>
      <c r="CI11" s="54"/>
      <c r="CJ11" s="54"/>
      <c r="CK11" s="54">
        <v>20</v>
      </c>
      <c r="CL11" s="54"/>
      <c r="CM11" s="54"/>
      <c r="CN11" s="54"/>
      <c r="CO11" s="54">
        <v>5</v>
      </c>
      <c r="CP11" s="54">
        <v>5</v>
      </c>
      <c r="CQ11" s="54">
        <v>30</v>
      </c>
      <c r="CR11" s="54">
        <v>28</v>
      </c>
      <c r="CS11" s="54"/>
      <c r="CT11" s="519">
        <v>648</v>
      </c>
    </row>
    <row r="12" spans="1:99" x14ac:dyDescent="0.25">
      <c r="A12" s="158" t="s">
        <v>833</v>
      </c>
      <c r="B12" s="54"/>
      <c r="C12" s="54">
        <v>30</v>
      </c>
      <c r="D12" s="54">
        <v>30</v>
      </c>
      <c r="E12" s="54">
        <v>10</v>
      </c>
      <c r="F12" s="54">
        <v>30</v>
      </c>
      <c r="G12" s="54">
        <v>54</v>
      </c>
      <c r="H12" s="54">
        <v>32</v>
      </c>
      <c r="I12" s="54"/>
      <c r="J12" s="54">
        <v>1</v>
      </c>
      <c r="K12" s="54"/>
      <c r="L12" s="54">
        <v>16</v>
      </c>
      <c r="M12" s="54"/>
      <c r="N12" s="54">
        <v>30</v>
      </c>
      <c r="O12" s="54">
        <v>35</v>
      </c>
      <c r="P12" s="54">
        <v>4</v>
      </c>
      <c r="Q12" s="54">
        <v>60</v>
      </c>
      <c r="R12" s="54"/>
      <c r="S12" s="54">
        <v>31</v>
      </c>
      <c r="T12" s="54"/>
      <c r="U12" s="54">
        <v>6</v>
      </c>
      <c r="V12" s="54">
        <v>20</v>
      </c>
      <c r="W12" s="54"/>
      <c r="X12" s="54">
        <v>31</v>
      </c>
      <c r="Y12" s="54">
        <v>40</v>
      </c>
      <c r="Z12" s="54"/>
      <c r="AA12" s="54"/>
      <c r="AB12" s="54"/>
      <c r="AC12" s="54"/>
      <c r="AD12" s="54">
        <v>30</v>
      </c>
      <c r="AE12" s="54"/>
      <c r="AF12" s="54">
        <v>2</v>
      </c>
      <c r="AG12" s="54">
        <v>29</v>
      </c>
      <c r="AH12" s="54"/>
      <c r="AI12" s="54">
        <v>6</v>
      </c>
      <c r="AJ12" s="54"/>
      <c r="AK12" s="54"/>
      <c r="AL12" s="54">
        <v>25</v>
      </c>
      <c r="AM12" s="54">
        <v>5</v>
      </c>
      <c r="AN12" s="54">
        <v>4</v>
      </c>
      <c r="AO12" s="54"/>
      <c r="AP12" s="54"/>
      <c r="AQ12" s="54"/>
      <c r="AR12" s="54">
        <v>40</v>
      </c>
      <c r="AS12" s="54">
        <v>21</v>
      </c>
      <c r="AT12" s="54">
        <v>10</v>
      </c>
      <c r="AU12" s="54">
        <v>3</v>
      </c>
      <c r="AV12" s="54"/>
      <c r="AW12" s="54"/>
      <c r="AX12" s="54">
        <v>40</v>
      </c>
      <c r="AY12" s="54"/>
      <c r="AZ12" s="54">
        <v>2</v>
      </c>
      <c r="BA12" s="54"/>
      <c r="BB12" s="54">
        <v>2</v>
      </c>
      <c r="BC12" s="54"/>
      <c r="BD12" s="54"/>
      <c r="BE12" s="54">
        <v>5</v>
      </c>
      <c r="BF12" s="54"/>
      <c r="BG12" s="54">
        <v>2</v>
      </c>
      <c r="BH12" s="54"/>
      <c r="BI12" s="54"/>
      <c r="BJ12" s="54"/>
      <c r="BK12" s="54"/>
      <c r="BL12" s="54"/>
      <c r="BM12" s="54"/>
      <c r="BN12" s="54">
        <v>30</v>
      </c>
      <c r="BO12" s="54"/>
      <c r="BP12" s="54">
        <v>32</v>
      </c>
      <c r="BQ12" s="54">
        <v>58</v>
      </c>
      <c r="BR12" s="54">
        <v>34</v>
      </c>
      <c r="BS12" s="54"/>
      <c r="BT12" s="54">
        <v>30</v>
      </c>
      <c r="BU12" s="54">
        <v>47</v>
      </c>
      <c r="BV12" s="54">
        <v>6</v>
      </c>
      <c r="BW12" s="54">
        <v>10</v>
      </c>
      <c r="BX12" s="54">
        <v>15</v>
      </c>
      <c r="BY12" s="54">
        <v>30</v>
      </c>
      <c r="BZ12" s="54"/>
      <c r="CA12" s="54"/>
      <c r="CB12" s="54"/>
      <c r="CC12" s="54">
        <v>61</v>
      </c>
      <c r="CD12" s="54">
        <v>40</v>
      </c>
      <c r="CE12" s="54"/>
      <c r="CF12" s="54"/>
      <c r="CG12" s="54"/>
      <c r="CH12" s="54">
        <v>10</v>
      </c>
      <c r="CI12" s="54"/>
      <c r="CJ12" s="54"/>
      <c r="CK12" s="54">
        <v>20</v>
      </c>
      <c r="CL12" s="54"/>
      <c r="CM12" s="54"/>
      <c r="CN12" s="54">
        <v>30</v>
      </c>
      <c r="CO12" s="54">
        <v>5</v>
      </c>
      <c r="CP12" s="54">
        <v>31</v>
      </c>
      <c r="CQ12" s="54"/>
      <c r="CR12" s="54">
        <v>28</v>
      </c>
      <c r="CS12" s="54">
        <v>30</v>
      </c>
      <c r="CT12" s="519">
        <v>1233</v>
      </c>
    </row>
    <row r="13" spans="1:99" x14ac:dyDescent="0.25">
      <c r="A13" s="158" t="s">
        <v>834</v>
      </c>
      <c r="B13" s="54"/>
      <c r="C13" s="54"/>
      <c r="D13" s="54">
        <v>32</v>
      </c>
      <c r="E13" s="54">
        <v>4</v>
      </c>
      <c r="F13" s="54"/>
      <c r="G13" s="54">
        <v>8</v>
      </c>
      <c r="H13" s="54">
        <v>20</v>
      </c>
      <c r="I13" s="54">
        <v>3</v>
      </c>
      <c r="J13" s="54">
        <v>3</v>
      </c>
      <c r="K13" s="54"/>
      <c r="L13" s="54">
        <v>10</v>
      </c>
      <c r="M13" s="54"/>
      <c r="N13" s="54">
        <v>1</v>
      </c>
      <c r="O13" s="54">
        <v>17</v>
      </c>
      <c r="P13" s="54">
        <v>4</v>
      </c>
      <c r="Q13" s="54">
        <v>1</v>
      </c>
      <c r="R13" s="54"/>
      <c r="S13" s="54">
        <v>30</v>
      </c>
      <c r="T13" s="54"/>
      <c r="U13" s="54">
        <v>4</v>
      </c>
      <c r="V13" s="54">
        <v>10</v>
      </c>
      <c r="W13" s="54"/>
      <c r="X13" s="54"/>
      <c r="Y13" s="54">
        <v>36</v>
      </c>
      <c r="Z13" s="54"/>
      <c r="AA13" s="54">
        <v>1</v>
      </c>
      <c r="AB13" s="54"/>
      <c r="AC13" s="54"/>
      <c r="AD13" s="54"/>
      <c r="AE13" s="54"/>
      <c r="AF13" s="54">
        <v>3</v>
      </c>
      <c r="AG13" s="54"/>
      <c r="AH13" s="54"/>
      <c r="AI13" s="54"/>
      <c r="AJ13" s="54"/>
      <c r="AK13" s="54"/>
      <c r="AL13" s="54">
        <v>11</v>
      </c>
      <c r="AM13" s="54"/>
      <c r="AN13" s="54">
        <v>1</v>
      </c>
      <c r="AO13" s="54"/>
      <c r="AP13" s="54"/>
      <c r="AQ13" s="54"/>
      <c r="AR13" s="54"/>
      <c r="AS13" s="54">
        <v>4</v>
      </c>
      <c r="AT13" s="54"/>
      <c r="AU13" s="54">
        <v>3</v>
      </c>
      <c r="AV13" s="54"/>
      <c r="AW13" s="54">
        <v>25</v>
      </c>
      <c r="AX13" s="54">
        <v>45</v>
      </c>
      <c r="AY13" s="54">
        <v>25</v>
      </c>
      <c r="AZ13" s="54"/>
      <c r="BA13" s="54"/>
      <c r="BB13" s="54">
        <v>1</v>
      </c>
      <c r="BC13" s="54"/>
      <c r="BD13" s="54"/>
      <c r="BE13" s="54">
        <v>5</v>
      </c>
      <c r="BF13" s="54"/>
      <c r="BG13" s="54"/>
      <c r="BH13" s="54">
        <v>1</v>
      </c>
      <c r="BI13" s="54"/>
      <c r="BJ13" s="54"/>
      <c r="BK13" s="54"/>
      <c r="BL13" s="54"/>
      <c r="BM13" s="54">
        <v>1</v>
      </c>
      <c r="BN13" s="54">
        <v>2</v>
      </c>
      <c r="BO13" s="54"/>
      <c r="BP13" s="54">
        <v>2</v>
      </c>
      <c r="BQ13" s="54">
        <v>40</v>
      </c>
      <c r="BR13" s="54">
        <v>32</v>
      </c>
      <c r="BS13" s="54"/>
      <c r="BT13" s="54">
        <v>10</v>
      </c>
      <c r="BU13" s="54">
        <v>49</v>
      </c>
      <c r="BV13" s="54">
        <v>6</v>
      </c>
      <c r="BW13" s="54">
        <v>10</v>
      </c>
      <c r="BX13" s="54">
        <v>3</v>
      </c>
      <c r="BY13" s="54">
        <v>1</v>
      </c>
      <c r="BZ13" s="54"/>
      <c r="CA13" s="54">
        <v>30</v>
      </c>
      <c r="CB13" s="54"/>
      <c r="CC13" s="54">
        <v>38</v>
      </c>
      <c r="CD13" s="54">
        <v>20</v>
      </c>
      <c r="CE13" s="54"/>
      <c r="CF13" s="54"/>
      <c r="CG13" s="54">
        <v>30</v>
      </c>
      <c r="CH13" s="54">
        <v>5</v>
      </c>
      <c r="CI13" s="54"/>
      <c r="CJ13" s="54">
        <v>2</v>
      </c>
      <c r="CK13" s="54">
        <v>10</v>
      </c>
      <c r="CL13" s="54"/>
      <c r="CM13" s="54"/>
      <c r="CN13" s="54">
        <v>10</v>
      </c>
      <c r="CO13" s="54">
        <v>15</v>
      </c>
      <c r="CP13" s="54">
        <v>6</v>
      </c>
      <c r="CQ13" s="54"/>
      <c r="CR13" s="54">
        <v>20</v>
      </c>
      <c r="CS13" s="54">
        <v>5</v>
      </c>
      <c r="CT13" s="189">
        <v>655</v>
      </c>
    </row>
    <row r="14" spans="1:99" x14ac:dyDescent="0.25">
      <c r="A14" s="159" t="s">
        <v>360</v>
      </c>
      <c r="B14" s="160">
        <f>SUM(B5:B13)</f>
        <v>20</v>
      </c>
      <c r="C14" s="160">
        <f t="shared" ref="C14:BN14" si="0">SUM(C5:C13)</f>
        <v>87</v>
      </c>
      <c r="D14" s="160">
        <f t="shared" si="0"/>
        <v>234</v>
      </c>
      <c r="E14" s="160">
        <f t="shared" si="0"/>
        <v>121</v>
      </c>
      <c r="F14" s="160">
        <f t="shared" si="0"/>
        <v>233</v>
      </c>
      <c r="G14" s="160">
        <f t="shared" si="0"/>
        <v>253</v>
      </c>
      <c r="H14" s="160">
        <f t="shared" si="0"/>
        <v>230</v>
      </c>
      <c r="I14" s="160">
        <f t="shared" si="0"/>
        <v>7</v>
      </c>
      <c r="J14" s="160">
        <f t="shared" si="0"/>
        <v>12</v>
      </c>
      <c r="K14" s="160">
        <f t="shared" si="0"/>
        <v>2</v>
      </c>
      <c r="L14" s="160">
        <f t="shared" si="0"/>
        <v>89</v>
      </c>
      <c r="M14" s="160">
        <f t="shared" si="0"/>
        <v>10</v>
      </c>
      <c r="N14" s="160">
        <f t="shared" si="0"/>
        <v>146</v>
      </c>
      <c r="O14" s="160">
        <f t="shared" si="0"/>
        <v>284</v>
      </c>
      <c r="P14" s="160">
        <f t="shared" si="0"/>
        <v>46</v>
      </c>
      <c r="Q14" s="160">
        <f t="shared" si="0"/>
        <v>216</v>
      </c>
      <c r="R14" s="160">
        <f t="shared" si="0"/>
        <v>37</v>
      </c>
      <c r="S14" s="160">
        <f t="shared" si="0"/>
        <v>248</v>
      </c>
      <c r="T14" s="160">
        <f t="shared" si="0"/>
        <v>2</v>
      </c>
      <c r="U14" s="160">
        <f t="shared" si="0"/>
        <v>53</v>
      </c>
      <c r="V14" s="160">
        <f t="shared" si="0"/>
        <v>93</v>
      </c>
      <c r="W14" s="160">
        <f t="shared" si="0"/>
        <v>66</v>
      </c>
      <c r="X14" s="160">
        <f t="shared" si="0"/>
        <v>147</v>
      </c>
      <c r="Y14" s="160">
        <f t="shared" si="0"/>
        <v>324</v>
      </c>
      <c r="Z14" s="160">
        <f t="shared" si="0"/>
        <v>35</v>
      </c>
      <c r="AA14" s="160">
        <f t="shared" si="0"/>
        <v>90</v>
      </c>
      <c r="AB14" s="160">
        <f t="shared" si="0"/>
        <v>30</v>
      </c>
      <c r="AC14" s="160">
        <f t="shared" si="0"/>
        <v>30</v>
      </c>
      <c r="AD14" s="160">
        <f t="shared" si="0"/>
        <v>90</v>
      </c>
      <c r="AE14" s="160">
        <f t="shared" si="0"/>
        <v>40</v>
      </c>
      <c r="AF14" s="160">
        <f t="shared" si="0"/>
        <v>41</v>
      </c>
      <c r="AG14" s="160">
        <f t="shared" si="0"/>
        <v>74</v>
      </c>
      <c r="AH14" s="160">
        <f t="shared" si="0"/>
        <v>93</v>
      </c>
      <c r="AI14" s="160">
        <f t="shared" si="0"/>
        <v>16</v>
      </c>
      <c r="AJ14" s="160">
        <f t="shared" si="0"/>
        <v>32</v>
      </c>
      <c r="AK14" s="160">
        <f t="shared" si="0"/>
        <v>2</v>
      </c>
      <c r="AL14" s="160">
        <f t="shared" si="0"/>
        <v>133</v>
      </c>
      <c r="AM14" s="160">
        <f t="shared" si="0"/>
        <v>85</v>
      </c>
      <c r="AN14" s="160">
        <f t="shared" si="0"/>
        <v>120</v>
      </c>
      <c r="AO14" s="160">
        <f t="shared" si="0"/>
        <v>40</v>
      </c>
      <c r="AP14" s="160">
        <f t="shared" si="0"/>
        <v>16</v>
      </c>
      <c r="AQ14" s="160">
        <f t="shared" si="0"/>
        <v>40</v>
      </c>
      <c r="AR14" s="160">
        <f t="shared" si="0"/>
        <v>120</v>
      </c>
      <c r="AS14" s="160">
        <f t="shared" si="0"/>
        <v>106</v>
      </c>
      <c r="AT14" s="160">
        <f t="shared" si="0"/>
        <v>90</v>
      </c>
      <c r="AU14" s="160">
        <f t="shared" si="0"/>
        <v>18</v>
      </c>
      <c r="AV14" s="160">
        <f t="shared" si="0"/>
        <v>40</v>
      </c>
      <c r="AW14" s="160">
        <f t="shared" si="0"/>
        <v>65</v>
      </c>
      <c r="AX14" s="160">
        <f t="shared" si="0"/>
        <v>295</v>
      </c>
      <c r="AY14" s="160">
        <f t="shared" si="0"/>
        <v>92</v>
      </c>
      <c r="AZ14" s="160">
        <f t="shared" si="0"/>
        <v>50</v>
      </c>
      <c r="BA14" s="160">
        <f t="shared" si="0"/>
        <v>40</v>
      </c>
      <c r="BB14" s="160">
        <f t="shared" si="0"/>
        <v>16</v>
      </c>
      <c r="BC14" s="160">
        <f t="shared" si="0"/>
        <v>40</v>
      </c>
      <c r="BD14" s="160">
        <f t="shared" si="0"/>
        <v>40</v>
      </c>
      <c r="BE14" s="160">
        <f t="shared" si="0"/>
        <v>31</v>
      </c>
      <c r="BF14" s="160">
        <f t="shared" si="0"/>
        <v>20</v>
      </c>
      <c r="BG14" s="160">
        <f t="shared" si="0"/>
        <v>10</v>
      </c>
      <c r="BH14" s="160">
        <f t="shared" si="0"/>
        <v>2</v>
      </c>
      <c r="BI14" s="160">
        <f t="shared" si="0"/>
        <v>0</v>
      </c>
      <c r="BJ14" s="160">
        <f t="shared" si="0"/>
        <v>0</v>
      </c>
      <c r="BK14" s="160">
        <f t="shared" si="0"/>
        <v>0</v>
      </c>
      <c r="BL14" s="160">
        <f t="shared" si="0"/>
        <v>2</v>
      </c>
      <c r="BM14" s="160">
        <f t="shared" si="0"/>
        <v>80</v>
      </c>
      <c r="BN14" s="160">
        <f t="shared" si="0"/>
        <v>151</v>
      </c>
      <c r="BO14" s="160">
        <f t="shared" ref="BO14:CU14" si="1">SUM(BO5:BO13)</f>
        <v>3</v>
      </c>
      <c r="BP14" s="160">
        <f t="shared" si="1"/>
        <v>159</v>
      </c>
      <c r="BQ14" s="160">
        <f t="shared" si="1"/>
        <v>382</v>
      </c>
      <c r="BR14" s="160">
        <f t="shared" si="1"/>
        <v>256</v>
      </c>
      <c r="BS14" s="160">
        <f t="shared" si="1"/>
        <v>23</v>
      </c>
      <c r="BT14" s="160">
        <f t="shared" si="1"/>
        <v>162</v>
      </c>
      <c r="BU14" s="160">
        <f t="shared" si="1"/>
        <v>429</v>
      </c>
      <c r="BV14" s="160">
        <f t="shared" si="1"/>
        <v>57</v>
      </c>
      <c r="BW14" s="160">
        <f t="shared" si="1"/>
        <v>50</v>
      </c>
      <c r="BX14" s="160">
        <f t="shared" si="1"/>
        <v>85</v>
      </c>
      <c r="BY14" s="160">
        <f t="shared" si="1"/>
        <v>184</v>
      </c>
      <c r="BZ14" s="160">
        <f t="shared" si="1"/>
        <v>37</v>
      </c>
      <c r="CA14" s="160">
        <f t="shared" si="1"/>
        <v>128</v>
      </c>
      <c r="CB14" s="160">
        <f t="shared" si="1"/>
        <v>0</v>
      </c>
      <c r="CC14" s="160">
        <f t="shared" si="1"/>
        <v>387</v>
      </c>
      <c r="CD14" s="160">
        <f t="shared" si="1"/>
        <v>317</v>
      </c>
      <c r="CE14" s="160">
        <f t="shared" si="1"/>
        <v>30</v>
      </c>
      <c r="CF14" s="160">
        <f t="shared" si="1"/>
        <v>0</v>
      </c>
      <c r="CG14" s="160">
        <f t="shared" si="1"/>
        <v>102</v>
      </c>
      <c r="CH14" s="160">
        <f t="shared" si="1"/>
        <v>75</v>
      </c>
      <c r="CI14" s="160">
        <f t="shared" si="1"/>
        <v>2</v>
      </c>
      <c r="CJ14" s="160">
        <f t="shared" si="1"/>
        <v>79</v>
      </c>
      <c r="CK14" s="160">
        <f t="shared" si="1"/>
        <v>210</v>
      </c>
      <c r="CL14" s="160">
        <f t="shared" si="1"/>
        <v>30</v>
      </c>
      <c r="CM14" s="160">
        <f t="shared" si="1"/>
        <v>5</v>
      </c>
      <c r="CN14" s="160">
        <f t="shared" si="1"/>
        <v>103</v>
      </c>
      <c r="CO14" s="160">
        <f t="shared" si="1"/>
        <v>58</v>
      </c>
      <c r="CP14" s="160">
        <f t="shared" si="1"/>
        <v>130</v>
      </c>
      <c r="CQ14" s="160">
        <f t="shared" si="1"/>
        <v>85</v>
      </c>
      <c r="CR14" s="160">
        <f t="shared" si="1"/>
        <v>283</v>
      </c>
      <c r="CS14" s="160">
        <f t="shared" si="1"/>
        <v>35</v>
      </c>
      <c r="CT14" s="160">
        <f t="shared" si="1"/>
        <v>9161</v>
      </c>
      <c r="CU14" s="160">
        <f t="shared" si="1"/>
        <v>0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5F1D6-7182-44C0-A989-86706E32210F}">
  <sheetPr>
    <tabColor rgb="FFCD96D6"/>
  </sheetPr>
  <dimension ref="A1:H6"/>
  <sheetViews>
    <sheetView workbookViewId="0">
      <selection activeCell="I28" sqref="I28"/>
    </sheetView>
  </sheetViews>
  <sheetFormatPr defaultRowHeight="15" x14ac:dyDescent="0.25"/>
  <cols>
    <col min="1" max="1" width="67.140625" bestFit="1" customWidth="1"/>
    <col min="2" max="2" width="10.85546875" bestFit="1" customWidth="1"/>
    <col min="3" max="3" width="15.85546875" bestFit="1" customWidth="1"/>
    <col min="4" max="4" width="14.85546875" bestFit="1" customWidth="1"/>
    <col min="5" max="5" width="10.85546875" bestFit="1" customWidth="1"/>
    <col min="6" max="6" width="10.28515625" bestFit="1" customWidth="1"/>
    <col min="7" max="7" width="15.5703125" bestFit="1" customWidth="1"/>
    <col min="8" max="8" width="6.28515625" bestFit="1" customWidth="1"/>
    <col min="9" max="24" width="67.42578125" bestFit="1" customWidth="1"/>
    <col min="25" max="25" width="15.85546875" bestFit="1" customWidth="1"/>
    <col min="26" max="26" width="20.85546875" bestFit="1" customWidth="1"/>
    <col min="27" max="27" width="19.85546875" bestFit="1" customWidth="1"/>
    <col min="28" max="28" width="15.85546875" bestFit="1" customWidth="1"/>
    <col min="29" max="29" width="15.28515625" bestFit="1" customWidth="1"/>
    <col min="30" max="30" width="20.5703125" bestFit="1" customWidth="1"/>
  </cols>
  <sheetData>
    <row r="1" spans="1:8" x14ac:dyDescent="0.25">
      <c r="A1" s="6" t="s">
        <v>802</v>
      </c>
      <c r="B1" t="s">
        <v>727</v>
      </c>
    </row>
    <row r="3" spans="1:8" x14ac:dyDescent="0.25">
      <c r="A3" s="6" t="s">
        <v>355</v>
      </c>
      <c r="B3" t="s">
        <v>728</v>
      </c>
      <c r="C3" t="s">
        <v>729</v>
      </c>
      <c r="D3" t="s">
        <v>730</v>
      </c>
      <c r="E3" t="s">
        <v>731</v>
      </c>
      <c r="F3" t="s">
        <v>732</v>
      </c>
      <c r="G3" t="s">
        <v>733</v>
      </c>
      <c r="H3" s="160" t="s">
        <v>169</v>
      </c>
    </row>
    <row r="4" spans="1:8" x14ac:dyDescent="0.25">
      <c r="A4" s="158" t="s">
        <v>835</v>
      </c>
      <c r="B4" s="54">
        <v>20</v>
      </c>
      <c r="C4" s="54">
        <v>35</v>
      </c>
      <c r="D4" s="54">
        <v>86</v>
      </c>
      <c r="E4" s="54">
        <v>49</v>
      </c>
      <c r="F4" s="54">
        <v>42</v>
      </c>
      <c r="G4" s="54">
        <v>84</v>
      </c>
      <c r="H4" s="160">
        <f>SUM(B4:G4)</f>
        <v>316</v>
      </c>
    </row>
    <row r="5" spans="1:8" x14ac:dyDescent="0.25">
      <c r="A5" s="158" t="s">
        <v>84</v>
      </c>
      <c r="B5" s="54">
        <v>26</v>
      </c>
      <c r="C5" s="54">
        <v>34</v>
      </c>
      <c r="D5" s="54">
        <v>106</v>
      </c>
      <c r="E5" s="54">
        <v>43</v>
      </c>
      <c r="F5" s="54">
        <v>30</v>
      </c>
      <c r="G5" s="54">
        <v>34</v>
      </c>
      <c r="H5" s="160">
        <f t="shared" ref="H5:H6" si="0">SUM(B5:G5)</f>
        <v>273</v>
      </c>
    </row>
    <row r="6" spans="1:8" x14ac:dyDescent="0.25">
      <c r="A6" s="161" t="s">
        <v>360</v>
      </c>
      <c r="B6" s="162">
        <v>46</v>
      </c>
      <c r="C6" s="162">
        <v>69</v>
      </c>
      <c r="D6" s="162">
        <v>192</v>
      </c>
      <c r="E6" s="162">
        <v>92</v>
      </c>
      <c r="F6" s="162">
        <v>72</v>
      </c>
      <c r="G6" s="163">
        <v>118</v>
      </c>
      <c r="H6" s="160">
        <f t="shared" si="0"/>
        <v>589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38C8C-123D-4931-8F17-ADE31DA8AAA6}">
  <sheetPr>
    <tabColor rgb="FF7030A0"/>
    <pageSetUpPr fitToPage="1"/>
  </sheetPr>
  <dimension ref="A1:I103"/>
  <sheetViews>
    <sheetView workbookViewId="0">
      <selection activeCell="G8" sqref="G8"/>
    </sheetView>
  </sheetViews>
  <sheetFormatPr defaultRowHeight="15" x14ac:dyDescent="0.25"/>
  <cols>
    <col min="1" max="1" width="37.7109375" bestFit="1" customWidth="1"/>
    <col min="2" max="2" width="21.85546875" bestFit="1" customWidth="1"/>
    <col min="3" max="3" width="23.140625" bestFit="1" customWidth="1"/>
    <col min="4" max="4" width="21.5703125" bestFit="1" customWidth="1"/>
    <col min="5" max="5" width="12.7109375" bestFit="1" customWidth="1"/>
    <col min="6" max="6" width="11.5703125" bestFit="1" customWidth="1"/>
    <col min="7" max="7" width="16.7109375" bestFit="1" customWidth="1"/>
    <col min="8" max="8" width="15.5703125" bestFit="1" customWidth="1"/>
    <col min="9" max="9" width="20.140625" bestFit="1" customWidth="1"/>
    <col min="10" max="10" width="17.42578125" bestFit="1" customWidth="1"/>
    <col min="11" max="11" width="24.5703125" bestFit="1" customWidth="1"/>
    <col min="12" max="12" width="12.140625" bestFit="1" customWidth="1"/>
    <col min="13" max="13" width="25.5703125" bestFit="1" customWidth="1"/>
    <col min="14" max="14" width="14.5703125" bestFit="1" customWidth="1"/>
    <col min="15" max="15" width="13.28515625" bestFit="1" customWidth="1"/>
    <col min="16" max="16" width="13.5703125" bestFit="1" customWidth="1"/>
    <col min="17" max="17" width="13.140625" bestFit="1" customWidth="1"/>
    <col min="18" max="18" width="16.5703125" bestFit="1" customWidth="1"/>
    <col min="20" max="20" width="18.28515625" bestFit="1" customWidth="1"/>
    <col min="21" max="21" width="12.140625" bestFit="1" customWidth="1"/>
    <col min="22" max="22" width="12.42578125" bestFit="1" customWidth="1"/>
    <col min="23" max="23" width="11.7109375" bestFit="1" customWidth="1"/>
    <col min="24" max="24" width="10.5703125" bestFit="1" customWidth="1"/>
    <col min="25" max="25" width="14" bestFit="1" customWidth="1"/>
    <col min="26" max="26" width="13.42578125" bestFit="1" customWidth="1"/>
    <col min="27" max="27" width="13.85546875" bestFit="1" customWidth="1"/>
    <col min="28" max="28" width="6.28515625" bestFit="1" customWidth="1"/>
    <col min="29" max="29" width="21.85546875" bestFit="1" customWidth="1"/>
    <col min="30" max="30" width="12.42578125" bestFit="1" customWidth="1"/>
    <col min="31" max="31" width="31.140625" bestFit="1" customWidth="1"/>
    <col min="32" max="32" width="29.42578125" bestFit="1" customWidth="1"/>
    <col min="33" max="33" width="15.85546875" bestFit="1" customWidth="1"/>
    <col min="34" max="34" width="16.7109375" bestFit="1" customWidth="1"/>
    <col min="35" max="35" width="14.5703125" bestFit="1" customWidth="1"/>
    <col min="36" max="36" width="10.28515625" bestFit="1" customWidth="1"/>
    <col min="37" max="37" width="12.28515625" bestFit="1" customWidth="1"/>
    <col min="38" max="38" width="12.7109375" bestFit="1" customWidth="1"/>
    <col min="39" max="39" width="13.140625" bestFit="1" customWidth="1"/>
    <col min="40" max="40" width="12.5703125" bestFit="1" customWidth="1"/>
    <col min="41" max="41" width="12.7109375" bestFit="1" customWidth="1"/>
    <col min="42" max="42" width="12.28515625" bestFit="1" customWidth="1"/>
    <col min="43" max="43" width="16" bestFit="1" customWidth="1"/>
    <col min="44" max="44" width="11.42578125" bestFit="1" customWidth="1"/>
    <col min="45" max="45" width="10.140625" bestFit="1" customWidth="1"/>
    <col min="46" max="46" width="26.28515625" bestFit="1" customWidth="1"/>
    <col min="47" max="47" width="14.5703125" bestFit="1" customWidth="1"/>
    <col min="48" max="48" width="18" bestFit="1" customWidth="1"/>
    <col min="49" max="49" width="13.85546875" bestFit="1" customWidth="1"/>
    <col min="50" max="50" width="14.42578125" bestFit="1" customWidth="1"/>
    <col min="51" max="51" width="16" bestFit="1" customWidth="1"/>
    <col min="52" max="52" width="11.7109375" bestFit="1" customWidth="1"/>
    <col min="53" max="53" width="11" bestFit="1" customWidth="1"/>
    <col min="54" max="54" width="18.42578125" bestFit="1" customWidth="1"/>
    <col min="55" max="55" width="20.5703125" bestFit="1" customWidth="1"/>
    <col min="56" max="56" width="11.5703125" bestFit="1" customWidth="1"/>
    <col min="57" max="57" width="11.28515625" bestFit="1" customWidth="1"/>
    <col min="58" max="58" width="13.42578125" bestFit="1" customWidth="1"/>
    <col min="59" max="59" width="13.7109375" bestFit="1" customWidth="1"/>
    <col min="60" max="60" width="14.28515625" bestFit="1" customWidth="1"/>
    <col min="61" max="61" width="12.5703125" bestFit="1" customWidth="1"/>
    <col min="62" max="62" width="17.85546875" bestFit="1" customWidth="1"/>
    <col min="63" max="63" width="15.7109375" bestFit="1" customWidth="1"/>
    <col min="64" max="64" width="18.28515625" bestFit="1" customWidth="1"/>
    <col min="65" max="65" width="18.140625" bestFit="1" customWidth="1"/>
    <col min="66" max="66" width="13.7109375" bestFit="1" customWidth="1"/>
    <col min="67" max="67" width="14" bestFit="1" customWidth="1"/>
    <col min="68" max="68" width="13.42578125" bestFit="1" customWidth="1"/>
    <col min="69" max="69" width="12" bestFit="1" customWidth="1"/>
    <col min="70" max="70" width="15.42578125" bestFit="1" customWidth="1"/>
    <col min="71" max="71" width="22.85546875" bestFit="1" customWidth="1"/>
    <col min="72" max="72" width="15.7109375" bestFit="1" customWidth="1"/>
    <col min="73" max="73" width="11.5703125" bestFit="1" customWidth="1"/>
    <col min="74" max="74" width="11.28515625" bestFit="1" customWidth="1"/>
    <col min="75" max="76" width="14.85546875" bestFit="1" customWidth="1"/>
    <col min="77" max="77" width="18.42578125" bestFit="1" customWidth="1"/>
    <col min="78" max="78" width="13.42578125" bestFit="1" customWidth="1"/>
    <col min="79" max="79" width="15" bestFit="1" customWidth="1"/>
    <col min="80" max="80" width="12.7109375" bestFit="1" customWidth="1"/>
    <col min="81" max="81" width="19" bestFit="1" customWidth="1"/>
    <col min="82" max="82" width="14.42578125" bestFit="1" customWidth="1"/>
    <col min="83" max="83" width="17.5703125" bestFit="1" customWidth="1"/>
    <col min="84" max="84" width="15.28515625" bestFit="1" customWidth="1"/>
    <col min="85" max="85" width="18.140625" bestFit="1" customWidth="1"/>
    <col min="86" max="86" width="10.85546875" bestFit="1" customWidth="1"/>
    <col min="87" max="87" width="22.85546875" bestFit="1" customWidth="1"/>
    <col min="88" max="88" width="13.28515625" bestFit="1" customWidth="1"/>
    <col min="89" max="89" width="13.42578125" bestFit="1" customWidth="1"/>
    <col min="90" max="90" width="27.7109375" bestFit="1" customWidth="1"/>
    <col min="91" max="91" width="14" bestFit="1" customWidth="1"/>
    <col min="92" max="92" width="14.140625" bestFit="1" customWidth="1"/>
    <col min="93" max="93" width="26" bestFit="1" customWidth="1"/>
    <col min="94" max="94" width="13.42578125" bestFit="1" customWidth="1"/>
    <col min="95" max="95" width="17.7109375" bestFit="1" customWidth="1"/>
    <col min="96" max="96" width="25.85546875" bestFit="1" customWidth="1"/>
    <col min="97" max="97" width="28.7109375" bestFit="1" customWidth="1"/>
    <col min="98" max="98" width="18.5703125" bestFit="1" customWidth="1"/>
    <col min="99" max="99" width="17.85546875" bestFit="1" customWidth="1"/>
    <col min="100" max="100" width="15.28515625" bestFit="1" customWidth="1"/>
    <col min="101" max="101" width="19.42578125" bestFit="1" customWidth="1"/>
    <col min="102" max="102" width="16" bestFit="1" customWidth="1"/>
    <col min="103" max="103" width="15.5703125" bestFit="1" customWidth="1"/>
    <col min="104" max="104" width="12.85546875" bestFit="1" customWidth="1"/>
    <col min="105" max="105" width="11.28515625" bestFit="1" customWidth="1"/>
  </cols>
  <sheetData>
    <row r="1" spans="1:9" x14ac:dyDescent="0.25">
      <c r="A1" s="164" t="s">
        <v>793</v>
      </c>
      <c r="B1" s="54" t="s">
        <v>727</v>
      </c>
      <c r="C1" t="s">
        <v>794</v>
      </c>
    </row>
    <row r="3" spans="1:9" x14ac:dyDescent="0.25">
      <c r="A3" s="164" t="s">
        <v>355</v>
      </c>
      <c r="B3" s="54" t="s">
        <v>795</v>
      </c>
      <c r="C3" s="54" t="s">
        <v>801</v>
      </c>
      <c r="D3" s="54" t="s">
        <v>800</v>
      </c>
      <c r="E3" s="54" t="s">
        <v>796</v>
      </c>
      <c r="F3" s="54" t="s">
        <v>797</v>
      </c>
      <c r="G3" s="54" t="s">
        <v>798</v>
      </c>
      <c r="H3" s="54" t="s">
        <v>799</v>
      </c>
      <c r="I3" s="54" t="s">
        <v>836</v>
      </c>
    </row>
    <row r="4" spans="1:9" x14ac:dyDescent="0.25">
      <c r="A4" s="158" t="s">
        <v>312</v>
      </c>
      <c r="B4" s="54">
        <v>20</v>
      </c>
      <c r="C4" s="54">
        <v>40</v>
      </c>
      <c r="D4" s="54">
        <v>24</v>
      </c>
      <c r="E4" s="54">
        <v>16</v>
      </c>
      <c r="F4" s="54">
        <v>0</v>
      </c>
      <c r="G4" s="54">
        <v>3</v>
      </c>
      <c r="H4" s="54">
        <v>1</v>
      </c>
      <c r="I4" s="54">
        <v>0</v>
      </c>
    </row>
    <row r="5" spans="1:9" x14ac:dyDescent="0.25">
      <c r="A5" s="158" t="s">
        <v>76</v>
      </c>
      <c r="B5" s="54">
        <v>87</v>
      </c>
      <c r="C5" s="54"/>
      <c r="D5" s="54"/>
      <c r="E5" s="54"/>
      <c r="F5" s="54"/>
      <c r="G5" s="54"/>
      <c r="H5" s="54"/>
      <c r="I5" s="54"/>
    </row>
    <row r="6" spans="1:9" x14ac:dyDescent="0.25">
      <c r="A6" s="158" t="s">
        <v>183</v>
      </c>
      <c r="B6" s="54">
        <v>234</v>
      </c>
      <c r="C6" s="54">
        <v>125</v>
      </c>
      <c r="D6" s="54">
        <v>73</v>
      </c>
      <c r="E6" s="54">
        <v>52</v>
      </c>
      <c r="F6" s="54">
        <v>0</v>
      </c>
      <c r="G6" s="54">
        <v>15</v>
      </c>
      <c r="H6" s="54">
        <v>26</v>
      </c>
      <c r="I6" s="54">
        <v>0</v>
      </c>
    </row>
    <row r="7" spans="1:9" x14ac:dyDescent="0.25">
      <c r="A7" s="158" t="s">
        <v>69</v>
      </c>
      <c r="B7" s="54">
        <v>121</v>
      </c>
      <c r="C7" s="54">
        <v>25</v>
      </c>
      <c r="D7" s="54">
        <v>0</v>
      </c>
      <c r="E7" s="54">
        <v>25</v>
      </c>
      <c r="F7" s="54">
        <v>0</v>
      </c>
      <c r="G7" s="54">
        <v>6</v>
      </c>
      <c r="H7" s="54">
        <v>6</v>
      </c>
      <c r="I7" s="54">
        <v>0</v>
      </c>
    </row>
    <row r="8" spans="1:9" x14ac:dyDescent="0.25">
      <c r="A8" s="158" t="s">
        <v>281</v>
      </c>
      <c r="B8" s="54"/>
      <c r="C8" s="54">
        <v>25</v>
      </c>
      <c r="D8" s="54"/>
      <c r="E8" s="54"/>
      <c r="F8" s="54"/>
      <c r="G8" s="54"/>
      <c r="H8" s="54"/>
      <c r="I8" s="54"/>
    </row>
    <row r="9" spans="1:9" x14ac:dyDescent="0.25">
      <c r="A9" s="158" t="s">
        <v>75</v>
      </c>
      <c r="B9" s="54">
        <v>233</v>
      </c>
      <c r="C9" s="54"/>
      <c r="D9" s="54"/>
      <c r="E9" s="54"/>
      <c r="F9" s="54"/>
      <c r="G9" s="54"/>
      <c r="H9" s="54"/>
      <c r="I9" s="54"/>
    </row>
    <row r="10" spans="1:9" x14ac:dyDescent="0.25">
      <c r="A10" s="158" t="s">
        <v>91</v>
      </c>
      <c r="B10" s="54"/>
      <c r="C10" s="54">
        <v>30</v>
      </c>
      <c r="D10" s="54">
        <v>30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</row>
    <row r="11" spans="1:9" x14ac:dyDescent="0.25">
      <c r="A11" s="158" t="s">
        <v>112</v>
      </c>
      <c r="B11" s="54">
        <v>253</v>
      </c>
      <c r="C11" s="54">
        <v>95</v>
      </c>
      <c r="D11" s="54">
        <v>64</v>
      </c>
      <c r="E11" s="54">
        <v>31</v>
      </c>
      <c r="F11" s="54">
        <v>0</v>
      </c>
      <c r="G11" s="54">
        <v>11</v>
      </c>
      <c r="H11" s="54">
        <v>5</v>
      </c>
      <c r="I11" s="54">
        <v>0</v>
      </c>
    </row>
    <row r="12" spans="1:9" x14ac:dyDescent="0.25">
      <c r="A12" s="158" t="s">
        <v>88</v>
      </c>
      <c r="B12" s="54">
        <v>230</v>
      </c>
      <c r="C12" s="54"/>
      <c r="D12" s="54"/>
      <c r="E12" s="54"/>
      <c r="F12" s="54"/>
      <c r="G12" s="54"/>
      <c r="H12" s="54"/>
      <c r="I12" s="54"/>
    </row>
    <row r="13" spans="1:9" x14ac:dyDescent="0.25">
      <c r="A13" s="158" t="s">
        <v>804</v>
      </c>
      <c r="B13" s="54">
        <v>7</v>
      </c>
      <c r="C13" s="54"/>
      <c r="D13" s="54"/>
      <c r="E13" s="54"/>
      <c r="F13" s="54"/>
      <c r="G13" s="54"/>
      <c r="H13" s="54"/>
      <c r="I13" s="54"/>
    </row>
    <row r="14" spans="1:9" x14ac:dyDescent="0.25">
      <c r="A14" s="158" t="s">
        <v>751</v>
      </c>
      <c r="B14" s="54">
        <v>12</v>
      </c>
      <c r="C14" s="54"/>
      <c r="D14" s="54"/>
      <c r="E14" s="54"/>
      <c r="F14" s="54"/>
      <c r="G14" s="54"/>
      <c r="H14" s="54"/>
      <c r="I14" s="54"/>
    </row>
    <row r="15" spans="1:9" x14ac:dyDescent="0.25">
      <c r="A15" s="158" t="s">
        <v>805</v>
      </c>
      <c r="B15" s="54">
        <v>2</v>
      </c>
      <c r="C15" s="54"/>
      <c r="D15" s="54"/>
      <c r="E15" s="54"/>
      <c r="F15" s="54"/>
      <c r="G15" s="54"/>
      <c r="H15" s="54"/>
      <c r="I15" s="54"/>
    </row>
    <row r="16" spans="1:9" x14ac:dyDescent="0.25">
      <c r="A16" s="158" t="s">
        <v>115</v>
      </c>
      <c r="B16" s="54">
        <v>89</v>
      </c>
      <c r="C16" s="54">
        <v>30</v>
      </c>
      <c r="D16" s="54">
        <v>7</v>
      </c>
      <c r="E16" s="54">
        <v>23</v>
      </c>
      <c r="F16" s="54">
        <v>0</v>
      </c>
      <c r="G16" s="54">
        <v>4</v>
      </c>
      <c r="H16" s="54">
        <v>2</v>
      </c>
      <c r="I16" s="54">
        <v>0</v>
      </c>
    </row>
    <row r="17" spans="1:9" x14ac:dyDescent="0.25">
      <c r="A17" s="158" t="s">
        <v>806</v>
      </c>
      <c r="B17" s="54">
        <v>10</v>
      </c>
      <c r="C17" s="54"/>
      <c r="D17" s="54"/>
      <c r="E17" s="54"/>
      <c r="F17" s="54"/>
      <c r="G17" s="54"/>
      <c r="H17" s="54"/>
      <c r="I17" s="54"/>
    </row>
    <row r="18" spans="1:9" x14ac:dyDescent="0.25">
      <c r="A18" s="158" t="s">
        <v>74</v>
      </c>
      <c r="B18" s="54">
        <v>146</v>
      </c>
      <c r="C18" s="54"/>
      <c r="D18" s="54"/>
      <c r="E18" s="54"/>
      <c r="F18" s="54"/>
      <c r="G18" s="54"/>
      <c r="H18" s="54"/>
      <c r="I18" s="54"/>
    </row>
    <row r="19" spans="1:9" x14ac:dyDescent="0.25">
      <c r="A19" s="158" t="s">
        <v>83</v>
      </c>
      <c r="B19" s="54">
        <v>284</v>
      </c>
      <c r="C19" s="54"/>
      <c r="D19" s="54"/>
      <c r="E19" s="54"/>
      <c r="F19" s="54"/>
      <c r="G19" s="54"/>
      <c r="H19" s="54"/>
      <c r="I19" s="54"/>
    </row>
    <row r="20" spans="1:9" x14ac:dyDescent="0.25">
      <c r="A20" s="158" t="s">
        <v>352</v>
      </c>
      <c r="B20" s="54">
        <v>46</v>
      </c>
      <c r="C20" s="54"/>
      <c r="D20" s="54"/>
      <c r="E20" s="54"/>
      <c r="F20" s="54"/>
      <c r="G20" s="54"/>
      <c r="H20" s="54"/>
      <c r="I20" s="54"/>
    </row>
    <row r="21" spans="1:9" x14ac:dyDescent="0.25">
      <c r="A21" s="158" t="s">
        <v>127</v>
      </c>
      <c r="B21" s="54">
        <v>216</v>
      </c>
      <c r="C21" s="54">
        <v>55</v>
      </c>
      <c r="D21" s="54">
        <v>28</v>
      </c>
      <c r="E21" s="54">
        <v>27</v>
      </c>
      <c r="F21" s="54">
        <v>0</v>
      </c>
      <c r="G21" s="54">
        <v>8</v>
      </c>
      <c r="H21" s="54">
        <v>1</v>
      </c>
      <c r="I21" s="54">
        <v>0</v>
      </c>
    </row>
    <row r="22" spans="1:9" x14ac:dyDescent="0.25">
      <c r="A22" s="158" t="s">
        <v>106</v>
      </c>
      <c r="B22" s="54">
        <v>37</v>
      </c>
      <c r="C22" s="54"/>
      <c r="D22" s="54"/>
      <c r="E22" s="54"/>
      <c r="F22" s="54"/>
      <c r="G22" s="54"/>
      <c r="H22" s="54"/>
      <c r="I22" s="54"/>
    </row>
    <row r="23" spans="1:9" x14ac:dyDescent="0.25">
      <c r="A23" s="158" t="s">
        <v>297</v>
      </c>
      <c r="B23" s="54">
        <v>248</v>
      </c>
      <c r="C23" s="54">
        <v>125</v>
      </c>
      <c r="D23" s="54">
        <v>19</v>
      </c>
      <c r="E23" s="54">
        <v>102</v>
      </c>
      <c r="F23" s="54">
        <v>4</v>
      </c>
      <c r="G23" s="54">
        <v>19</v>
      </c>
      <c r="H23" s="54">
        <v>82</v>
      </c>
      <c r="I23" s="54">
        <v>36</v>
      </c>
    </row>
    <row r="24" spans="1:9" x14ac:dyDescent="0.25">
      <c r="A24" s="158" t="s">
        <v>754</v>
      </c>
      <c r="B24" s="54">
        <v>2</v>
      </c>
      <c r="C24" s="54"/>
      <c r="D24" s="54"/>
      <c r="E24" s="54"/>
      <c r="F24" s="54"/>
      <c r="G24" s="54"/>
      <c r="H24" s="54"/>
      <c r="I24" s="54"/>
    </row>
    <row r="25" spans="1:9" x14ac:dyDescent="0.25">
      <c r="A25" s="158" t="s">
        <v>118</v>
      </c>
      <c r="B25" s="54">
        <v>53</v>
      </c>
      <c r="C25" s="54"/>
      <c r="D25" s="54"/>
      <c r="E25" s="54"/>
      <c r="F25" s="54"/>
      <c r="G25" s="54"/>
      <c r="H25" s="54"/>
      <c r="I25" s="54"/>
    </row>
    <row r="26" spans="1:9" x14ac:dyDescent="0.25">
      <c r="A26" s="158" t="s">
        <v>755</v>
      </c>
      <c r="B26" s="54">
        <v>93</v>
      </c>
      <c r="C26" s="54"/>
      <c r="D26" s="54"/>
      <c r="E26" s="54"/>
      <c r="F26" s="54"/>
      <c r="G26" s="54"/>
      <c r="H26" s="54"/>
      <c r="I26" s="54"/>
    </row>
    <row r="27" spans="1:9" x14ac:dyDescent="0.25">
      <c r="A27" s="158" t="s">
        <v>807</v>
      </c>
      <c r="B27" s="54">
        <v>66</v>
      </c>
      <c r="C27" s="54"/>
      <c r="D27" s="54"/>
      <c r="E27" s="54"/>
      <c r="F27" s="54"/>
      <c r="G27" s="54"/>
      <c r="H27" s="54"/>
      <c r="I27" s="54"/>
    </row>
    <row r="28" spans="1:9" x14ac:dyDescent="0.25">
      <c r="A28" s="158" t="s">
        <v>54</v>
      </c>
      <c r="B28" s="54">
        <v>589</v>
      </c>
      <c r="C28" s="54">
        <v>540</v>
      </c>
      <c r="D28" s="54">
        <v>384</v>
      </c>
      <c r="E28" s="54">
        <v>152</v>
      </c>
      <c r="F28" s="54">
        <v>4</v>
      </c>
      <c r="G28" s="54">
        <v>41</v>
      </c>
      <c r="H28" s="54">
        <v>5</v>
      </c>
      <c r="I28" s="54">
        <v>0</v>
      </c>
    </row>
    <row r="29" spans="1:9" x14ac:dyDescent="0.25">
      <c r="A29" s="158" t="s">
        <v>46</v>
      </c>
      <c r="B29" s="54">
        <v>147</v>
      </c>
      <c r="C29" s="54"/>
      <c r="D29" s="54"/>
      <c r="E29" s="54"/>
      <c r="F29" s="54"/>
      <c r="G29" s="54"/>
      <c r="H29" s="54"/>
      <c r="I29" s="54"/>
    </row>
    <row r="30" spans="1:9" x14ac:dyDescent="0.25">
      <c r="A30" s="158" t="s">
        <v>52</v>
      </c>
      <c r="B30" s="54">
        <v>324</v>
      </c>
      <c r="C30" s="54">
        <v>95</v>
      </c>
      <c r="D30" s="54">
        <v>35</v>
      </c>
      <c r="E30" s="54">
        <v>59</v>
      </c>
      <c r="F30" s="54">
        <v>1</v>
      </c>
      <c r="G30" s="54">
        <v>10</v>
      </c>
      <c r="H30" s="54">
        <v>3</v>
      </c>
      <c r="I30" s="54">
        <v>0</v>
      </c>
    </row>
    <row r="31" spans="1:9" x14ac:dyDescent="0.25">
      <c r="A31" s="158" t="s">
        <v>132</v>
      </c>
      <c r="B31" s="54">
        <v>35</v>
      </c>
      <c r="C31" s="54">
        <v>40</v>
      </c>
      <c r="D31" s="54">
        <v>0</v>
      </c>
      <c r="E31" s="54">
        <v>40</v>
      </c>
      <c r="F31" s="54">
        <v>0</v>
      </c>
      <c r="G31" s="54">
        <v>7</v>
      </c>
      <c r="H31" s="54">
        <v>38</v>
      </c>
      <c r="I31" s="54">
        <v>0</v>
      </c>
    </row>
    <row r="32" spans="1:9" x14ac:dyDescent="0.25">
      <c r="A32" s="158" t="s">
        <v>257</v>
      </c>
      <c r="B32" s="54">
        <v>90</v>
      </c>
      <c r="C32" s="54"/>
      <c r="D32" s="54"/>
      <c r="E32" s="54"/>
      <c r="F32" s="54"/>
      <c r="G32" s="54"/>
      <c r="H32" s="54"/>
      <c r="I32" s="54"/>
    </row>
    <row r="33" spans="1:9" x14ac:dyDescent="0.25">
      <c r="A33" s="158" t="s">
        <v>321</v>
      </c>
      <c r="B33" s="54"/>
      <c r="C33" s="54">
        <v>40</v>
      </c>
      <c r="D33" s="54">
        <v>16</v>
      </c>
      <c r="E33" s="54">
        <v>24</v>
      </c>
      <c r="F33" s="54">
        <v>0</v>
      </c>
      <c r="G33" s="54">
        <v>1</v>
      </c>
      <c r="H33" s="54">
        <v>1</v>
      </c>
      <c r="I33" s="54">
        <v>0</v>
      </c>
    </row>
    <row r="34" spans="1:9" x14ac:dyDescent="0.25">
      <c r="A34" s="158" t="s">
        <v>808</v>
      </c>
      <c r="B34" s="54">
        <v>30</v>
      </c>
      <c r="C34" s="54"/>
      <c r="D34" s="54"/>
      <c r="E34" s="54"/>
      <c r="F34" s="54"/>
      <c r="G34" s="54"/>
      <c r="H34" s="54"/>
      <c r="I34" s="54"/>
    </row>
    <row r="35" spans="1:9" x14ac:dyDescent="0.25">
      <c r="A35" s="158" t="s">
        <v>315</v>
      </c>
      <c r="B35" s="54"/>
      <c r="C35" s="54">
        <v>40</v>
      </c>
      <c r="D35" s="54">
        <v>9</v>
      </c>
      <c r="E35" s="54">
        <v>31</v>
      </c>
      <c r="F35" s="54">
        <v>0</v>
      </c>
      <c r="G35" s="54">
        <v>1</v>
      </c>
      <c r="H35" s="54">
        <v>23</v>
      </c>
      <c r="I35" s="54">
        <v>0</v>
      </c>
    </row>
    <row r="36" spans="1:9" x14ac:dyDescent="0.25">
      <c r="A36" s="158" t="s">
        <v>809</v>
      </c>
      <c r="B36" s="54">
        <v>30</v>
      </c>
      <c r="C36" s="54"/>
      <c r="D36" s="54"/>
      <c r="E36" s="54"/>
      <c r="F36" s="54"/>
      <c r="G36" s="54"/>
      <c r="H36" s="54"/>
      <c r="I36" s="54"/>
    </row>
    <row r="37" spans="1:9" x14ac:dyDescent="0.25">
      <c r="A37" s="158" t="s">
        <v>103</v>
      </c>
      <c r="B37" s="54">
        <v>90</v>
      </c>
      <c r="C37" s="54"/>
      <c r="D37" s="54"/>
      <c r="E37" s="54"/>
      <c r="F37" s="54"/>
      <c r="G37" s="54"/>
      <c r="H37" s="54"/>
      <c r="I37" s="54"/>
    </row>
    <row r="38" spans="1:9" x14ac:dyDescent="0.25">
      <c r="A38" s="158" t="s">
        <v>134</v>
      </c>
      <c r="B38" s="54">
        <v>40</v>
      </c>
      <c r="C38" s="54"/>
      <c r="D38" s="54"/>
      <c r="E38" s="54"/>
      <c r="F38" s="54"/>
      <c r="G38" s="54"/>
      <c r="H38" s="54"/>
      <c r="I38" s="54"/>
    </row>
    <row r="39" spans="1:9" x14ac:dyDescent="0.25">
      <c r="A39" s="158" t="s">
        <v>258</v>
      </c>
      <c r="B39" s="54">
        <v>41</v>
      </c>
      <c r="C39" s="54">
        <v>25</v>
      </c>
      <c r="D39" s="54">
        <v>9</v>
      </c>
      <c r="E39" s="54">
        <v>16</v>
      </c>
      <c r="F39" s="54">
        <v>0</v>
      </c>
      <c r="G39" s="54">
        <v>1</v>
      </c>
      <c r="H39" s="54">
        <v>0</v>
      </c>
      <c r="I39" s="54">
        <v>0</v>
      </c>
    </row>
    <row r="40" spans="1:9" x14ac:dyDescent="0.25">
      <c r="A40" s="158" t="s">
        <v>757</v>
      </c>
      <c r="B40" s="54">
        <v>74</v>
      </c>
      <c r="C40" s="54"/>
      <c r="D40" s="54"/>
      <c r="E40" s="54"/>
      <c r="F40" s="54"/>
      <c r="G40" s="54"/>
      <c r="H40" s="54"/>
      <c r="I40" s="54"/>
    </row>
    <row r="41" spans="1:9" x14ac:dyDescent="0.25">
      <c r="A41" s="158" t="s">
        <v>50</v>
      </c>
      <c r="B41" s="54">
        <v>93</v>
      </c>
      <c r="C41" s="54">
        <v>40</v>
      </c>
      <c r="D41" s="54">
        <v>40</v>
      </c>
      <c r="E41" s="54"/>
      <c r="F41" s="54"/>
      <c r="G41" s="54"/>
      <c r="H41" s="54"/>
      <c r="I41" s="54"/>
    </row>
    <row r="42" spans="1:9" x14ac:dyDescent="0.25">
      <c r="A42" s="158" t="s">
        <v>758</v>
      </c>
      <c r="B42" s="54">
        <v>16</v>
      </c>
      <c r="C42" s="54"/>
      <c r="D42" s="54"/>
      <c r="E42" s="54"/>
      <c r="F42" s="54"/>
      <c r="G42" s="54"/>
      <c r="H42" s="54"/>
      <c r="I42" s="54"/>
    </row>
    <row r="43" spans="1:9" x14ac:dyDescent="0.25">
      <c r="A43" s="158" t="s">
        <v>301</v>
      </c>
      <c r="B43" s="54">
        <v>32</v>
      </c>
      <c r="C43" s="54">
        <v>80</v>
      </c>
      <c r="D43" s="54">
        <v>21</v>
      </c>
      <c r="E43" s="54">
        <v>59</v>
      </c>
      <c r="F43" s="54">
        <v>0</v>
      </c>
      <c r="G43" s="54">
        <v>12</v>
      </c>
      <c r="H43" s="54">
        <v>5</v>
      </c>
      <c r="I43" s="54">
        <v>0</v>
      </c>
    </row>
    <row r="44" spans="1:9" x14ac:dyDescent="0.25">
      <c r="A44" s="158" t="s">
        <v>542</v>
      </c>
      <c r="B44" s="54">
        <v>2</v>
      </c>
      <c r="C44" s="54"/>
      <c r="D44" s="54"/>
      <c r="E44" s="54"/>
      <c r="F44" s="54"/>
      <c r="G44" s="54"/>
      <c r="H44" s="54"/>
      <c r="I44" s="54"/>
    </row>
    <row r="45" spans="1:9" x14ac:dyDescent="0.25">
      <c r="A45" s="158" t="s">
        <v>96</v>
      </c>
      <c r="B45" s="54">
        <v>133</v>
      </c>
      <c r="C45" s="54"/>
      <c r="D45" s="54"/>
      <c r="E45" s="54"/>
      <c r="F45" s="54"/>
      <c r="G45" s="54"/>
      <c r="H45" s="54"/>
      <c r="I45" s="54"/>
    </row>
    <row r="46" spans="1:9" x14ac:dyDescent="0.25">
      <c r="A46" s="158" t="s">
        <v>131</v>
      </c>
      <c r="B46" s="54">
        <v>85</v>
      </c>
      <c r="C46" s="54">
        <v>30</v>
      </c>
      <c r="D46" s="54">
        <v>2</v>
      </c>
      <c r="E46" s="54">
        <v>28</v>
      </c>
      <c r="F46" s="54">
        <v>0</v>
      </c>
      <c r="G46" s="54">
        <v>4</v>
      </c>
      <c r="H46" s="54">
        <v>2</v>
      </c>
      <c r="I46" s="54">
        <v>0</v>
      </c>
    </row>
    <row r="47" spans="1:9" x14ac:dyDescent="0.25">
      <c r="A47" s="158" t="s">
        <v>41</v>
      </c>
      <c r="B47" s="54">
        <v>120</v>
      </c>
      <c r="C47" s="54">
        <v>110</v>
      </c>
      <c r="D47" s="54">
        <v>46</v>
      </c>
      <c r="E47" s="54">
        <v>63</v>
      </c>
      <c r="F47" s="54">
        <v>1</v>
      </c>
      <c r="G47" s="54">
        <v>7</v>
      </c>
      <c r="H47" s="54">
        <v>29</v>
      </c>
      <c r="I47" s="54">
        <v>0</v>
      </c>
    </row>
    <row r="48" spans="1:9" x14ac:dyDescent="0.25">
      <c r="A48" s="158" t="s">
        <v>810</v>
      </c>
      <c r="B48" s="54">
        <v>40</v>
      </c>
      <c r="C48" s="54"/>
      <c r="D48" s="54"/>
      <c r="E48" s="54"/>
      <c r="F48" s="54"/>
      <c r="G48" s="54"/>
      <c r="H48" s="54"/>
      <c r="I48" s="54"/>
    </row>
    <row r="49" spans="1:9" x14ac:dyDescent="0.25">
      <c r="A49" s="158" t="s">
        <v>811</v>
      </c>
      <c r="B49" s="54">
        <v>16</v>
      </c>
      <c r="C49" s="54"/>
      <c r="D49" s="54"/>
      <c r="E49" s="54"/>
      <c r="F49" s="54"/>
      <c r="G49" s="54"/>
      <c r="H49" s="54"/>
      <c r="I49" s="54"/>
    </row>
    <row r="50" spans="1:9" x14ac:dyDescent="0.25">
      <c r="A50" s="158" t="s">
        <v>310</v>
      </c>
      <c r="B50" s="54">
        <v>40</v>
      </c>
      <c r="C50" s="54"/>
      <c r="D50" s="54"/>
      <c r="E50" s="54"/>
      <c r="F50" s="54"/>
      <c r="G50" s="54"/>
      <c r="H50" s="54"/>
      <c r="I50" s="54"/>
    </row>
    <row r="51" spans="1:9" x14ac:dyDescent="0.25">
      <c r="A51" s="158" t="s">
        <v>329</v>
      </c>
      <c r="B51" s="54">
        <v>120</v>
      </c>
      <c r="C51" s="54"/>
      <c r="D51" s="54"/>
      <c r="E51" s="54"/>
      <c r="F51" s="54"/>
      <c r="G51" s="54"/>
      <c r="H51" s="54"/>
      <c r="I51" s="54"/>
    </row>
    <row r="52" spans="1:9" x14ac:dyDescent="0.25">
      <c r="A52" s="158" t="s">
        <v>761</v>
      </c>
      <c r="B52" s="54">
        <v>106</v>
      </c>
      <c r="C52" s="54"/>
      <c r="D52" s="54"/>
      <c r="E52" s="54"/>
      <c r="F52" s="54"/>
      <c r="G52" s="54"/>
      <c r="H52" s="54"/>
      <c r="I52" s="54"/>
    </row>
    <row r="53" spans="1:9" x14ac:dyDescent="0.25">
      <c r="A53" s="158" t="s">
        <v>477</v>
      </c>
      <c r="B53" s="54">
        <v>90</v>
      </c>
      <c r="C53" s="54"/>
      <c r="D53" s="54"/>
      <c r="E53" s="54"/>
      <c r="F53" s="54"/>
      <c r="G53" s="54"/>
      <c r="H53" s="54"/>
      <c r="I53" s="54"/>
    </row>
    <row r="54" spans="1:9" x14ac:dyDescent="0.25">
      <c r="A54" s="158" t="s">
        <v>762</v>
      </c>
      <c r="B54" s="54">
        <v>18</v>
      </c>
      <c r="C54" s="54"/>
      <c r="D54" s="54"/>
      <c r="E54" s="54"/>
      <c r="F54" s="54"/>
      <c r="G54" s="54"/>
      <c r="H54" s="54"/>
      <c r="I54" s="54"/>
    </row>
    <row r="55" spans="1:9" x14ac:dyDescent="0.25">
      <c r="A55" s="158" t="s">
        <v>763</v>
      </c>
      <c r="B55" s="54">
        <v>40</v>
      </c>
      <c r="C55" s="54"/>
      <c r="D55" s="54"/>
      <c r="E55" s="54"/>
      <c r="F55" s="54"/>
      <c r="G55" s="54"/>
      <c r="H55" s="54"/>
      <c r="I55" s="54"/>
    </row>
    <row r="56" spans="1:9" x14ac:dyDescent="0.25">
      <c r="A56" s="158" t="s">
        <v>812</v>
      </c>
      <c r="B56" s="54">
        <v>65</v>
      </c>
      <c r="C56" s="54"/>
      <c r="D56" s="54"/>
      <c r="E56" s="54"/>
      <c r="F56" s="54"/>
      <c r="G56" s="54"/>
      <c r="H56" s="54"/>
      <c r="I56" s="54"/>
    </row>
    <row r="57" spans="1:9" x14ac:dyDescent="0.25">
      <c r="A57" s="158" t="s">
        <v>813</v>
      </c>
      <c r="B57" s="54">
        <v>295</v>
      </c>
      <c r="C57" s="54"/>
      <c r="D57" s="54"/>
      <c r="E57" s="54"/>
      <c r="F57" s="54"/>
      <c r="G57" s="54"/>
      <c r="H57" s="54"/>
      <c r="I57" s="54"/>
    </row>
    <row r="58" spans="1:9" x14ac:dyDescent="0.25">
      <c r="A58" s="158" t="s">
        <v>814</v>
      </c>
      <c r="B58" s="54">
        <v>92</v>
      </c>
      <c r="C58" s="54"/>
      <c r="D58" s="54"/>
      <c r="E58" s="54"/>
      <c r="F58" s="54"/>
      <c r="G58" s="54"/>
      <c r="H58" s="54"/>
      <c r="I58" s="54"/>
    </row>
    <row r="59" spans="1:9" x14ac:dyDescent="0.25">
      <c r="A59" s="158" t="s">
        <v>309</v>
      </c>
      <c r="B59" s="54">
        <v>50</v>
      </c>
      <c r="C59" s="54"/>
      <c r="D59" s="54"/>
      <c r="E59" s="54"/>
      <c r="F59" s="54"/>
      <c r="G59" s="54"/>
      <c r="H59" s="54"/>
      <c r="I59" s="54"/>
    </row>
    <row r="60" spans="1:9" x14ac:dyDescent="0.25">
      <c r="A60" s="158" t="s">
        <v>815</v>
      </c>
      <c r="B60" s="54">
        <v>40</v>
      </c>
      <c r="C60" s="54"/>
      <c r="D60" s="54"/>
      <c r="E60" s="54"/>
      <c r="F60" s="54"/>
      <c r="G60" s="54"/>
      <c r="H60" s="54"/>
      <c r="I60" s="54"/>
    </row>
    <row r="61" spans="1:9" x14ac:dyDescent="0.25">
      <c r="A61" s="158" t="s">
        <v>816</v>
      </c>
      <c r="B61" s="54">
        <v>16</v>
      </c>
      <c r="C61" s="54"/>
      <c r="D61" s="54"/>
      <c r="E61" s="54"/>
      <c r="F61" s="54"/>
      <c r="G61" s="54"/>
      <c r="H61" s="54"/>
      <c r="I61" s="54"/>
    </row>
    <row r="62" spans="1:9" x14ac:dyDescent="0.25">
      <c r="A62" s="158" t="s">
        <v>817</v>
      </c>
      <c r="B62" s="54">
        <v>40</v>
      </c>
      <c r="C62" s="54"/>
      <c r="D62" s="54"/>
      <c r="E62" s="54"/>
      <c r="F62" s="54"/>
      <c r="G62" s="54"/>
      <c r="H62" s="54"/>
      <c r="I62" s="54"/>
    </row>
    <row r="63" spans="1:9" x14ac:dyDescent="0.25">
      <c r="A63" s="158" t="s">
        <v>818</v>
      </c>
      <c r="B63" s="54">
        <v>40</v>
      </c>
      <c r="C63" s="54"/>
      <c r="D63" s="54"/>
      <c r="E63" s="54"/>
      <c r="F63" s="54"/>
      <c r="G63" s="54"/>
      <c r="H63" s="54"/>
      <c r="I63" s="54"/>
    </row>
    <row r="64" spans="1:9" x14ac:dyDescent="0.25">
      <c r="A64" s="158" t="s">
        <v>819</v>
      </c>
      <c r="B64" s="54">
        <v>31</v>
      </c>
      <c r="C64" s="54"/>
      <c r="D64" s="54"/>
      <c r="E64" s="54"/>
      <c r="F64" s="54"/>
      <c r="G64" s="54"/>
      <c r="H64" s="54"/>
      <c r="I64" s="54"/>
    </row>
    <row r="65" spans="1:9" x14ac:dyDescent="0.25">
      <c r="A65" s="158" t="s">
        <v>820</v>
      </c>
      <c r="B65" s="54">
        <v>20</v>
      </c>
      <c r="C65" s="54"/>
      <c r="D65" s="54"/>
      <c r="E65" s="54"/>
      <c r="F65" s="54"/>
      <c r="G65" s="54"/>
      <c r="H65" s="54"/>
      <c r="I65" s="54"/>
    </row>
    <row r="66" spans="1:9" x14ac:dyDescent="0.25">
      <c r="A66" s="158" t="s">
        <v>821</v>
      </c>
      <c r="B66" s="54">
        <v>10</v>
      </c>
      <c r="C66" s="54"/>
      <c r="D66" s="54"/>
      <c r="E66" s="54"/>
      <c r="F66" s="54"/>
      <c r="G66" s="54"/>
      <c r="H66" s="54"/>
      <c r="I66" s="54"/>
    </row>
    <row r="67" spans="1:9" x14ac:dyDescent="0.25">
      <c r="A67" s="158" t="s">
        <v>764</v>
      </c>
      <c r="B67" s="54">
        <v>2</v>
      </c>
      <c r="C67" s="54"/>
      <c r="D67" s="54"/>
      <c r="E67" s="54"/>
      <c r="F67" s="54"/>
      <c r="G67" s="54"/>
      <c r="H67" s="54"/>
      <c r="I67" s="54"/>
    </row>
    <row r="68" spans="1:9" x14ac:dyDescent="0.25">
      <c r="A68" s="158" t="s">
        <v>769</v>
      </c>
      <c r="B68" s="54">
        <v>2</v>
      </c>
      <c r="C68" s="54"/>
      <c r="D68" s="54"/>
      <c r="E68" s="54"/>
      <c r="F68" s="54"/>
      <c r="G68" s="54"/>
      <c r="H68" s="54"/>
      <c r="I68" s="54"/>
    </row>
    <row r="69" spans="1:9" x14ac:dyDescent="0.25">
      <c r="A69" s="158" t="s">
        <v>133</v>
      </c>
      <c r="B69" s="54">
        <v>80</v>
      </c>
      <c r="C69" s="54">
        <v>55</v>
      </c>
      <c r="D69" s="54">
        <v>37</v>
      </c>
      <c r="E69" s="54">
        <v>18</v>
      </c>
      <c r="F69" s="54">
        <v>0</v>
      </c>
      <c r="G69" s="54">
        <v>5</v>
      </c>
      <c r="H69" s="54">
        <v>3</v>
      </c>
      <c r="I69" s="54">
        <v>0</v>
      </c>
    </row>
    <row r="70" spans="1:9" x14ac:dyDescent="0.25">
      <c r="A70" s="158" t="s">
        <v>128</v>
      </c>
      <c r="B70" s="54">
        <v>151</v>
      </c>
      <c r="C70" s="54">
        <v>55</v>
      </c>
      <c r="D70" s="54">
        <v>38</v>
      </c>
      <c r="E70" s="54">
        <v>17</v>
      </c>
      <c r="F70" s="54">
        <v>0</v>
      </c>
      <c r="G70" s="54">
        <v>1</v>
      </c>
      <c r="H70" s="54">
        <v>8</v>
      </c>
      <c r="I70" s="54">
        <v>0</v>
      </c>
    </row>
    <row r="71" spans="1:9" x14ac:dyDescent="0.25">
      <c r="A71" s="158" t="s">
        <v>259</v>
      </c>
      <c r="B71" s="54">
        <v>3</v>
      </c>
      <c r="C71" s="54"/>
      <c r="D71" s="54"/>
      <c r="E71" s="54"/>
      <c r="F71" s="54"/>
      <c r="G71" s="54"/>
      <c r="H71" s="54"/>
      <c r="I71" s="54"/>
    </row>
    <row r="72" spans="1:9" x14ac:dyDescent="0.25">
      <c r="A72" s="158" t="s">
        <v>114</v>
      </c>
      <c r="B72" s="54">
        <v>159</v>
      </c>
      <c r="C72" s="54"/>
      <c r="D72" s="54"/>
      <c r="E72" s="54"/>
      <c r="F72" s="54"/>
      <c r="G72" s="54"/>
      <c r="H72" s="54"/>
      <c r="I72" s="54"/>
    </row>
    <row r="73" spans="1:9" x14ac:dyDescent="0.25">
      <c r="A73" s="158" t="s">
        <v>279</v>
      </c>
      <c r="B73" s="54">
        <v>382</v>
      </c>
      <c r="C73" s="54">
        <v>40</v>
      </c>
      <c r="D73" s="54">
        <v>12</v>
      </c>
      <c r="E73" s="54">
        <v>24</v>
      </c>
      <c r="F73" s="54">
        <v>4</v>
      </c>
      <c r="G73" s="54">
        <v>2</v>
      </c>
      <c r="H73" s="54">
        <v>13</v>
      </c>
      <c r="I73" s="54">
        <v>0</v>
      </c>
    </row>
    <row r="74" spans="1:9" x14ac:dyDescent="0.25">
      <c r="A74" s="158" t="s">
        <v>78</v>
      </c>
      <c r="B74" s="54">
        <v>256</v>
      </c>
      <c r="C74" s="54">
        <v>55</v>
      </c>
      <c r="D74" s="54">
        <v>25</v>
      </c>
      <c r="E74" s="54">
        <v>30</v>
      </c>
      <c r="F74" s="54">
        <v>0</v>
      </c>
      <c r="G74" s="54">
        <v>11</v>
      </c>
      <c r="H74" s="54">
        <v>4</v>
      </c>
      <c r="I74" s="54">
        <v>0</v>
      </c>
    </row>
    <row r="75" spans="1:9" x14ac:dyDescent="0.25">
      <c r="A75" s="158" t="s">
        <v>298</v>
      </c>
      <c r="B75" s="54">
        <v>23</v>
      </c>
      <c r="C75" s="54">
        <v>40</v>
      </c>
      <c r="D75" s="54">
        <v>19</v>
      </c>
      <c r="E75" s="54">
        <v>21</v>
      </c>
      <c r="F75" s="54">
        <v>0</v>
      </c>
      <c r="G75" s="54">
        <v>4</v>
      </c>
      <c r="H75" s="54">
        <v>2</v>
      </c>
      <c r="I75" s="54">
        <v>0</v>
      </c>
    </row>
    <row r="76" spans="1:9" x14ac:dyDescent="0.25">
      <c r="A76" s="158" t="s">
        <v>125</v>
      </c>
      <c r="B76" s="54">
        <v>162</v>
      </c>
      <c r="C76" s="54">
        <v>95</v>
      </c>
      <c r="D76" s="54">
        <v>57</v>
      </c>
      <c r="E76" s="54">
        <v>38</v>
      </c>
      <c r="F76" s="54">
        <v>0</v>
      </c>
      <c r="G76" s="54">
        <v>2</v>
      </c>
      <c r="H76" s="54">
        <v>3</v>
      </c>
      <c r="I76" s="54">
        <v>0</v>
      </c>
    </row>
    <row r="77" spans="1:9" x14ac:dyDescent="0.25">
      <c r="A77" s="158" t="s">
        <v>81</v>
      </c>
      <c r="B77" s="54">
        <v>429</v>
      </c>
      <c r="C77" s="54">
        <v>125</v>
      </c>
      <c r="D77" s="54">
        <v>74</v>
      </c>
      <c r="E77" s="54">
        <v>50</v>
      </c>
      <c r="F77" s="54">
        <v>1</v>
      </c>
      <c r="G77" s="54">
        <v>2</v>
      </c>
      <c r="H77" s="54">
        <v>6</v>
      </c>
      <c r="I77" s="54">
        <v>0</v>
      </c>
    </row>
    <row r="78" spans="1:9" x14ac:dyDescent="0.25">
      <c r="A78" s="158" t="s">
        <v>102</v>
      </c>
      <c r="B78" s="54">
        <v>57</v>
      </c>
      <c r="C78" s="54"/>
      <c r="D78" s="54"/>
      <c r="E78" s="54"/>
      <c r="F78" s="54"/>
      <c r="G78" s="54"/>
      <c r="H78" s="54"/>
      <c r="I78" s="54"/>
    </row>
    <row r="79" spans="1:9" x14ac:dyDescent="0.25">
      <c r="A79" s="158" t="s">
        <v>135</v>
      </c>
      <c r="B79" s="54"/>
      <c r="C79" s="54">
        <v>30</v>
      </c>
      <c r="D79" s="54">
        <v>17</v>
      </c>
      <c r="E79" s="54">
        <v>12</v>
      </c>
      <c r="F79" s="54">
        <v>1</v>
      </c>
      <c r="G79" s="54">
        <v>1</v>
      </c>
      <c r="H79" s="54">
        <v>0</v>
      </c>
      <c r="I79" s="54">
        <v>0</v>
      </c>
    </row>
    <row r="80" spans="1:9" x14ac:dyDescent="0.25">
      <c r="A80" s="158" t="s">
        <v>120</v>
      </c>
      <c r="B80" s="54">
        <v>50</v>
      </c>
      <c r="C80" s="54">
        <v>40</v>
      </c>
      <c r="D80" s="54">
        <v>40</v>
      </c>
      <c r="E80" s="54"/>
      <c r="F80" s="54"/>
      <c r="G80" s="54"/>
      <c r="H80" s="54"/>
      <c r="I80" s="54"/>
    </row>
    <row r="81" spans="1:9" x14ac:dyDescent="0.25">
      <c r="A81" s="158" t="s">
        <v>121</v>
      </c>
      <c r="B81" s="54">
        <v>85</v>
      </c>
      <c r="C81" s="54">
        <v>40</v>
      </c>
      <c r="D81" s="54">
        <v>25</v>
      </c>
      <c r="E81" s="54">
        <v>15</v>
      </c>
      <c r="F81" s="54">
        <v>0</v>
      </c>
      <c r="G81" s="54">
        <v>1</v>
      </c>
      <c r="H81" s="54">
        <v>0</v>
      </c>
      <c r="I81" s="54">
        <v>0</v>
      </c>
    </row>
    <row r="82" spans="1:9" x14ac:dyDescent="0.25">
      <c r="A82" s="158" t="s">
        <v>129</v>
      </c>
      <c r="B82" s="54">
        <v>184</v>
      </c>
      <c r="C82" s="54">
        <v>125</v>
      </c>
      <c r="D82" s="54">
        <v>113</v>
      </c>
      <c r="E82" s="54">
        <v>12</v>
      </c>
      <c r="F82" s="54">
        <v>0</v>
      </c>
      <c r="G82" s="54">
        <v>1</v>
      </c>
      <c r="H82" s="54">
        <v>0</v>
      </c>
      <c r="I82" s="54">
        <v>0</v>
      </c>
    </row>
    <row r="83" spans="1:9" x14ac:dyDescent="0.25">
      <c r="A83" s="158" t="s">
        <v>98</v>
      </c>
      <c r="B83" s="54">
        <v>37</v>
      </c>
      <c r="C83" s="54"/>
      <c r="D83" s="54"/>
      <c r="E83" s="54"/>
      <c r="F83" s="54"/>
      <c r="G83" s="54"/>
      <c r="H83" s="54"/>
      <c r="I83" s="54"/>
    </row>
    <row r="84" spans="1:9" x14ac:dyDescent="0.25">
      <c r="A84" s="158" t="s">
        <v>97</v>
      </c>
      <c r="B84" s="54">
        <v>128</v>
      </c>
      <c r="C84" s="54">
        <v>40</v>
      </c>
      <c r="D84" s="54">
        <v>0</v>
      </c>
      <c r="E84" s="54">
        <v>40</v>
      </c>
      <c r="F84" s="54">
        <v>0</v>
      </c>
      <c r="G84" s="54">
        <v>3</v>
      </c>
      <c r="H84" s="54">
        <v>16</v>
      </c>
      <c r="I84" s="54">
        <v>0</v>
      </c>
    </row>
    <row r="85" spans="1:9" x14ac:dyDescent="0.25">
      <c r="A85" s="158" t="s">
        <v>101</v>
      </c>
      <c r="B85" s="54">
        <v>387</v>
      </c>
      <c r="C85" s="54">
        <v>40</v>
      </c>
      <c r="D85" s="54">
        <v>4</v>
      </c>
      <c r="E85" s="54">
        <v>36</v>
      </c>
      <c r="F85" s="54">
        <v>0</v>
      </c>
      <c r="G85" s="54">
        <v>7</v>
      </c>
      <c r="H85" s="54">
        <v>6</v>
      </c>
      <c r="I85" s="54">
        <v>0</v>
      </c>
    </row>
    <row r="86" spans="1:9" x14ac:dyDescent="0.25">
      <c r="A86" s="158" t="s">
        <v>300</v>
      </c>
      <c r="B86" s="54">
        <v>347</v>
      </c>
      <c r="C86" s="54">
        <v>165</v>
      </c>
      <c r="D86" s="54">
        <v>92</v>
      </c>
      <c r="E86" s="54">
        <v>73</v>
      </c>
      <c r="F86" s="54">
        <v>0</v>
      </c>
      <c r="G86" s="54">
        <v>14</v>
      </c>
      <c r="H86" s="54">
        <v>39</v>
      </c>
      <c r="I86" s="54">
        <v>0</v>
      </c>
    </row>
    <row r="87" spans="1:9" x14ac:dyDescent="0.25">
      <c r="A87" s="158" t="s">
        <v>467</v>
      </c>
      <c r="B87" s="54">
        <v>102</v>
      </c>
      <c r="C87" s="54">
        <v>55</v>
      </c>
      <c r="D87" s="54">
        <v>31</v>
      </c>
      <c r="E87" s="54">
        <v>24</v>
      </c>
      <c r="F87" s="54">
        <v>0</v>
      </c>
      <c r="G87" s="54">
        <v>2</v>
      </c>
      <c r="H87" s="54">
        <v>10</v>
      </c>
      <c r="I87" s="54">
        <v>0</v>
      </c>
    </row>
    <row r="88" spans="1:9" x14ac:dyDescent="0.25">
      <c r="A88" s="158" t="s">
        <v>837</v>
      </c>
      <c r="B88" s="54">
        <v>77</v>
      </c>
      <c r="C88" s="54"/>
      <c r="D88" s="54"/>
      <c r="E88" s="54"/>
      <c r="F88" s="54"/>
      <c r="G88" s="54"/>
      <c r="H88" s="54"/>
      <c r="I88" s="54"/>
    </row>
    <row r="89" spans="1:9" x14ac:dyDescent="0.25">
      <c r="A89" s="158" t="s">
        <v>116</v>
      </c>
      <c r="B89" s="54">
        <v>79</v>
      </c>
      <c r="C89" s="54">
        <v>40</v>
      </c>
      <c r="D89" s="54">
        <v>40</v>
      </c>
      <c r="E89" s="54"/>
      <c r="F89" s="54"/>
      <c r="G89" s="54"/>
      <c r="H89" s="54"/>
      <c r="I89" s="54"/>
    </row>
    <row r="90" spans="1:9" x14ac:dyDescent="0.25">
      <c r="A90" s="158" t="s">
        <v>471</v>
      </c>
      <c r="B90" s="54"/>
      <c r="C90" s="54">
        <v>25</v>
      </c>
      <c r="D90" s="54">
        <v>3</v>
      </c>
      <c r="E90" s="54">
        <v>22</v>
      </c>
      <c r="F90" s="54">
        <v>0</v>
      </c>
      <c r="G90" s="54">
        <v>1</v>
      </c>
      <c r="H90" s="54">
        <v>2</v>
      </c>
      <c r="I90" s="54">
        <v>0</v>
      </c>
    </row>
    <row r="91" spans="1:9" x14ac:dyDescent="0.25">
      <c r="A91" s="158" t="s">
        <v>823</v>
      </c>
      <c r="B91" s="54">
        <v>210</v>
      </c>
      <c r="C91" s="54"/>
      <c r="D91" s="54"/>
      <c r="E91" s="54"/>
      <c r="F91" s="54"/>
      <c r="G91" s="54"/>
      <c r="H91" s="54"/>
      <c r="I91" s="54"/>
    </row>
    <row r="92" spans="1:9" x14ac:dyDescent="0.25">
      <c r="A92" s="158" t="s">
        <v>317</v>
      </c>
      <c r="B92" s="54"/>
      <c r="C92" s="54">
        <v>40</v>
      </c>
      <c r="D92" s="54">
        <v>20</v>
      </c>
      <c r="E92" s="54">
        <v>20</v>
      </c>
      <c r="F92" s="54">
        <v>0</v>
      </c>
      <c r="G92" s="54">
        <v>1</v>
      </c>
      <c r="H92" s="54">
        <v>16</v>
      </c>
      <c r="I92" s="54">
        <v>0</v>
      </c>
    </row>
    <row r="93" spans="1:9" x14ac:dyDescent="0.25">
      <c r="A93" s="158" t="s">
        <v>824</v>
      </c>
      <c r="B93" s="54">
        <v>30</v>
      </c>
      <c r="C93" s="54"/>
      <c r="D93" s="54"/>
      <c r="E93" s="54"/>
      <c r="F93" s="54"/>
      <c r="G93" s="54"/>
      <c r="H93" s="54"/>
      <c r="I93" s="54"/>
    </row>
    <row r="94" spans="1:9" x14ac:dyDescent="0.25">
      <c r="A94" s="158" t="s">
        <v>616</v>
      </c>
      <c r="B94" s="54">
        <v>5</v>
      </c>
      <c r="C94" s="54"/>
      <c r="D94" s="54"/>
      <c r="E94" s="54"/>
      <c r="F94" s="54"/>
      <c r="G94" s="54"/>
      <c r="H94" s="54"/>
      <c r="I94" s="54"/>
    </row>
    <row r="95" spans="1:9" x14ac:dyDescent="0.25">
      <c r="A95" s="158" t="s">
        <v>322</v>
      </c>
      <c r="B95" s="54"/>
      <c r="C95" s="54">
        <v>40</v>
      </c>
      <c r="D95" s="54">
        <v>40</v>
      </c>
      <c r="E95" s="54"/>
      <c r="F95" s="54"/>
      <c r="G95" s="54"/>
      <c r="H95" s="54"/>
      <c r="I95" s="54"/>
    </row>
    <row r="96" spans="1:9" x14ac:dyDescent="0.25">
      <c r="A96" s="509" t="s">
        <v>838</v>
      </c>
      <c r="B96" s="54"/>
      <c r="C96" s="54">
        <v>40</v>
      </c>
      <c r="D96" s="54">
        <v>40</v>
      </c>
      <c r="E96" s="54"/>
      <c r="F96" s="54"/>
      <c r="G96" s="54"/>
      <c r="H96" s="54"/>
      <c r="I96" s="54"/>
    </row>
    <row r="97" spans="1:9" x14ac:dyDescent="0.25">
      <c r="A97" s="158" t="s">
        <v>122</v>
      </c>
      <c r="B97" s="54">
        <v>103</v>
      </c>
      <c r="C97" s="54"/>
      <c r="D97" s="54"/>
      <c r="E97" s="54"/>
      <c r="F97" s="54"/>
      <c r="G97" s="54"/>
      <c r="H97" s="54"/>
      <c r="I97" s="54"/>
    </row>
    <row r="98" spans="1:9" x14ac:dyDescent="0.25">
      <c r="A98" s="158" t="s">
        <v>71</v>
      </c>
      <c r="B98" s="54">
        <v>58</v>
      </c>
      <c r="C98" s="54"/>
      <c r="D98" s="54"/>
      <c r="E98" s="54"/>
      <c r="F98" s="54"/>
      <c r="G98" s="54"/>
      <c r="H98" s="54"/>
      <c r="I98" s="54"/>
    </row>
    <row r="99" spans="1:9" x14ac:dyDescent="0.25">
      <c r="A99" s="158" t="s">
        <v>117</v>
      </c>
      <c r="B99" s="54">
        <v>130</v>
      </c>
      <c r="C99" s="54"/>
      <c r="D99" s="54"/>
      <c r="E99" s="54"/>
      <c r="F99" s="54"/>
      <c r="G99" s="54"/>
      <c r="H99" s="54"/>
      <c r="I99" s="54"/>
    </row>
    <row r="100" spans="1:9" x14ac:dyDescent="0.25">
      <c r="A100" s="158" t="s">
        <v>618</v>
      </c>
      <c r="B100" s="54">
        <v>85</v>
      </c>
      <c r="C100" s="54"/>
      <c r="D100" s="54"/>
      <c r="E100" s="54"/>
      <c r="F100" s="54"/>
      <c r="G100" s="54"/>
      <c r="H100" s="54"/>
      <c r="I100" s="54"/>
    </row>
    <row r="101" spans="1:9" x14ac:dyDescent="0.25">
      <c r="A101" s="158" t="s">
        <v>51</v>
      </c>
      <c r="B101" s="54">
        <v>283</v>
      </c>
      <c r="C101" s="54">
        <v>70</v>
      </c>
      <c r="D101" s="54">
        <v>23</v>
      </c>
      <c r="E101" s="54">
        <v>47</v>
      </c>
      <c r="F101" s="54">
        <v>0</v>
      </c>
      <c r="G101" s="54">
        <v>8</v>
      </c>
      <c r="H101" s="54">
        <v>4</v>
      </c>
      <c r="I101" s="54">
        <v>0</v>
      </c>
    </row>
    <row r="102" spans="1:9" x14ac:dyDescent="0.25">
      <c r="A102" s="158" t="s">
        <v>825</v>
      </c>
      <c r="B102" s="54">
        <v>35</v>
      </c>
      <c r="C102" s="54"/>
      <c r="D102" s="54"/>
      <c r="E102" s="54"/>
      <c r="F102" s="54"/>
      <c r="G102" s="54"/>
      <c r="H102" s="54"/>
      <c r="I102" s="54"/>
    </row>
    <row r="103" spans="1:9" x14ac:dyDescent="0.25">
      <c r="A103" s="158" t="s">
        <v>360</v>
      </c>
      <c r="B103" s="54">
        <v>9750</v>
      </c>
      <c r="C103" s="54">
        <v>2805</v>
      </c>
      <c r="D103" s="54">
        <v>1517</v>
      </c>
      <c r="E103" s="54">
        <v>1247</v>
      </c>
      <c r="F103" s="54">
        <v>16</v>
      </c>
      <c r="G103" s="54">
        <v>216</v>
      </c>
      <c r="H103" s="54">
        <v>361</v>
      </c>
      <c r="I103" s="54">
        <v>36</v>
      </c>
    </row>
  </sheetData>
  <conditionalFormatting sqref="K28">
    <cfRule type="expression" dxfId="1517" priority="2">
      <formula>$A4:$I326="Planned/Provided"</formula>
    </cfRule>
  </conditionalFormatting>
  <conditionalFormatting pivot="1" sqref="D23">
    <cfRule type="expression" dxfId="1516" priority="1">
      <formula>$A5:$I327="Planned/Provided"</formula>
    </cfRule>
  </conditionalFormatting>
  <pageMargins left="0.7" right="0.7" top="0.75" bottom="0.75" header="0.3" footer="0.3"/>
  <pageSetup scale="67" fitToHeight="0" orientation="landscape"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D6F9A-A355-4F96-9CE8-CD34FE99F395}">
  <dimension ref="A1:Y4"/>
  <sheetViews>
    <sheetView workbookViewId="0"/>
  </sheetViews>
  <sheetFormatPr defaultRowHeight="15" x14ac:dyDescent="0.25"/>
  <cols>
    <col min="1" max="1" width="22.28515625" bestFit="1" customWidth="1"/>
    <col min="2" max="2" width="31.2851562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839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172</v>
      </c>
      <c r="B4" t="s">
        <v>840</v>
      </c>
      <c r="C4" t="s">
        <v>841</v>
      </c>
      <c r="N4">
        <v>20</v>
      </c>
      <c r="S4">
        <v>5</v>
      </c>
      <c r="T4">
        <v>5</v>
      </c>
      <c r="Y4">
        <v>30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D5A3A-4960-406A-AACD-DCCCF53F6CA6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842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81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181</v>
      </c>
      <c r="B5" t="s">
        <v>81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177</v>
      </c>
      <c r="B6" t="s">
        <v>81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175</v>
      </c>
      <c r="B7" t="s">
        <v>81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176</v>
      </c>
      <c r="B8" t="s">
        <v>81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180</v>
      </c>
      <c r="B9" t="s">
        <v>81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192</v>
      </c>
      <c r="B10" t="s">
        <v>81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173</v>
      </c>
      <c r="B11" t="s">
        <v>81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172</v>
      </c>
      <c r="B12" t="s">
        <v>81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171</v>
      </c>
      <c r="B13" t="s">
        <v>81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179</v>
      </c>
      <c r="B14" t="s">
        <v>81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174</v>
      </c>
      <c r="B15" t="s">
        <v>81</v>
      </c>
      <c r="Y15">
        <v>0</v>
      </c>
    </row>
    <row r="16" spans="1:25" x14ac:dyDescent="0.25">
      <c r="A16" t="s">
        <v>178</v>
      </c>
      <c r="B16" t="s">
        <v>81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70A6B-12D7-4919-A474-0D5AB46DF7F0}">
  <dimension ref="A1:Y16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842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81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181</v>
      </c>
      <c r="B5" t="s">
        <v>81</v>
      </c>
      <c r="C5">
        <v>6</v>
      </c>
      <c r="D5">
        <v>14</v>
      </c>
      <c r="E5">
        <v>1</v>
      </c>
      <c r="F5">
        <v>12</v>
      </c>
      <c r="G5">
        <v>1</v>
      </c>
      <c r="H5">
        <v>2</v>
      </c>
      <c r="I5">
        <v>0</v>
      </c>
      <c r="J5">
        <v>0</v>
      </c>
      <c r="K5">
        <v>3</v>
      </c>
      <c r="L5">
        <v>0</v>
      </c>
      <c r="M5">
        <v>0</v>
      </c>
      <c r="N5">
        <v>0</v>
      </c>
      <c r="O5">
        <v>3</v>
      </c>
      <c r="P5">
        <v>3</v>
      </c>
      <c r="Q5">
        <v>3</v>
      </c>
      <c r="R5">
        <v>0</v>
      </c>
      <c r="S5">
        <v>0</v>
      </c>
      <c r="T5">
        <v>0</v>
      </c>
      <c r="U5">
        <v>6</v>
      </c>
      <c r="V5">
        <v>0</v>
      </c>
      <c r="W5">
        <v>1</v>
      </c>
      <c r="X5">
        <v>0</v>
      </c>
      <c r="Y5">
        <v>55</v>
      </c>
    </row>
    <row r="6" spans="1:25" x14ac:dyDescent="0.25">
      <c r="A6" t="s">
        <v>177</v>
      </c>
      <c r="B6" t="s">
        <v>81</v>
      </c>
      <c r="C6">
        <v>1</v>
      </c>
      <c r="D6">
        <v>3</v>
      </c>
      <c r="E6">
        <v>1</v>
      </c>
      <c r="F6">
        <v>1</v>
      </c>
      <c r="G6">
        <v>1</v>
      </c>
      <c r="H6">
        <v>1</v>
      </c>
      <c r="I6">
        <v>2</v>
      </c>
      <c r="J6">
        <v>2</v>
      </c>
      <c r="O6">
        <v>5</v>
      </c>
      <c r="P6">
        <v>10</v>
      </c>
      <c r="Q6">
        <v>10</v>
      </c>
      <c r="R6">
        <v>4</v>
      </c>
      <c r="T6">
        <v>4</v>
      </c>
      <c r="V6">
        <v>2</v>
      </c>
      <c r="X6">
        <v>3</v>
      </c>
      <c r="Y6">
        <v>50</v>
      </c>
    </row>
    <row r="7" spans="1:25" x14ac:dyDescent="0.25">
      <c r="A7" t="s">
        <v>175</v>
      </c>
      <c r="B7" t="s">
        <v>81</v>
      </c>
      <c r="I7">
        <v>3</v>
      </c>
      <c r="J7">
        <v>1</v>
      </c>
      <c r="O7">
        <v>4</v>
      </c>
      <c r="U7">
        <v>2</v>
      </c>
      <c r="W7">
        <v>4</v>
      </c>
      <c r="Y7">
        <v>14</v>
      </c>
    </row>
    <row r="8" spans="1:25" x14ac:dyDescent="0.25">
      <c r="A8" t="s">
        <v>176</v>
      </c>
      <c r="B8" t="s">
        <v>81</v>
      </c>
      <c r="G8">
        <v>1</v>
      </c>
      <c r="I8">
        <v>3</v>
      </c>
      <c r="J8">
        <v>1</v>
      </c>
      <c r="O8">
        <v>1</v>
      </c>
      <c r="P8">
        <v>4</v>
      </c>
      <c r="Q8">
        <v>14</v>
      </c>
      <c r="R8">
        <v>1</v>
      </c>
      <c r="T8">
        <v>1</v>
      </c>
      <c r="U8">
        <v>1</v>
      </c>
      <c r="W8">
        <v>1</v>
      </c>
      <c r="Y8">
        <v>28</v>
      </c>
    </row>
    <row r="9" spans="1:25" x14ac:dyDescent="0.25">
      <c r="A9" t="s">
        <v>180</v>
      </c>
      <c r="B9" t="s">
        <v>81</v>
      </c>
      <c r="I9">
        <v>3</v>
      </c>
      <c r="J9">
        <v>3</v>
      </c>
      <c r="K9">
        <v>3</v>
      </c>
      <c r="M9">
        <v>3</v>
      </c>
      <c r="O9">
        <v>3</v>
      </c>
      <c r="P9">
        <v>4</v>
      </c>
      <c r="Q9">
        <v>4</v>
      </c>
      <c r="U9">
        <v>2</v>
      </c>
      <c r="W9">
        <v>3</v>
      </c>
      <c r="X9">
        <v>2</v>
      </c>
      <c r="Y9">
        <v>30</v>
      </c>
    </row>
    <row r="10" spans="1:25" x14ac:dyDescent="0.25">
      <c r="A10" t="s">
        <v>192</v>
      </c>
      <c r="B10" t="s">
        <v>81</v>
      </c>
      <c r="C10">
        <v>12</v>
      </c>
      <c r="D10">
        <v>4</v>
      </c>
      <c r="E10">
        <v>0</v>
      </c>
      <c r="F10">
        <v>0</v>
      </c>
      <c r="G10">
        <v>0</v>
      </c>
      <c r="H10">
        <v>0</v>
      </c>
      <c r="I10">
        <v>7</v>
      </c>
      <c r="J10">
        <v>9</v>
      </c>
      <c r="K10">
        <v>9</v>
      </c>
      <c r="L10">
        <v>0</v>
      </c>
      <c r="M10">
        <v>0</v>
      </c>
      <c r="N10">
        <v>0</v>
      </c>
      <c r="O10">
        <v>6</v>
      </c>
      <c r="P10">
        <v>6</v>
      </c>
      <c r="Q10">
        <v>11</v>
      </c>
      <c r="R10">
        <v>3</v>
      </c>
      <c r="S10">
        <v>2</v>
      </c>
      <c r="T10">
        <v>3</v>
      </c>
      <c r="U10">
        <v>9</v>
      </c>
      <c r="V10">
        <v>9</v>
      </c>
      <c r="W10">
        <v>6</v>
      </c>
      <c r="X10">
        <v>7</v>
      </c>
      <c r="Y10">
        <v>103</v>
      </c>
    </row>
    <row r="11" spans="1:25" x14ac:dyDescent="0.25">
      <c r="A11" t="s">
        <v>173</v>
      </c>
      <c r="B11" t="s">
        <v>81</v>
      </c>
      <c r="I11">
        <v>10</v>
      </c>
      <c r="K11">
        <v>10</v>
      </c>
      <c r="W11">
        <v>10</v>
      </c>
      <c r="Y11">
        <v>30</v>
      </c>
    </row>
    <row r="12" spans="1:25" x14ac:dyDescent="0.25">
      <c r="A12" t="s">
        <v>172</v>
      </c>
      <c r="B12" t="s">
        <v>81</v>
      </c>
      <c r="C12">
        <v>1</v>
      </c>
      <c r="D12">
        <v>23</v>
      </c>
      <c r="E12">
        <v>1</v>
      </c>
      <c r="F12">
        <v>11</v>
      </c>
      <c r="G12">
        <v>6</v>
      </c>
      <c r="H12">
        <v>10</v>
      </c>
      <c r="I12">
        <v>24</v>
      </c>
      <c r="J12">
        <v>47</v>
      </c>
      <c r="K12">
        <v>20</v>
      </c>
      <c r="M12">
        <v>24</v>
      </c>
      <c r="O12">
        <v>15</v>
      </c>
      <c r="P12">
        <v>11</v>
      </c>
      <c r="Q12">
        <v>95</v>
      </c>
      <c r="R12">
        <v>17</v>
      </c>
      <c r="S12">
        <v>3</v>
      </c>
      <c r="T12">
        <v>12</v>
      </c>
      <c r="U12">
        <v>5</v>
      </c>
      <c r="V12">
        <v>21</v>
      </c>
      <c r="W12">
        <v>89</v>
      </c>
      <c r="X12">
        <v>25</v>
      </c>
      <c r="Y12">
        <v>460</v>
      </c>
    </row>
    <row r="13" spans="1:25" x14ac:dyDescent="0.25">
      <c r="A13" t="s">
        <v>171</v>
      </c>
      <c r="B13" t="s">
        <v>81</v>
      </c>
      <c r="C13">
        <v>5</v>
      </c>
      <c r="D13">
        <v>9</v>
      </c>
      <c r="E13">
        <v>1</v>
      </c>
      <c r="F13">
        <v>2</v>
      </c>
      <c r="G13">
        <v>6</v>
      </c>
      <c r="H13">
        <v>12</v>
      </c>
      <c r="I13">
        <v>31</v>
      </c>
      <c r="J13">
        <v>13</v>
      </c>
      <c r="K13">
        <v>11</v>
      </c>
      <c r="N13">
        <v>2</v>
      </c>
      <c r="O13">
        <v>19</v>
      </c>
      <c r="P13">
        <v>5</v>
      </c>
      <c r="Q13">
        <v>6</v>
      </c>
      <c r="R13">
        <v>3</v>
      </c>
      <c r="S13">
        <v>5</v>
      </c>
      <c r="T13">
        <v>3</v>
      </c>
      <c r="U13">
        <v>6</v>
      </c>
      <c r="W13">
        <v>8</v>
      </c>
      <c r="Y13">
        <v>147</v>
      </c>
    </row>
    <row r="14" spans="1:25" x14ac:dyDescent="0.25">
      <c r="A14" t="s">
        <v>179</v>
      </c>
      <c r="B14" t="s">
        <v>81</v>
      </c>
      <c r="I14">
        <v>72</v>
      </c>
      <c r="J14">
        <v>11</v>
      </c>
      <c r="K14">
        <v>2</v>
      </c>
      <c r="O14">
        <v>1</v>
      </c>
      <c r="P14">
        <v>1</v>
      </c>
      <c r="U14">
        <v>11</v>
      </c>
      <c r="V14">
        <v>1</v>
      </c>
      <c r="W14">
        <v>30</v>
      </c>
      <c r="Y14">
        <v>129</v>
      </c>
    </row>
    <row r="15" spans="1:25" x14ac:dyDescent="0.25">
      <c r="A15" t="s">
        <v>174</v>
      </c>
      <c r="B15" t="s">
        <v>81</v>
      </c>
      <c r="Y15">
        <v>0</v>
      </c>
    </row>
    <row r="16" spans="1:25" x14ac:dyDescent="0.25">
      <c r="A16" t="s">
        <v>178</v>
      </c>
      <c r="B16" t="s">
        <v>81</v>
      </c>
      <c r="Y16">
        <v>0</v>
      </c>
    </row>
  </sheetData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D81D7-00DD-4BCA-AF69-F7131566648E}">
  <dimension ref="A1:Y15"/>
  <sheetViews>
    <sheetView workbookViewId="0">
      <pane xSplit="1" topLeftCell="B1" activePane="topRight" state="frozen"/>
      <selection pane="topRight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843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172</v>
      </c>
      <c r="B4" t="s">
        <v>279</v>
      </c>
      <c r="N4">
        <v>30</v>
      </c>
      <c r="P4">
        <v>90</v>
      </c>
      <c r="Q4">
        <v>30</v>
      </c>
      <c r="S4">
        <v>30</v>
      </c>
      <c r="V4">
        <v>30</v>
      </c>
      <c r="Y4">
        <v>210</v>
      </c>
    </row>
    <row r="5" spans="1:25" x14ac:dyDescent="0.25">
      <c r="A5" t="s">
        <v>173</v>
      </c>
      <c r="B5" t="s">
        <v>279</v>
      </c>
      <c r="I5">
        <v>3</v>
      </c>
      <c r="J5">
        <v>1</v>
      </c>
      <c r="K5">
        <v>1</v>
      </c>
      <c r="U5">
        <v>1</v>
      </c>
      <c r="W5">
        <v>1</v>
      </c>
      <c r="Y5">
        <v>7</v>
      </c>
    </row>
    <row r="6" spans="1:25" x14ac:dyDescent="0.25">
      <c r="A6" t="s">
        <v>170</v>
      </c>
      <c r="B6" t="s">
        <v>279</v>
      </c>
      <c r="C6">
        <v>7</v>
      </c>
      <c r="D6">
        <v>4</v>
      </c>
      <c r="E6">
        <v>3</v>
      </c>
      <c r="F6">
        <v>3</v>
      </c>
      <c r="G6">
        <v>5</v>
      </c>
      <c r="H6">
        <v>3</v>
      </c>
      <c r="I6">
        <v>241</v>
      </c>
      <c r="J6">
        <v>16</v>
      </c>
      <c r="K6">
        <v>5</v>
      </c>
      <c r="L6">
        <v>4</v>
      </c>
      <c r="M6">
        <v>2</v>
      </c>
      <c r="N6">
        <v>7</v>
      </c>
      <c r="O6">
        <v>13</v>
      </c>
      <c r="P6">
        <v>17</v>
      </c>
      <c r="Q6">
        <v>14</v>
      </c>
      <c r="R6">
        <v>7</v>
      </c>
      <c r="S6">
        <v>7</v>
      </c>
      <c r="T6">
        <v>7</v>
      </c>
      <c r="U6">
        <v>32</v>
      </c>
      <c r="V6">
        <v>12</v>
      </c>
      <c r="W6">
        <v>113</v>
      </c>
      <c r="X6">
        <v>7</v>
      </c>
      <c r="Y6">
        <v>529</v>
      </c>
    </row>
    <row r="7" spans="1:25" x14ac:dyDescent="0.25">
      <c r="A7" t="s">
        <v>174</v>
      </c>
      <c r="B7" t="s">
        <v>279</v>
      </c>
      <c r="Y7">
        <v>0</v>
      </c>
    </row>
    <row r="8" spans="1:25" x14ac:dyDescent="0.25">
      <c r="A8" t="s">
        <v>175</v>
      </c>
      <c r="B8" t="s">
        <v>279</v>
      </c>
      <c r="I8">
        <v>8</v>
      </c>
      <c r="O8">
        <v>8</v>
      </c>
      <c r="U8">
        <v>8</v>
      </c>
      <c r="W8">
        <v>10</v>
      </c>
      <c r="Y8">
        <v>34</v>
      </c>
    </row>
    <row r="9" spans="1:25" x14ac:dyDescent="0.25">
      <c r="A9" t="s">
        <v>176</v>
      </c>
      <c r="B9" t="s">
        <v>279</v>
      </c>
      <c r="D9">
        <v>1</v>
      </c>
      <c r="F9">
        <v>1</v>
      </c>
      <c r="I9">
        <v>15</v>
      </c>
      <c r="K9">
        <v>2</v>
      </c>
      <c r="O9">
        <v>5</v>
      </c>
      <c r="P9">
        <v>5</v>
      </c>
      <c r="Q9">
        <v>13</v>
      </c>
      <c r="W9">
        <v>1</v>
      </c>
      <c r="Y9">
        <v>43</v>
      </c>
    </row>
    <row r="10" spans="1:25" x14ac:dyDescent="0.25">
      <c r="A10" t="s">
        <v>177</v>
      </c>
      <c r="B10" t="s">
        <v>279</v>
      </c>
      <c r="I10">
        <v>6</v>
      </c>
      <c r="J10">
        <v>11</v>
      </c>
      <c r="K10">
        <v>1</v>
      </c>
      <c r="M10">
        <v>4</v>
      </c>
      <c r="N10">
        <v>6</v>
      </c>
      <c r="O10">
        <v>13</v>
      </c>
      <c r="P10">
        <v>8</v>
      </c>
      <c r="Q10">
        <v>9</v>
      </c>
      <c r="R10">
        <v>4</v>
      </c>
      <c r="S10">
        <v>4</v>
      </c>
      <c r="T10">
        <v>4</v>
      </c>
      <c r="U10">
        <v>8</v>
      </c>
      <c r="V10">
        <v>4</v>
      </c>
      <c r="W10">
        <v>9</v>
      </c>
      <c r="X10">
        <v>5</v>
      </c>
      <c r="Y10">
        <v>96</v>
      </c>
    </row>
    <row r="11" spans="1:25" x14ac:dyDescent="0.25">
      <c r="A11" t="s">
        <v>178</v>
      </c>
      <c r="B11" t="s">
        <v>279</v>
      </c>
      <c r="C11">
        <v>1</v>
      </c>
      <c r="D11">
        <v>2</v>
      </c>
      <c r="I11">
        <v>2</v>
      </c>
      <c r="J11">
        <v>1</v>
      </c>
      <c r="O11">
        <v>1</v>
      </c>
      <c r="U11">
        <v>1</v>
      </c>
      <c r="W11">
        <v>2</v>
      </c>
      <c r="Y11">
        <v>10</v>
      </c>
    </row>
    <row r="12" spans="1:25" x14ac:dyDescent="0.25">
      <c r="A12" t="s">
        <v>171</v>
      </c>
      <c r="B12" t="s">
        <v>279</v>
      </c>
      <c r="C12">
        <v>15</v>
      </c>
      <c r="D12">
        <v>30</v>
      </c>
      <c r="E12">
        <v>2</v>
      </c>
      <c r="F12">
        <v>3</v>
      </c>
      <c r="G12">
        <v>8</v>
      </c>
      <c r="H12">
        <v>18</v>
      </c>
      <c r="I12">
        <v>42</v>
      </c>
      <c r="J12">
        <v>14</v>
      </c>
      <c r="K12">
        <v>16</v>
      </c>
      <c r="L12">
        <v>2</v>
      </c>
      <c r="M12">
        <v>1</v>
      </c>
      <c r="O12">
        <v>11</v>
      </c>
      <c r="P12">
        <v>12</v>
      </c>
      <c r="Q12">
        <v>72</v>
      </c>
      <c r="R12">
        <v>6</v>
      </c>
      <c r="S12">
        <v>18</v>
      </c>
      <c r="U12">
        <v>2</v>
      </c>
      <c r="V12">
        <v>32</v>
      </c>
      <c r="W12">
        <v>10</v>
      </c>
      <c r="Y12">
        <v>314</v>
      </c>
    </row>
    <row r="13" spans="1:25" x14ac:dyDescent="0.25">
      <c r="A13" t="s">
        <v>179</v>
      </c>
      <c r="B13" t="s">
        <v>279</v>
      </c>
      <c r="I13">
        <v>10</v>
      </c>
      <c r="K13">
        <v>2</v>
      </c>
      <c r="O13">
        <v>1</v>
      </c>
      <c r="U13">
        <v>1</v>
      </c>
      <c r="W13">
        <v>10</v>
      </c>
      <c r="Y13">
        <v>24</v>
      </c>
    </row>
    <row r="14" spans="1:25" x14ac:dyDescent="0.25">
      <c r="A14" t="s">
        <v>180</v>
      </c>
      <c r="B14" t="s">
        <v>279</v>
      </c>
      <c r="C14">
        <v>2</v>
      </c>
      <c r="I14">
        <v>5</v>
      </c>
      <c r="J14">
        <v>5</v>
      </c>
      <c r="K14">
        <v>4</v>
      </c>
      <c r="L14">
        <v>1</v>
      </c>
      <c r="O14">
        <v>4</v>
      </c>
      <c r="P14">
        <v>7</v>
      </c>
      <c r="Q14">
        <v>5</v>
      </c>
      <c r="U14">
        <v>2</v>
      </c>
      <c r="W14">
        <v>2</v>
      </c>
      <c r="X14">
        <v>2</v>
      </c>
      <c r="Y14">
        <v>39</v>
      </c>
    </row>
    <row r="15" spans="1:25" x14ac:dyDescent="0.25">
      <c r="A15" t="s">
        <v>181</v>
      </c>
      <c r="B15" t="s">
        <v>279</v>
      </c>
      <c r="C15">
        <v>41</v>
      </c>
      <c r="D15">
        <v>1</v>
      </c>
      <c r="J15">
        <v>15</v>
      </c>
      <c r="O15">
        <v>5</v>
      </c>
      <c r="R15">
        <v>8</v>
      </c>
      <c r="U15">
        <v>17</v>
      </c>
      <c r="W15">
        <v>12</v>
      </c>
      <c r="Y15">
        <v>99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9DE3D-EB10-4E9D-B779-3906CC1B29D9}">
  <dimension ref="A1:Y15"/>
  <sheetViews>
    <sheetView workbookViewId="0"/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149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76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171</v>
      </c>
      <c r="B5" t="s">
        <v>76</v>
      </c>
      <c r="C5">
        <v>2</v>
      </c>
      <c r="D5">
        <v>2</v>
      </c>
      <c r="E5">
        <v>2</v>
      </c>
      <c r="F5">
        <v>2</v>
      </c>
      <c r="G5">
        <v>2</v>
      </c>
      <c r="H5">
        <v>2</v>
      </c>
      <c r="I5">
        <v>4</v>
      </c>
      <c r="K5">
        <v>10</v>
      </c>
      <c r="P5">
        <v>1</v>
      </c>
      <c r="Q5">
        <v>1</v>
      </c>
      <c r="R5">
        <v>2</v>
      </c>
      <c r="S5">
        <v>3</v>
      </c>
      <c r="V5">
        <v>1</v>
      </c>
      <c r="Y5">
        <v>34</v>
      </c>
    </row>
    <row r="6" spans="1:25" x14ac:dyDescent="0.25">
      <c r="A6" t="s">
        <v>172</v>
      </c>
      <c r="B6" t="s">
        <v>76</v>
      </c>
      <c r="M6">
        <v>30</v>
      </c>
      <c r="Q6">
        <v>30</v>
      </c>
      <c r="S6">
        <v>30</v>
      </c>
      <c r="V6">
        <v>30</v>
      </c>
      <c r="Y6">
        <v>120</v>
      </c>
    </row>
    <row r="7" spans="1:25" x14ac:dyDescent="0.25">
      <c r="A7" t="s">
        <v>173</v>
      </c>
      <c r="B7" t="s">
        <v>76</v>
      </c>
      <c r="Y7">
        <v>0</v>
      </c>
    </row>
    <row r="8" spans="1:25" x14ac:dyDescent="0.25">
      <c r="A8" t="s">
        <v>174</v>
      </c>
      <c r="B8" t="s">
        <v>76</v>
      </c>
      <c r="Y8">
        <v>0</v>
      </c>
    </row>
    <row r="9" spans="1:25" x14ac:dyDescent="0.25">
      <c r="A9" t="s">
        <v>175</v>
      </c>
      <c r="B9" t="s">
        <v>76</v>
      </c>
      <c r="W9">
        <v>1</v>
      </c>
      <c r="Y9">
        <v>1</v>
      </c>
    </row>
    <row r="10" spans="1:25" x14ac:dyDescent="0.25">
      <c r="A10" t="s">
        <v>176</v>
      </c>
      <c r="B10" t="s">
        <v>76</v>
      </c>
      <c r="I10">
        <v>2</v>
      </c>
      <c r="Y10">
        <v>2</v>
      </c>
    </row>
    <row r="11" spans="1:25" x14ac:dyDescent="0.25">
      <c r="A11" t="s">
        <v>177</v>
      </c>
      <c r="B11" t="s">
        <v>76</v>
      </c>
      <c r="Y11">
        <v>0</v>
      </c>
    </row>
    <row r="12" spans="1:25" x14ac:dyDescent="0.25">
      <c r="A12" t="s">
        <v>178</v>
      </c>
      <c r="B12" t="s">
        <v>76</v>
      </c>
      <c r="Y12">
        <v>0</v>
      </c>
    </row>
    <row r="13" spans="1:25" x14ac:dyDescent="0.25">
      <c r="A13" t="s">
        <v>179</v>
      </c>
      <c r="B13" t="s">
        <v>76</v>
      </c>
      <c r="Y13">
        <v>0</v>
      </c>
    </row>
    <row r="14" spans="1:25" x14ac:dyDescent="0.25">
      <c r="A14" t="s">
        <v>180</v>
      </c>
      <c r="B14" t="s">
        <v>76</v>
      </c>
      <c r="Y14">
        <v>0</v>
      </c>
    </row>
    <row r="15" spans="1:25" x14ac:dyDescent="0.25">
      <c r="A15" t="s">
        <v>181</v>
      </c>
      <c r="B15" t="s">
        <v>76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0669D-2ECC-463B-A7D6-8D15B7D81945}">
  <dimension ref="A1:Y15"/>
  <sheetViews>
    <sheetView workbookViewId="0">
      <selection activeCell="A7" sqref="A7"/>
    </sheetView>
  </sheetViews>
  <sheetFormatPr defaultRowHeight="15" x14ac:dyDescent="0.25"/>
  <cols>
    <col min="1" max="1" width="22.28515625" bestFit="1" customWidth="1"/>
    <col min="2" max="2" width="22.7109375" bestFit="1" customWidth="1"/>
    <col min="3" max="3" width="20.5703125" bestFit="1" customWidth="1"/>
    <col min="4" max="4" width="30" bestFit="1" customWidth="1"/>
    <col min="5" max="5" width="31.7109375" bestFit="1" customWidth="1"/>
    <col min="6" max="6" width="41.28515625" bestFit="1" customWidth="1"/>
    <col min="7" max="7" width="27.42578125" bestFit="1" customWidth="1"/>
    <col min="8" max="8" width="31" bestFit="1" customWidth="1"/>
    <col min="9" max="9" width="44.28515625" bestFit="1" customWidth="1"/>
    <col min="10" max="10" width="24.28515625" bestFit="1" customWidth="1"/>
    <col min="11" max="11" width="30.7109375" bestFit="1" customWidth="1"/>
    <col min="12" max="12" width="37" bestFit="1" customWidth="1"/>
    <col min="13" max="13" width="32.7109375" bestFit="1" customWidth="1"/>
    <col min="14" max="14" width="34.42578125" bestFit="1" customWidth="1"/>
    <col min="15" max="15" width="28.7109375" bestFit="1" customWidth="1"/>
    <col min="16" max="16" width="53" bestFit="1" customWidth="1"/>
    <col min="17" max="17" width="62.7109375" bestFit="1" customWidth="1"/>
    <col min="18" max="18" width="32.28515625" bestFit="1" customWidth="1"/>
    <col min="19" max="19" width="41.28515625" bestFit="1" customWidth="1"/>
    <col min="20" max="20" width="32.28515625" bestFit="1" customWidth="1"/>
    <col min="21" max="21" width="50.42578125" bestFit="1" customWidth="1"/>
    <col min="22" max="22" width="56.7109375" bestFit="1" customWidth="1"/>
    <col min="23" max="23" width="45.28515625" bestFit="1" customWidth="1"/>
    <col min="24" max="24" width="24.28515625" bestFit="1" customWidth="1"/>
  </cols>
  <sheetData>
    <row r="1" spans="1:25" x14ac:dyDescent="0.25">
      <c r="A1" s="7" t="s">
        <v>182</v>
      </c>
    </row>
    <row r="3" spans="1:25" x14ac:dyDescent="0.25">
      <c r="A3" t="s">
        <v>150</v>
      </c>
      <c r="B3" t="s">
        <v>151</v>
      </c>
      <c r="C3" t="s">
        <v>152</v>
      </c>
      <c r="D3" t="s">
        <v>63</v>
      </c>
      <c r="E3" t="s">
        <v>153</v>
      </c>
      <c r="F3" t="s">
        <v>64</v>
      </c>
      <c r="G3" t="s">
        <v>154</v>
      </c>
      <c r="H3" t="s">
        <v>59</v>
      </c>
      <c r="I3" t="s">
        <v>155</v>
      </c>
      <c r="J3" t="s">
        <v>156</v>
      </c>
      <c r="K3" t="s">
        <v>157</v>
      </c>
      <c r="L3" t="s">
        <v>65</v>
      </c>
      <c r="M3" t="s">
        <v>158</v>
      </c>
      <c r="N3" t="s">
        <v>159</v>
      </c>
      <c r="O3" t="s">
        <v>160</v>
      </c>
      <c r="P3" t="s">
        <v>161</v>
      </c>
      <c r="Q3" t="s">
        <v>162</v>
      </c>
      <c r="R3" t="s">
        <v>163</v>
      </c>
      <c r="S3" t="s">
        <v>164</v>
      </c>
      <c r="T3" t="s">
        <v>165</v>
      </c>
      <c r="U3" t="s">
        <v>166</v>
      </c>
      <c r="V3" t="s">
        <v>167</v>
      </c>
      <c r="W3" t="s">
        <v>77</v>
      </c>
      <c r="X3" t="s">
        <v>168</v>
      </c>
      <c r="Y3" t="s">
        <v>169</v>
      </c>
    </row>
    <row r="4" spans="1:25" x14ac:dyDescent="0.25">
      <c r="A4" t="s">
        <v>170</v>
      </c>
      <c r="B4" t="s">
        <v>183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</row>
    <row r="5" spans="1:25" x14ac:dyDescent="0.25">
      <c r="A5" t="s">
        <v>175</v>
      </c>
      <c r="B5" t="s">
        <v>183</v>
      </c>
      <c r="I5">
        <v>1</v>
      </c>
      <c r="U5">
        <v>1</v>
      </c>
      <c r="Y5">
        <v>2</v>
      </c>
    </row>
    <row r="6" spans="1:25" x14ac:dyDescent="0.25">
      <c r="A6" t="s">
        <v>176</v>
      </c>
      <c r="B6" t="s">
        <v>183</v>
      </c>
      <c r="I6">
        <v>2</v>
      </c>
      <c r="P6">
        <v>2</v>
      </c>
      <c r="Q6">
        <v>5</v>
      </c>
      <c r="Y6">
        <v>9</v>
      </c>
    </row>
    <row r="7" spans="1:25" x14ac:dyDescent="0.25">
      <c r="A7" t="s">
        <v>179</v>
      </c>
      <c r="B7" t="s">
        <v>183</v>
      </c>
      <c r="I7">
        <v>5</v>
      </c>
      <c r="W7">
        <v>20</v>
      </c>
      <c r="Y7">
        <v>25</v>
      </c>
    </row>
    <row r="8" spans="1:25" x14ac:dyDescent="0.25">
      <c r="A8" t="s">
        <v>171</v>
      </c>
      <c r="B8" t="s">
        <v>183</v>
      </c>
      <c r="C8">
        <v>2</v>
      </c>
      <c r="D8">
        <v>5</v>
      </c>
      <c r="E8">
        <v>1</v>
      </c>
      <c r="F8">
        <v>3</v>
      </c>
      <c r="G8">
        <v>2</v>
      </c>
      <c r="H8">
        <v>4</v>
      </c>
      <c r="I8">
        <v>11</v>
      </c>
      <c r="K8">
        <v>2</v>
      </c>
      <c r="O8">
        <v>1</v>
      </c>
      <c r="P8">
        <v>1</v>
      </c>
      <c r="Q8">
        <v>1</v>
      </c>
      <c r="R8">
        <v>7</v>
      </c>
      <c r="S8">
        <v>8</v>
      </c>
      <c r="V8">
        <v>3</v>
      </c>
      <c r="Y8">
        <v>51</v>
      </c>
    </row>
    <row r="9" spans="1:25" x14ac:dyDescent="0.25">
      <c r="A9" t="s">
        <v>172</v>
      </c>
      <c r="B9" t="s">
        <v>183</v>
      </c>
      <c r="M9">
        <v>20</v>
      </c>
      <c r="N9">
        <v>20</v>
      </c>
      <c r="P9">
        <v>20</v>
      </c>
      <c r="Q9">
        <v>20</v>
      </c>
      <c r="R9">
        <v>20</v>
      </c>
      <c r="S9">
        <v>20</v>
      </c>
      <c r="T9">
        <v>20</v>
      </c>
      <c r="V9">
        <v>20</v>
      </c>
      <c r="X9">
        <v>30</v>
      </c>
      <c r="Y9">
        <v>190</v>
      </c>
    </row>
    <row r="10" spans="1:25" x14ac:dyDescent="0.25">
      <c r="A10" t="s">
        <v>173</v>
      </c>
      <c r="B10" t="s">
        <v>183</v>
      </c>
      <c r="Y10">
        <v>0</v>
      </c>
    </row>
    <row r="11" spans="1:25" x14ac:dyDescent="0.25">
      <c r="A11" t="s">
        <v>174</v>
      </c>
      <c r="B11" t="s">
        <v>183</v>
      </c>
      <c r="Y11">
        <v>0</v>
      </c>
    </row>
    <row r="12" spans="1:25" x14ac:dyDescent="0.25">
      <c r="A12" t="s">
        <v>177</v>
      </c>
      <c r="B12" t="s">
        <v>183</v>
      </c>
      <c r="Y12">
        <v>0</v>
      </c>
    </row>
    <row r="13" spans="1:25" x14ac:dyDescent="0.25">
      <c r="A13" t="s">
        <v>178</v>
      </c>
      <c r="B13" t="s">
        <v>183</v>
      </c>
      <c r="Y13">
        <v>0</v>
      </c>
    </row>
    <row r="14" spans="1:25" x14ac:dyDescent="0.25">
      <c r="A14" t="s">
        <v>180</v>
      </c>
      <c r="B14" t="s">
        <v>183</v>
      </c>
      <c r="Y14">
        <v>0</v>
      </c>
    </row>
    <row r="15" spans="1:25" x14ac:dyDescent="0.25">
      <c r="A15" t="s">
        <v>181</v>
      </c>
      <c r="B15" t="s">
        <v>183</v>
      </c>
      <c r="Y15">
        <v>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B784-AD2D-4C05-B0C6-AB39F370FAAF}">
  <dimension ref="A1:H16"/>
  <sheetViews>
    <sheetView workbookViewId="0"/>
  </sheetViews>
  <sheetFormatPr defaultRowHeight="15" x14ac:dyDescent="0.25"/>
  <cols>
    <col min="1" max="1" width="22.28515625" bestFit="1" customWidth="1"/>
    <col min="2" max="2" width="52.28515625" bestFit="1" customWidth="1"/>
    <col min="3" max="3" width="29.7109375" bestFit="1" customWidth="1"/>
    <col min="4" max="4" width="43.5703125" bestFit="1" customWidth="1"/>
    <col min="5" max="5" width="33.5703125" bestFit="1" customWidth="1"/>
    <col min="6" max="6" width="28.7109375" bestFit="1" customWidth="1"/>
    <col min="7" max="7" width="27" bestFit="1" customWidth="1"/>
    <col min="8" max="8" width="32.7109375" bestFit="1" customWidth="1"/>
  </cols>
  <sheetData>
    <row r="1" spans="1:8" x14ac:dyDescent="0.25">
      <c r="A1" s="7" t="s">
        <v>184</v>
      </c>
    </row>
    <row r="3" spans="1:8" x14ac:dyDescent="0.25">
      <c r="A3" t="s">
        <v>150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</row>
    <row r="4" spans="1:8" x14ac:dyDescent="0.25">
      <c r="A4" t="s">
        <v>192</v>
      </c>
      <c r="B4" t="s">
        <v>193</v>
      </c>
      <c r="C4">
        <v>0</v>
      </c>
      <c r="D4">
        <v>19</v>
      </c>
      <c r="E4">
        <v>40</v>
      </c>
      <c r="F4">
        <v>6</v>
      </c>
      <c r="G4">
        <v>9</v>
      </c>
      <c r="H4">
        <v>1</v>
      </c>
    </row>
    <row r="5" spans="1:8" x14ac:dyDescent="0.25">
      <c r="A5" t="s">
        <v>181</v>
      </c>
      <c r="B5" t="s">
        <v>193</v>
      </c>
      <c r="C5">
        <v>0</v>
      </c>
      <c r="D5">
        <v>6</v>
      </c>
      <c r="E5">
        <v>24</v>
      </c>
      <c r="F5">
        <v>3</v>
      </c>
      <c r="G5">
        <v>4</v>
      </c>
      <c r="H5">
        <v>4</v>
      </c>
    </row>
    <row r="6" spans="1:8" x14ac:dyDescent="0.25">
      <c r="A6" t="s">
        <v>171</v>
      </c>
      <c r="B6" t="s">
        <v>193</v>
      </c>
      <c r="C6">
        <v>3</v>
      </c>
      <c r="D6">
        <v>12</v>
      </c>
      <c r="E6">
        <v>50</v>
      </c>
      <c r="F6">
        <v>11</v>
      </c>
      <c r="G6">
        <v>17</v>
      </c>
      <c r="H6">
        <v>32</v>
      </c>
    </row>
    <row r="7" spans="1:8" x14ac:dyDescent="0.25">
      <c r="A7" t="s">
        <v>170</v>
      </c>
      <c r="B7" t="s">
        <v>193</v>
      </c>
      <c r="C7">
        <v>10</v>
      </c>
      <c r="D7">
        <v>10</v>
      </c>
      <c r="E7">
        <v>71</v>
      </c>
      <c r="F7">
        <v>0</v>
      </c>
      <c r="G7">
        <v>0</v>
      </c>
      <c r="H7">
        <v>0</v>
      </c>
    </row>
    <row r="8" spans="1:8" x14ac:dyDescent="0.25">
      <c r="A8" t="s">
        <v>172</v>
      </c>
      <c r="B8" t="s">
        <v>193</v>
      </c>
      <c r="E8">
        <v>10</v>
      </c>
    </row>
    <row r="9" spans="1:8" x14ac:dyDescent="0.25">
      <c r="A9" t="s">
        <v>173</v>
      </c>
      <c r="B9" t="s">
        <v>193</v>
      </c>
      <c r="E9">
        <v>28</v>
      </c>
      <c r="F9">
        <v>5</v>
      </c>
      <c r="G9">
        <v>17</v>
      </c>
      <c r="H9">
        <v>33</v>
      </c>
    </row>
    <row r="10" spans="1:8" x14ac:dyDescent="0.25">
      <c r="A10" t="s">
        <v>174</v>
      </c>
      <c r="B10" t="s">
        <v>193</v>
      </c>
      <c r="E10">
        <v>1</v>
      </c>
    </row>
    <row r="11" spans="1:8" x14ac:dyDescent="0.25">
      <c r="A11" t="s">
        <v>175</v>
      </c>
      <c r="B11" t="s">
        <v>193</v>
      </c>
      <c r="E11">
        <v>4</v>
      </c>
      <c r="H11">
        <v>3</v>
      </c>
    </row>
    <row r="12" spans="1:8" x14ac:dyDescent="0.25">
      <c r="A12" t="s">
        <v>176</v>
      </c>
      <c r="B12" t="s">
        <v>193</v>
      </c>
      <c r="D12">
        <v>2</v>
      </c>
      <c r="E12">
        <v>11</v>
      </c>
      <c r="F12">
        <v>1</v>
      </c>
    </row>
    <row r="13" spans="1:8" x14ac:dyDescent="0.25">
      <c r="A13" t="s">
        <v>177</v>
      </c>
      <c r="B13" t="s">
        <v>193</v>
      </c>
      <c r="D13">
        <v>3</v>
      </c>
      <c r="E13">
        <v>21</v>
      </c>
      <c r="F13">
        <v>30</v>
      </c>
      <c r="H13">
        <v>24</v>
      </c>
    </row>
    <row r="14" spans="1:8" x14ac:dyDescent="0.25">
      <c r="A14" t="s">
        <v>178</v>
      </c>
      <c r="B14" t="s">
        <v>193</v>
      </c>
      <c r="E14">
        <v>19</v>
      </c>
      <c r="H14">
        <v>2</v>
      </c>
    </row>
    <row r="15" spans="1:8" x14ac:dyDescent="0.25">
      <c r="A15" t="s">
        <v>179</v>
      </c>
      <c r="B15" t="s">
        <v>193</v>
      </c>
      <c r="E15">
        <v>1</v>
      </c>
      <c r="F15">
        <v>4</v>
      </c>
      <c r="H15">
        <v>12</v>
      </c>
    </row>
    <row r="16" spans="1:8" x14ac:dyDescent="0.25">
      <c r="A16" t="s">
        <v>180</v>
      </c>
      <c r="B16" t="s">
        <v>193</v>
      </c>
      <c r="D16">
        <v>1</v>
      </c>
      <c r="E16">
        <v>6</v>
      </c>
      <c r="F16">
        <v>3</v>
      </c>
      <c r="H16">
        <v>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4C912-3E3D-4CF2-94A0-679216147277}">
  <sheetPr>
    <pageSetUpPr fitToPage="1"/>
  </sheetPr>
  <dimension ref="A1:AA479"/>
  <sheetViews>
    <sheetView zoomScale="90" zoomScaleNormal="90" workbookViewId="0">
      <selection activeCell="A3" sqref="A3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8" width="9.7109375" style="30" hidden="1" customWidth="1"/>
    <col min="9" max="9" width="9.7109375" style="30" customWidth="1"/>
    <col min="10" max="14" width="9.7109375" style="30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194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24" t="s">
        <v>12</v>
      </c>
      <c r="G3" s="24" t="s">
        <v>13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x14ac:dyDescent="0.25">
      <c r="A4" s="58"/>
      <c r="B4" s="148" t="s">
        <v>196</v>
      </c>
      <c r="C4" s="59" t="s">
        <v>197</v>
      </c>
      <c r="D4" s="59" t="s">
        <v>198</v>
      </c>
      <c r="E4" s="58"/>
      <c r="F4" s="61">
        <v>45600</v>
      </c>
      <c r="G4" s="61">
        <v>45604</v>
      </c>
      <c r="H4" s="64"/>
      <c r="I4" s="64">
        <v>0.54166666666666663</v>
      </c>
      <c r="J4" s="61"/>
      <c r="K4" s="61"/>
      <c r="L4" s="61"/>
      <c r="M4" s="61"/>
      <c r="N4" s="61"/>
      <c r="O4" s="58" t="s">
        <v>199</v>
      </c>
      <c r="P4" s="58"/>
      <c r="Q4" s="62">
        <v>45</v>
      </c>
      <c r="R4" s="149">
        <v>5</v>
      </c>
      <c r="S4" s="62"/>
      <c r="T4" s="62"/>
      <c r="U4" s="13"/>
      <c r="V4" s="13"/>
      <c r="W4" s="13"/>
      <c r="X4" s="58"/>
      <c r="Y4" s="51">
        <f ca="1">Table210[[#This Row],[End Date]]+2-TODAY()</f>
        <v>-638</v>
      </c>
      <c r="Z4" s="13">
        <f>IF(ISBLANK(Table210[[#This Row],[Roster Received By]]),1,0)</f>
        <v>1</v>
      </c>
      <c r="AA4" s="13">
        <f ca="1">IF(Table210[[#This Row],[Start Date]]&gt;TODAY(),1,)</f>
        <v>0</v>
      </c>
    </row>
    <row r="5" spans="1:27" s="65" customFormat="1" x14ac:dyDescent="0.25">
      <c r="A5" s="46"/>
      <c r="B5" s="148" t="s">
        <v>196</v>
      </c>
      <c r="C5" s="59" t="s">
        <v>197</v>
      </c>
      <c r="D5" s="59" t="s">
        <v>198</v>
      </c>
      <c r="E5" s="58"/>
      <c r="F5" s="61">
        <v>45635</v>
      </c>
      <c r="G5" s="61">
        <v>45639</v>
      </c>
      <c r="H5" s="67"/>
      <c r="I5" s="64">
        <v>0.33333333333333331</v>
      </c>
      <c r="J5" s="61"/>
      <c r="K5" s="61"/>
      <c r="L5" s="61"/>
      <c r="M5" s="61"/>
      <c r="N5" s="61"/>
      <c r="O5" s="58" t="s">
        <v>199</v>
      </c>
      <c r="P5" s="58"/>
      <c r="Q5" s="62">
        <v>45</v>
      </c>
      <c r="R5" s="149">
        <v>5</v>
      </c>
      <c r="S5" s="62"/>
      <c r="T5" s="62"/>
      <c r="U5" s="13"/>
      <c r="V5" s="13"/>
      <c r="W5" s="13"/>
      <c r="X5" s="58"/>
      <c r="Y5" s="51">
        <f ca="1">Table210[[#This Row],[End Date]]+2-TODAY()</f>
        <v>-603</v>
      </c>
      <c r="Z5" s="13">
        <f>IF(ISBLANK(Table210[[#This Row],[Roster Received By]]),1,0)</f>
        <v>1</v>
      </c>
      <c r="AA5" s="13">
        <f ca="1">IF(Table210[[#This Row],[Start Date]]&gt;TODAY(),1,)</f>
        <v>0</v>
      </c>
    </row>
    <row r="6" spans="1:27" s="65" customFormat="1" x14ac:dyDescent="0.25">
      <c r="A6" s="46"/>
      <c r="B6" s="148" t="s">
        <v>196</v>
      </c>
      <c r="C6" s="59" t="s">
        <v>197</v>
      </c>
      <c r="D6" s="59" t="s">
        <v>198</v>
      </c>
      <c r="E6" s="58"/>
      <c r="F6" s="61">
        <v>45670</v>
      </c>
      <c r="G6" s="61">
        <v>45674</v>
      </c>
      <c r="H6" s="67"/>
      <c r="I6" s="64">
        <v>0.54166666666666663</v>
      </c>
      <c r="J6" s="61"/>
      <c r="K6" s="61"/>
      <c r="L6" s="61"/>
      <c r="M6" s="61"/>
      <c r="N6" s="61"/>
      <c r="O6" s="58" t="s">
        <v>199</v>
      </c>
      <c r="P6" s="58"/>
      <c r="Q6" s="62">
        <v>45</v>
      </c>
      <c r="R6" s="149">
        <v>5</v>
      </c>
      <c r="S6" s="62"/>
      <c r="T6" s="62"/>
      <c r="U6" s="13"/>
      <c r="V6" s="13"/>
      <c r="W6" s="13"/>
      <c r="X6" s="58"/>
      <c r="Y6" s="51">
        <f ca="1">Table210[[#This Row],[End Date]]+2-TODAY()</f>
        <v>-568</v>
      </c>
      <c r="Z6" s="13">
        <f>IF(ISBLANK(Table210[[#This Row],[Roster Received By]]),1,0)</f>
        <v>1</v>
      </c>
      <c r="AA6" s="13">
        <f ca="1">IF(Table210[[#This Row],[Start Date]]&gt;TODAY(),1,)</f>
        <v>0</v>
      </c>
    </row>
    <row r="7" spans="1:27" s="65" customFormat="1" x14ac:dyDescent="0.25">
      <c r="A7" s="46"/>
      <c r="B7" s="148" t="s">
        <v>196</v>
      </c>
      <c r="C7" s="59" t="s">
        <v>197</v>
      </c>
      <c r="D7" s="59" t="s">
        <v>198</v>
      </c>
      <c r="E7" s="58"/>
      <c r="F7" s="61">
        <v>45698</v>
      </c>
      <c r="G7" s="61">
        <v>45702</v>
      </c>
      <c r="H7" s="67"/>
      <c r="I7" s="67">
        <v>0.33333333333333331</v>
      </c>
      <c r="J7" s="61"/>
      <c r="K7" s="61"/>
      <c r="L7" s="61"/>
      <c r="M7" s="61"/>
      <c r="N7" s="61"/>
      <c r="O7" s="58" t="s">
        <v>199</v>
      </c>
      <c r="P7" s="58"/>
      <c r="Q7" s="62">
        <v>45</v>
      </c>
      <c r="R7" s="149">
        <v>5</v>
      </c>
      <c r="S7" s="62"/>
      <c r="T7" s="62"/>
      <c r="U7" s="13"/>
      <c r="V7" s="13"/>
      <c r="W7" s="13"/>
      <c r="X7" s="58"/>
      <c r="Y7" s="51">
        <f ca="1">Table210[[#This Row],[End Date]]+2-TODAY()</f>
        <v>-540</v>
      </c>
      <c r="Z7" s="13">
        <f>IF(ISBLANK(Table210[[#This Row],[Roster Received By]]),1,0)</f>
        <v>1</v>
      </c>
      <c r="AA7" s="13">
        <f ca="1">IF(Table210[[#This Row],[Start Date]]&gt;TODAY(),1,)</f>
        <v>0</v>
      </c>
    </row>
    <row r="8" spans="1:27" s="65" customFormat="1" x14ac:dyDescent="0.25">
      <c r="A8" s="46"/>
      <c r="B8" s="148" t="s">
        <v>196</v>
      </c>
      <c r="C8" s="59" t="s">
        <v>197</v>
      </c>
      <c r="D8" s="59" t="s">
        <v>198</v>
      </c>
      <c r="E8" s="58"/>
      <c r="F8" s="61">
        <v>45789</v>
      </c>
      <c r="G8" s="61">
        <v>45793</v>
      </c>
      <c r="H8" s="64"/>
      <c r="I8" s="64">
        <v>0.54166666666666663</v>
      </c>
      <c r="J8" s="61"/>
      <c r="K8" s="61"/>
      <c r="L8" s="61"/>
      <c r="M8" s="61"/>
      <c r="N8" s="61"/>
      <c r="O8" s="58" t="s">
        <v>199</v>
      </c>
      <c r="P8" s="58"/>
      <c r="Q8" s="62">
        <v>45</v>
      </c>
      <c r="R8" s="149">
        <v>5</v>
      </c>
      <c r="S8" s="62"/>
      <c r="T8" s="62"/>
      <c r="U8" s="13"/>
      <c r="V8" s="13"/>
      <c r="W8" s="13"/>
      <c r="X8" s="58"/>
      <c r="Y8" s="51">
        <f ca="1">Table210[[#This Row],[End Date]]+2-TODAY()</f>
        <v>-449</v>
      </c>
      <c r="Z8" s="13">
        <f>IF(ISBLANK(Table210[[#This Row],[Roster Received By]]),1,0)</f>
        <v>1</v>
      </c>
      <c r="AA8" s="13">
        <f ca="1">IF(Table210[[#This Row],[Start Date]]&gt;TODAY(),1,)</f>
        <v>0</v>
      </c>
    </row>
    <row r="9" spans="1:27" s="65" customFormat="1" x14ac:dyDescent="0.25">
      <c r="A9" s="46"/>
      <c r="B9" s="148" t="s">
        <v>196</v>
      </c>
      <c r="C9" s="59" t="s">
        <v>197</v>
      </c>
      <c r="D9" s="59" t="s">
        <v>198</v>
      </c>
      <c r="E9" s="58"/>
      <c r="F9" s="61">
        <v>45831</v>
      </c>
      <c r="G9" s="61">
        <v>45835</v>
      </c>
      <c r="H9" s="67"/>
      <c r="I9" s="67">
        <v>0.33333333333333331</v>
      </c>
      <c r="J9" s="61"/>
      <c r="K9" s="61"/>
      <c r="L9" s="61"/>
      <c r="M9" s="61"/>
      <c r="N9" s="61"/>
      <c r="O9" s="58" t="s">
        <v>199</v>
      </c>
      <c r="P9" s="58"/>
      <c r="Q9" s="62">
        <v>45</v>
      </c>
      <c r="R9" s="149">
        <v>5</v>
      </c>
      <c r="S9" s="62"/>
      <c r="T9" s="62"/>
      <c r="U9" s="13"/>
      <c r="V9" s="13"/>
      <c r="W9" s="13"/>
      <c r="X9" s="58"/>
      <c r="Y9" s="51">
        <f ca="1">Table210[[#This Row],[End Date]]+2-TODAY()</f>
        <v>-407</v>
      </c>
      <c r="Z9" s="13">
        <f>IF(ISBLANK(Table210[[#This Row],[Roster Received By]]),1,0)</f>
        <v>1</v>
      </c>
      <c r="AA9" s="13">
        <f ca="1">IF(Table210[[#This Row],[Start Date]]&gt;TODAY(),1,)</f>
        <v>0</v>
      </c>
    </row>
    <row r="10" spans="1:27" s="65" customFormat="1" x14ac:dyDescent="0.25">
      <c r="A10" s="46"/>
      <c r="B10" s="148" t="s">
        <v>196</v>
      </c>
      <c r="C10" s="59" t="s">
        <v>197</v>
      </c>
      <c r="D10" s="59" t="s">
        <v>198</v>
      </c>
      <c r="E10" s="58"/>
      <c r="F10" s="61">
        <v>45859</v>
      </c>
      <c r="G10" s="61">
        <v>45863</v>
      </c>
      <c r="H10" s="67"/>
      <c r="I10" s="67">
        <v>0.33333333333333331</v>
      </c>
      <c r="J10" s="61"/>
      <c r="K10" s="61"/>
      <c r="L10" s="61"/>
      <c r="M10" s="61"/>
      <c r="N10" s="61"/>
      <c r="O10" s="58" t="s">
        <v>199</v>
      </c>
      <c r="P10" s="58"/>
      <c r="Q10" s="62">
        <v>45</v>
      </c>
      <c r="R10" s="149">
        <v>5</v>
      </c>
      <c r="S10" s="62"/>
      <c r="T10" s="62"/>
      <c r="U10" s="13"/>
      <c r="V10" s="13"/>
      <c r="W10" s="59"/>
      <c r="X10" s="58"/>
      <c r="Y10" s="51">
        <f ca="1">Table210[[#This Row],[End Date]]+2-TODAY()</f>
        <v>-379</v>
      </c>
      <c r="Z10" s="13">
        <f>IF(ISBLANK(Table210[[#This Row],[Roster Received By]]),1,0)</f>
        <v>1</v>
      </c>
      <c r="AA10" s="13">
        <f ca="1">IF(Table210[[#This Row],[Start Date]]&gt;TODAY(),1,)</f>
        <v>0</v>
      </c>
    </row>
    <row r="11" spans="1:27" s="65" customFormat="1" x14ac:dyDescent="0.25">
      <c r="A11" s="46"/>
      <c r="B11" s="148" t="s">
        <v>196</v>
      </c>
      <c r="C11" s="59" t="s">
        <v>197</v>
      </c>
      <c r="D11" s="59" t="s">
        <v>198</v>
      </c>
      <c r="E11" s="58"/>
      <c r="F11" s="61">
        <v>45873</v>
      </c>
      <c r="G11" s="61">
        <v>45877</v>
      </c>
      <c r="H11" s="67"/>
      <c r="I11" s="67">
        <v>0.54166666666666663</v>
      </c>
      <c r="J11" s="61"/>
      <c r="K11" s="61"/>
      <c r="L11" s="61"/>
      <c r="M11" s="61"/>
      <c r="N11" s="61"/>
      <c r="O11" s="58" t="s">
        <v>199</v>
      </c>
      <c r="P11" s="58"/>
      <c r="Q11" s="62">
        <v>45</v>
      </c>
      <c r="R11" s="149">
        <v>5</v>
      </c>
      <c r="S11" s="62"/>
      <c r="T11" s="62"/>
      <c r="U11" s="13"/>
      <c r="V11" s="13"/>
      <c r="W11" s="59"/>
      <c r="X11" s="58"/>
      <c r="Y11" s="51">
        <f ca="1">Table210[[#This Row],[End Date]]+2-TODAY()</f>
        <v>-365</v>
      </c>
      <c r="Z11" s="13">
        <f>IF(ISBLANK(Table210[[#This Row],[Roster Received By]]),1,0)</f>
        <v>1</v>
      </c>
      <c r="AA11" s="13">
        <f ca="1">IF(Table210[[#This Row],[Start Date]]&gt;TODAY(),1,)</f>
        <v>0</v>
      </c>
    </row>
    <row r="12" spans="1:27" s="65" customFormat="1" x14ac:dyDescent="0.25">
      <c r="A12" s="46"/>
      <c r="B12" s="58" t="s">
        <v>200</v>
      </c>
      <c r="C12" s="59" t="s">
        <v>201</v>
      </c>
      <c r="D12" s="59" t="s">
        <v>202</v>
      </c>
      <c r="E12" s="58"/>
      <c r="F12" s="61">
        <v>45613</v>
      </c>
      <c r="G12" s="61">
        <v>45617</v>
      </c>
      <c r="H12" s="64"/>
      <c r="I12" s="64">
        <v>0.79166666666666663</v>
      </c>
      <c r="J12" s="61"/>
      <c r="K12" s="61"/>
      <c r="L12" s="61"/>
      <c r="M12" s="61"/>
      <c r="N12" s="61"/>
      <c r="O12" s="58" t="s">
        <v>203</v>
      </c>
      <c r="P12" s="58"/>
      <c r="Q12" s="62">
        <v>45</v>
      </c>
      <c r="R12" s="149">
        <v>5</v>
      </c>
      <c r="S12" s="62"/>
      <c r="T12" s="62"/>
      <c r="U12" s="13"/>
      <c r="V12" s="13"/>
      <c r="W12" s="59"/>
      <c r="X12" s="58"/>
      <c r="Y12" s="51">
        <f ca="1">Table210[[#This Row],[End Date]]+2-TODAY()</f>
        <v>-625</v>
      </c>
      <c r="Z12" s="13">
        <f>IF(ISBLANK(Table210[[#This Row],[Roster Received By]]),1,0)</f>
        <v>1</v>
      </c>
      <c r="AA12" s="13">
        <f ca="1">IF(Table210[[#This Row],[Start Date]]&gt;TODAY(),1,)</f>
        <v>0</v>
      </c>
    </row>
    <row r="13" spans="1:27" s="65" customFormat="1" x14ac:dyDescent="0.25">
      <c r="A13" s="46"/>
      <c r="B13" s="58" t="s">
        <v>200</v>
      </c>
      <c r="C13" s="59" t="s">
        <v>201</v>
      </c>
      <c r="D13" s="59" t="s">
        <v>202</v>
      </c>
      <c r="E13" s="58"/>
      <c r="F13" s="61">
        <v>45635</v>
      </c>
      <c r="G13" s="61">
        <v>45639</v>
      </c>
      <c r="H13" s="67"/>
      <c r="I13" s="64">
        <v>0.33333333333333331</v>
      </c>
      <c r="J13" s="61"/>
      <c r="K13" s="61"/>
      <c r="L13" s="61"/>
      <c r="M13" s="61"/>
      <c r="N13" s="61"/>
      <c r="O13" s="58" t="s">
        <v>203</v>
      </c>
      <c r="P13" s="58"/>
      <c r="Q13" s="62">
        <v>45</v>
      </c>
      <c r="R13" s="149">
        <v>5</v>
      </c>
      <c r="S13" s="62"/>
      <c r="T13" s="62"/>
      <c r="U13" s="13"/>
      <c r="V13" s="13"/>
      <c r="W13" s="13"/>
      <c r="X13" s="58"/>
      <c r="Y13" s="51">
        <f ca="1">Table210[[#This Row],[End Date]]+2-TODAY()</f>
        <v>-603</v>
      </c>
      <c r="Z13" s="13">
        <f>IF(ISBLANK(Table210[[#This Row],[Roster Received By]]),1,0)</f>
        <v>1</v>
      </c>
      <c r="AA13" s="13">
        <f ca="1">IF(Table210[[#This Row],[Start Date]]&gt;TODAY(),1,)</f>
        <v>0</v>
      </c>
    </row>
    <row r="14" spans="1:27" s="65" customFormat="1" x14ac:dyDescent="0.25">
      <c r="A14" s="46"/>
      <c r="B14" s="58" t="s">
        <v>200</v>
      </c>
      <c r="C14" s="59" t="s">
        <v>201</v>
      </c>
      <c r="D14" s="59" t="s">
        <v>202</v>
      </c>
      <c r="E14" s="58"/>
      <c r="F14" s="61">
        <v>45670</v>
      </c>
      <c r="G14" s="61">
        <v>45674</v>
      </c>
      <c r="H14" s="67"/>
      <c r="I14" s="64">
        <v>0.54166666666666663</v>
      </c>
      <c r="J14" s="61"/>
      <c r="K14" s="61"/>
      <c r="L14" s="61"/>
      <c r="M14" s="61"/>
      <c r="N14" s="61"/>
      <c r="O14" s="58" t="s">
        <v>203</v>
      </c>
      <c r="P14" s="58"/>
      <c r="Q14" s="62">
        <v>45</v>
      </c>
      <c r="R14" s="149">
        <v>5</v>
      </c>
      <c r="S14" s="62"/>
      <c r="T14" s="62"/>
      <c r="U14" s="13"/>
      <c r="V14" s="13"/>
      <c r="W14" s="13"/>
      <c r="X14" s="58"/>
      <c r="Y14" s="51">
        <f ca="1">Table210[[#This Row],[End Date]]+2-TODAY()</f>
        <v>-568</v>
      </c>
      <c r="Z14" s="13">
        <f>IF(ISBLANK(Table210[[#This Row],[Roster Received By]]),1,0)</f>
        <v>1</v>
      </c>
      <c r="AA14" s="13">
        <f ca="1">IF(Table210[[#This Row],[Start Date]]&gt;TODAY(),1,)</f>
        <v>0</v>
      </c>
    </row>
    <row r="15" spans="1:27" s="65" customFormat="1" x14ac:dyDescent="0.25">
      <c r="A15" s="46"/>
      <c r="B15" s="58" t="s">
        <v>200</v>
      </c>
      <c r="C15" s="59" t="s">
        <v>201</v>
      </c>
      <c r="D15" s="59" t="s">
        <v>202</v>
      </c>
      <c r="E15" s="58"/>
      <c r="F15" s="61">
        <v>45691</v>
      </c>
      <c r="G15" s="61">
        <v>45695</v>
      </c>
      <c r="H15" s="67"/>
      <c r="I15" s="67">
        <v>0.33333333333333331</v>
      </c>
      <c r="J15" s="61"/>
      <c r="K15" s="61"/>
      <c r="L15" s="61"/>
      <c r="M15" s="61"/>
      <c r="N15" s="61"/>
      <c r="O15" s="58" t="s">
        <v>203</v>
      </c>
      <c r="P15" s="58"/>
      <c r="Q15" s="62">
        <v>45</v>
      </c>
      <c r="R15" s="149">
        <v>5</v>
      </c>
      <c r="S15" s="62"/>
      <c r="T15" s="62"/>
      <c r="U15" s="13"/>
      <c r="V15" s="13"/>
      <c r="W15" s="13"/>
      <c r="X15" s="58"/>
      <c r="Y15" s="51">
        <f ca="1">Table210[[#This Row],[End Date]]+2-TODAY()</f>
        <v>-547</v>
      </c>
      <c r="Z15" s="13">
        <f>IF(ISBLANK(Table210[[#This Row],[Roster Received By]]),1,0)</f>
        <v>1</v>
      </c>
      <c r="AA15" s="13">
        <f ca="1">IF(Table210[[#This Row],[Start Date]]&gt;TODAY(),1,)</f>
        <v>0</v>
      </c>
    </row>
    <row r="16" spans="1:27" s="65" customFormat="1" x14ac:dyDescent="0.25">
      <c r="A16" s="46"/>
      <c r="B16" s="58" t="s">
        <v>200</v>
      </c>
      <c r="C16" s="59" t="s">
        <v>201</v>
      </c>
      <c r="D16" s="59" t="s">
        <v>202</v>
      </c>
      <c r="E16" s="58"/>
      <c r="F16" s="61">
        <v>45739</v>
      </c>
      <c r="G16" s="61">
        <v>45743</v>
      </c>
      <c r="H16" s="64"/>
      <c r="I16" s="64">
        <v>0.79166666666666663</v>
      </c>
      <c r="J16" s="61"/>
      <c r="K16" s="61"/>
      <c r="L16" s="61"/>
      <c r="M16" s="61"/>
      <c r="N16" s="61"/>
      <c r="O16" s="58" t="s">
        <v>203</v>
      </c>
      <c r="P16" s="58"/>
      <c r="Q16" s="62">
        <v>45</v>
      </c>
      <c r="R16" s="149">
        <v>5</v>
      </c>
      <c r="S16" s="62"/>
      <c r="T16" s="62"/>
      <c r="U16" s="13"/>
      <c r="V16" s="13"/>
      <c r="W16" s="13"/>
      <c r="X16" s="58"/>
      <c r="Y16" s="51">
        <f ca="1">Table210[[#This Row],[End Date]]+2-TODAY()</f>
        <v>-499</v>
      </c>
      <c r="Z16" s="13">
        <f>IF(ISBLANK(Table210[[#This Row],[Roster Received By]]),1,0)</f>
        <v>1</v>
      </c>
      <c r="AA16" s="13">
        <f ca="1">IF(Table210[[#This Row],[Start Date]]&gt;TODAY(),1,)</f>
        <v>0</v>
      </c>
    </row>
    <row r="17" spans="1:27" s="65" customFormat="1" x14ac:dyDescent="0.25">
      <c r="A17" s="46"/>
      <c r="B17" s="58" t="s">
        <v>200</v>
      </c>
      <c r="C17" s="59" t="s">
        <v>201</v>
      </c>
      <c r="D17" s="59" t="s">
        <v>202</v>
      </c>
      <c r="E17" s="58"/>
      <c r="F17" s="61">
        <v>45775</v>
      </c>
      <c r="G17" s="61">
        <v>45779</v>
      </c>
      <c r="H17" s="64"/>
      <c r="I17" s="64">
        <v>0.54166666666666663</v>
      </c>
      <c r="J17" s="61"/>
      <c r="K17" s="61"/>
      <c r="L17" s="61"/>
      <c r="M17" s="61"/>
      <c r="N17" s="61"/>
      <c r="O17" s="58" t="s">
        <v>203</v>
      </c>
      <c r="P17" s="58"/>
      <c r="Q17" s="62">
        <v>45</v>
      </c>
      <c r="R17" s="149">
        <v>5</v>
      </c>
      <c r="S17" s="62"/>
      <c r="T17" s="62"/>
      <c r="U17" s="13"/>
      <c r="V17" s="13"/>
      <c r="W17" s="13"/>
      <c r="X17" s="58"/>
      <c r="Y17" s="51">
        <f ca="1">Table210[[#This Row],[End Date]]+2-TODAY()</f>
        <v>-463</v>
      </c>
      <c r="Z17" s="13">
        <f>IF(ISBLANK(Table210[[#This Row],[Roster Received By]]),1,0)</f>
        <v>1</v>
      </c>
      <c r="AA17" s="13">
        <f ca="1">IF(Table210[[#This Row],[Start Date]]&gt;TODAY(),1,)</f>
        <v>0</v>
      </c>
    </row>
    <row r="18" spans="1:27" s="65" customFormat="1" x14ac:dyDescent="0.25">
      <c r="A18" s="46"/>
      <c r="B18" s="58" t="s">
        <v>200</v>
      </c>
      <c r="C18" s="59" t="s">
        <v>201</v>
      </c>
      <c r="D18" s="59" t="s">
        <v>202</v>
      </c>
      <c r="E18" s="58"/>
      <c r="F18" s="61">
        <v>45796</v>
      </c>
      <c r="G18" s="61">
        <v>45800</v>
      </c>
      <c r="H18" s="64"/>
      <c r="I18" s="64">
        <v>0.33333333333333331</v>
      </c>
      <c r="J18" s="61"/>
      <c r="K18" s="61"/>
      <c r="L18" s="61"/>
      <c r="M18" s="61"/>
      <c r="N18" s="61"/>
      <c r="O18" s="58" t="s">
        <v>203</v>
      </c>
      <c r="P18" s="58"/>
      <c r="Q18" s="62">
        <v>45</v>
      </c>
      <c r="R18" s="149">
        <v>5</v>
      </c>
      <c r="S18" s="62"/>
      <c r="T18" s="62"/>
      <c r="U18" s="13"/>
      <c r="V18" s="13"/>
      <c r="W18" s="13"/>
      <c r="X18" s="58"/>
      <c r="Y18" s="51">
        <f ca="1">Table210[[#This Row],[End Date]]+2-TODAY()</f>
        <v>-442</v>
      </c>
      <c r="Z18" s="13">
        <f>IF(ISBLANK(Table210[[#This Row],[Roster Received By]]),1,0)</f>
        <v>1</v>
      </c>
      <c r="AA18" s="13">
        <f ca="1">IF(Table210[[#This Row],[Start Date]]&gt;TODAY(),1,)</f>
        <v>0</v>
      </c>
    </row>
    <row r="19" spans="1:27" s="94" customFormat="1" x14ac:dyDescent="0.25">
      <c r="A19" s="46"/>
      <c r="B19" s="58" t="s">
        <v>200</v>
      </c>
      <c r="C19" s="59" t="s">
        <v>201</v>
      </c>
      <c r="D19" s="59" t="s">
        <v>202</v>
      </c>
      <c r="E19" s="58"/>
      <c r="F19" s="61">
        <v>45830</v>
      </c>
      <c r="G19" s="61">
        <v>45834</v>
      </c>
      <c r="H19" s="67"/>
      <c r="I19" s="67">
        <v>0.79166666666666663</v>
      </c>
      <c r="J19" s="61"/>
      <c r="K19" s="61"/>
      <c r="L19" s="61"/>
      <c r="M19" s="61"/>
      <c r="N19" s="61"/>
      <c r="O19" s="58" t="s">
        <v>203</v>
      </c>
      <c r="P19" s="58"/>
      <c r="Q19" s="62">
        <v>45</v>
      </c>
      <c r="R19" s="149">
        <v>5</v>
      </c>
      <c r="S19" s="62"/>
      <c r="T19" s="62"/>
      <c r="U19" s="13"/>
      <c r="V19" s="13"/>
      <c r="W19" s="13"/>
      <c r="X19" s="58"/>
      <c r="Y19" s="51">
        <f ca="1">Table210[[#This Row],[End Date]]+2-TODAY()</f>
        <v>-408</v>
      </c>
      <c r="Z19" s="13">
        <f>IF(ISBLANK(Table210[[#This Row],[Roster Received By]]),1,0)</f>
        <v>1</v>
      </c>
      <c r="AA19" s="13">
        <f ca="1">IF(Table210[[#This Row],[Start Date]]&gt;TODAY(),1,)</f>
        <v>0</v>
      </c>
    </row>
    <row r="20" spans="1:27" s="94" customFormat="1" x14ac:dyDescent="0.25">
      <c r="A20" s="46"/>
      <c r="B20" s="58" t="s">
        <v>200</v>
      </c>
      <c r="C20" s="59" t="s">
        <v>201</v>
      </c>
      <c r="D20" s="59" t="s">
        <v>202</v>
      </c>
      <c r="E20" s="58"/>
      <c r="F20" s="61">
        <v>45852</v>
      </c>
      <c r="G20" s="61">
        <v>45856</v>
      </c>
      <c r="H20" s="67"/>
      <c r="I20" s="67">
        <v>0.54166666666666663</v>
      </c>
      <c r="J20" s="61"/>
      <c r="K20" s="61"/>
      <c r="L20" s="61"/>
      <c r="M20" s="61"/>
      <c r="N20" s="61"/>
      <c r="O20" s="58" t="s">
        <v>203</v>
      </c>
      <c r="P20" s="58"/>
      <c r="Q20" s="62">
        <v>45</v>
      </c>
      <c r="R20" s="149">
        <v>5</v>
      </c>
      <c r="S20" s="62"/>
      <c r="T20" s="62"/>
      <c r="U20" s="13"/>
      <c r="V20" s="13"/>
      <c r="W20" s="59"/>
      <c r="X20" s="58"/>
      <c r="Y20" s="51">
        <f ca="1">Table210[[#This Row],[End Date]]+2-TODAY()</f>
        <v>-386</v>
      </c>
      <c r="Z20" s="13">
        <f>IF(ISBLANK(Table210[[#This Row],[Roster Received By]]),1,0)</f>
        <v>1</v>
      </c>
      <c r="AA20" s="13">
        <f ca="1">IF(Table210[[#This Row],[Start Date]]&gt;TODAY(),1,)</f>
        <v>0</v>
      </c>
    </row>
    <row r="21" spans="1:27" s="94" customFormat="1" x14ac:dyDescent="0.25">
      <c r="A21" s="46"/>
      <c r="B21" s="58" t="s">
        <v>200</v>
      </c>
      <c r="C21" s="59" t="s">
        <v>201</v>
      </c>
      <c r="D21" s="59" t="s">
        <v>202</v>
      </c>
      <c r="E21" s="58"/>
      <c r="F21" s="61">
        <v>45880</v>
      </c>
      <c r="G21" s="61">
        <v>45884</v>
      </c>
      <c r="H21" s="67"/>
      <c r="I21" s="67">
        <v>0.33333333333333331</v>
      </c>
      <c r="J21" s="61"/>
      <c r="K21" s="61"/>
      <c r="L21" s="61"/>
      <c r="M21" s="61"/>
      <c r="N21" s="61"/>
      <c r="O21" s="58" t="s">
        <v>203</v>
      </c>
      <c r="P21" s="58"/>
      <c r="Q21" s="62">
        <v>45</v>
      </c>
      <c r="R21" s="149">
        <v>5</v>
      </c>
      <c r="S21" s="62"/>
      <c r="T21" s="62"/>
      <c r="U21" s="13"/>
      <c r="V21" s="13"/>
      <c r="W21" s="59"/>
      <c r="X21" s="58"/>
      <c r="Y21" s="51">
        <f ca="1">Table210[[#This Row],[End Date]]+2-TODAY()</f>
        <v>-358</v>
      </c>
      <c r="Z21" s="13">
        <f>IF(ISBLANK(Table210[[#This Row],[Roster Received By]]),1,0)</f>
        <v>1</v>
      </c>
      <c r="AA21" s="13">
        <f ca="1">IF(Table210[[#This Row],[Start Date]]&gt;TODAY(),1,)</f>
        <v>0</v>
      </c>
    </row>
    <row r="22" spans="1:27" s="94" customFormat="1" x14ac:dyDescent="0.25">
      <c r="A22" s="46"/>
      <c r="B22" s="58" t="s">
        <v>200</v>
      </c>
      <c r="C22" s="59" t="s">
        <v>201</v>
      </c>
      <c r="D22" s="59" t="s">
        <v>202</v>
      </c>
      <c r="E22" s="58"/>
      <c r="F22" s="61">
        <v>45921</v>
      </c>
      <c r="G22" s="61">
        <v>45925</v>
      </c>
      <c r="H22" s="61"/>
      <c r="I22" s="60">
        <v>0.79166666666666663</v>
      </c>
      <c r="J22" s="64"/>
      <c r="K22" s="64"/>
      <c r="L22" s="64"/>
      <c r="M22" s="64"/>
      <c r="N22" s="64"/>
      <c r="O22" s="58" t="s">
        <v>203</v>
      </c>
      <c r="P22" s="58"/>
      <c r="Q22" s="13">
        <v>45</v>
      </c>
      <c r="R22" s="145">
        <v>5</v>
      </c>
      <c r="S22" s="13"/>
      <c r="T22" s="62"/>
      <c r="U22" s="13"/>
      <c r="V22" s="13"/>
      <c r="W22" s="59"/>
      <c r="X22" s="58"/>
      <c r="Y22" s="51">
        <f ca="1">Table210[[#This Row],[End Date]]+2-TODAY()</f>
        <v>-317</v>
      </c>
      <c r="Z22" s="13">
        <f>IF(ISBLANK(Table210[[#This Row],[Roster Received By]]),1,0)</f>
        <v>1</v>
      </c>
      <c r="AA22" s="13">
        <f ca="1">IF(Table210[[#This Row],[Start Date]]&gt;TODAY(),1,)</f>
        <v>0</v>
      </c>
    </row>
    <row r="23" spans="1:27" s="94" customFormat="1" x14ac:dyDescent="0.25">
      <c r="A23" s="110" t="s">
        <v>204</v>
      </c>
      <c r="B23" s="111" t="s">
        <v>205</v>
      </c>
      <c r="C23" s="113" t="s">
        <v>206</v>
      </c>
      <c r="D23" s="113" t="s">
        <v>206</v>
      </c>
      <c r="E23" s="111" t="s">
        <v>130</v>
      </c>
      <c r="F23" s="114">
        <v>45576</v>
      </c>
      <c r="G23" s="114">
        <v>45576</v>
      </c>
      <c r="H23" s="114"/>
      <c r="I23" s="115"/>
      <c r="J23" s="117"/>
      <c r="K23" s="117"/>
      <c r="L23" s="117"/>
      <c r="M23" s="117"/>
      <c r="N23" s="117"/>
      <c r="O23" s="111"/>
      <c r="P23" s="111"/>
      <c r="Q23" s="116">
        <v>0</v>
      </c>
      <c r="R23" s="116">
        <v>0</v>
      </c>
      <c r="S23" s="13"/>
      <c r="T23" s="62"/>
      <c r="U23" s="13"/>
      <c r="V23" s="13"/>
      <c r="W23" s="13"/>
      <c r="X23" s="58"/>
      <c r="Y23" s="51">
        <f ca="1">Table210[[#This Row],[End Date]]+2-TODAY()</f>
        <v>-666</v>
      </c>
      <c r="Z23" s="13">
        <f>IF(ISBLANK(Table210[[#This Row],[Roster Received By]]),1,0)</f>
        <v>1</v>
      </c>
      <c r="AA23" s="13">
        <f ca="1">IF(Table210[[#This Row],[Start Date]]&gt;TODAY(),1,)</f>
        <v>0</v>
      </c>
    </row>
    <row r="24" spans="1:27" s="94" customFormat="1" x14ac:dyDescent="0.25">
      <c r="A24" s="110" t="s">
        <v>207</v>
      </c>
      <c r="B24" s="111" t="s">
        <v>205</v>
      </c>
      <c r="C24" s="113" t="s">
        <v>206</v>
      </c>
      <c r="D24" s="113" t="s">
        <v>206</v>
      </c>
      <c r="E24" s="111" t="s">
        <v>130</v>
      </c>
      <c r="F24" s="114">
        <v>45621</v>
      </c>
      <c r="G24" s="114">
        <v>45621</v>
      </c>
      <c r="H24" s="117"/>
      <c r="I24" s="117"/>
      <c r="J24" s="114"/>
      <c r="K24" s="114"/>
      <c r="L24" s="114"/>
      <c r="M24" s="114"/>
      <c r="N24" s="114"/>
      <c r="O24" s="111"/>
      <c r="P24" s="111"/>
      <c r="Q24" s="116">
        <v>0</v>
      </c>
      <c r="R24" s="116">
        <v>0</v>
      </c>
      <c r="S24" s="116"/>
      <c r="T24" s="141"/>
      <c r="U24" s="116"/>
      <c r="V24" s="116"/>
      <c r="W24" s="113"/>
      <c r="X24" s="111"/>
      <c r="Y24" s="142">
        <f ca="1">Table210[[#This Row],[End Date]]+2-TODAY()</f>
        <v>-621</v>
      </c>
      <c r="Z24" s="116">
        <f>IF(ISBLANK(Table210[[#This Row],[Roster Received By]]),1,0)</f>
        <v>1</v>
      </c>
      <c r="AA24" s="116">
        <f ca="1">IF(Table210[[#This Row],[Start Date]]&gt;TODAY(),1,)</f>
        <v>0</v>
      </c>
    </row>
    <row r="25" spans="1:27" s="94" customFormat="1" x14ac:dyDescent="0.25">
      <c r="A25" s="110" t="s">
        <v>208</v>
      </c>
      <c r="B25" s="111" t="s">
        <v>205</v>
      </c>
      <c r="C25" s="113" t="s">
        <v>206</v>
      </c>
      <c r="D25" s="113" t="s">
        <v>206</v>
      </c>
      <c r="E25" s="111" t="s">
        <v>130</v>
      </c>
      <c r="F25" s="114">
        <v>45642</v>
      </c>
      <c r="G25" s="114">
        <v>45642</v>
      </c>
      <c r="H25" s="114"/>
      <c r="I25" s="115"/>
      <c r="J25" s="117"/>
      <c r="K25" s="117"/>
      <c r="L25" s="117"/>
      <c r="M25" s="117"/>
      <c r="N25" s="117"/>
      <c r="O25" s="111"/>
      <c r="P25" s="111"/>
      <c r="Q25" s="116">
        <v>0</v>
      </c>
      <c r="R25" s="116">
        <v>0</v>
      </c>
      <c r="S25" s="116"/>
      <c r="T25" s="141"/>
      <c r="U25" s="116"/>
      <c r="V25" s="116"/>
      <c r="W25" s="116"/>
      <c r="X25" s="111"/>
      <c r="Y25" s="142">
        <f ca="1">Table210[[#This Row],[End Date]]+2-TODAY()</f>
        <v>-600</v>
      </c>
      <c r="Z25" s="116">
        <f>IF(ISBLANK(Table210[[#This Row],[Roster Received By]]),1,0)</f>
        <v>1</v>
      </c>
      <c r="AA25" s="116">
        <f ca="1">IF(Table210[[#This Row],[Start Date]]&gt;TODAY(),1,)</f>
        <v>0</v>
      </c>
    </row>
    <row r="26" spans="1:27" s="94" customFormat="1" x14ac:dyDescent="0.25">
      <c r="A26" s="110" t="s">
        <v>209</v>
      </c>
      <c r="B26" s="111" t="s">
        <v>205</v>
      </c>
      <c r="C26" s="113" t="s">
        <v>206</v>
      </c>
      <c r="D26" s="113" t="s">
        <v>206</v>
      </c>
      <c r="E26" s="111" t="s">
        <v>130</v>
      </c>
      <c r="F26" s="114">
        <v>45688</v>
      </c>
      <c r="G26" s="114">
        <v>45688</v>
      </c>
      <c r="H26" s="143"/>
      <c r="I26" s="143"/>
      <c r="J26" s="114"/>
      <c r="K26" s="114"/>
      <c r="L26" s="114"/>
      <c r="M26" s="114"/>
      <c r="N26" s="114"/>
      <c r="O26" s="111"/>
      <c r="P26" s="111"/>
      <c r="Q26" s="116">
        <v>0</v>
      </c>
      <c r="R26" s="116">
        <v>0</v>
      </c>
      <c r="S26" s="116"/>
      <c r="T26" s="141"/>
      <c r="U26" s="116"/>
      <c r="V26" s="116"/>
      <c r="W26" s="116"/>
      <c r="X26" s="111"/>
      <c r="Y26" s="142">
        <f ca="1">Table210[[#This Row],[End Date]]+2-TODAY()</f>
        <v>-554</v>
      </c>
      <c r="Z26" s="116">
        <f>IF(ISBLANK(Table210[[#This Row],[Roster Received By]]),1,0)</f>
        <v>1</v>
      </c>
      <c r="AA26" s="116">
        <f ca="1">IF(Table210[[#This Row],[Start Date]]&gt;TODAY(),1,)</f>
        <v>0</v>
      </c>
    </row>
    <row r="27" spans="1:27" s="65" customFormat="1" ht="14.25" customHeight="1" x14ac:dyDescent="0.25">
      <c r="A27" s="110" t="s">
        <v>210</v>
      </c>
      <c r="B27" s="111" t="s">
        <v>205</v>
      </c>
      <c r="C27" s="113" t="s">
        <v>206</v>
      </c>
      <c r="D27" s="113" t="s">
        <v>206</v>
      </c>
      <c r="E27" s="111" t="s">
        <v>130</v>
      </c>
      <c r="F27" s="114">
        <v>45758</v>
      </c>
      <c r="G27" s="114">
        <v>45758</v>
      </c>
      <c r="H27" s="114"/>
      <c r="I27" s="115"/>
      <c r="J27" s="117"/>
      <c r="K27" s="117"/>
      <c r="L27" s="117"/>
      <c r="M27" s="117"/>
      <c r="N27" s="117"/>
      <c r="O27" s="111"/>
      <c r="P27" s="111"/>
      <c r="Q27" s="116">
        <v>0</v>
      </c>
      <c r="R27" s="116">
        <v>0</v>
      </c>
      <c r="S27" s="116"/>
      <c r="T27" s="141"/>
      <c r="U27" s="116"/>
      <c r="V27" s="116"/>
      <c r="W27" s="116"/>
      <c r="X27" s="111"/>
      <c r="Y27" s="142">
        <f ca="1">Table210[[#This Row],[End Date]]+2-TODAY()</f>
        <v>-484</v>
      </c>
      <c r="Z27" s="116">
        <f>IF(ISBLANK(Table210[[#This Row],[Roster Received By]]),1,0)</f>
        <v>1</v>
      </c>
      <c r="AA27" s="116">
        <f ca="1">IF(Table210[[#This Row],[Start Date]]&gt;TODAY(),1,)</f>
        <v>0</v>
      </c>
    </row>
    <row r="28" spans="1:27" s="65" customFormat="1" ht="14.25" customHeight="1" x14ac:dyDescent="0.25">
      <c r="A28" s="110" t="s">
        <v>211</v>
      </c>
      <c r="B28" s="111" t="s">
        <v>205</v>
      </c>
      <c r="C28" s="113" t="s">
        <v>206</v>
      </c>
      <c r="D28" s="113" t="s">
        <v>206</v>
      </c>
      <c r="E28" s="111" t="s">
        <v>130</v>
      </c>
      <c r="F28" s="114">
        <v>45839</v>
      </c>
      <c r="G28" s="114">
        <v>45839</v>
      </c>
      <c r="H28" s="117"/>
      <c r="I28" s="117"/>
      <c r="J28" s="117"/>
      <c r="K28" s="117"/>
      <c r="L28" s="117"/>
      <c r="M28" s="117"/>
      <c r="N28" s="117"/>
      <c r="O28" s="111"/>
      <c r="P28" s="111"/>
      <c r="Q28" s="116">
        <v>0</v>
      </c>
      <c r="R28" s="116">
        <v>0</v>
      </c>
      <c r="S28" s="141"/>
      <c r="T28" s="141"/>
      <c r="U28" s="116"/>
      <c r="V28" s="116"/>
      <c r="W28" s="116"/>
      <c r="X28" s="111"/>
      <c r="Y28" s="142">
        <f ca="1">Table210[[#This Row],[End Date]]+2-TODAY()</f>
        <v>-403</v>
      </c>
      <c r="Z28" s="116">
        <f>IF(ISBLANK(Table210[[#This Row],[Roster Received By]]),1,0)</f>
        <v>1</v>
      </c>
      <c r="AA28" s="116">
        <f ca="1">IF(Table210[[#This Row],[Start Date]]&gt;TODAY(),1,)</f>
        <v>0</v>
      </c>
    </row>
    <row r="29" spans="1:27" s="94" customFormat="1" x14ac:dyDescent="0.25">
      <c r="A29" s="110" t="s">
        <v>212</v>
      </c>
      <c r="B29" s="111" t="s">
        <v>205</v>
      </c>
      <c r="C29" s="113" t="s">
        <v>206</v>
      </c>
      <c r="D29" s="113" t="s">
        <v>206</v>
      </c>
      <c r="E29" s="111" t="s">
        <v>130</v>
      </c>
      <c r="F29" s="114">
        <v>45884</v>
      </c>
      <c r="G29" s="114">
        <v>45884</v>
      </c>
      <c r="H29" s="114"/>
      <c r="I29" s="115"/>
      <c r="J29" s="117"/>
      <c r="K29" s="117"/>
      <c r="L29" s="117"/>
      <c r="M29" s="117"/>
      <c r="N29" s="117"/>
      <c r="O29" s="111"/>
      <c r="P29" s="111"/>
      <c r="Q29" s="116">
        <v>0</v>
      </c>
      <c r="R29" s="116">
        <v>0</v>
      </c>
      <c r="S29" s="116"/>
      <c r="T29" s="141"/>
      <c r="U29" s="116"/>
      <c r="V29" s="116"/>
      <c r="W29" s="116"/>
      <c r="X29" s="111"/>
      <c r="Y29" s="142">
        <f ca="1">Table210[[#This Row],[End Date]]+2-TODAY()</f>
        <v>-358</v>
      </c>
      <c r="Z29" s="116">
        <f>IF(ISBLANK(Table210[[#This Row],[Roster Received By]]),1,0)</f>
        <v>1</v>
      </c>
      <c r="AA29" s="116">
        <f ca="1">IF(Table210[[#This Row],[Start Date]]&gt;TODAY(),1,)</f>
        <v>0</v>
      </c>
    </row>
    <row r="30" spans="1:27" s="94" customFormat="1" x14ac:dyDescent="0.25">
      <c r="A30" s="59"/>
      <c r="B30" s="58" t="s">
        <v>213</v>
      </c>
      <c r="C30" s="59" t="s">
        <v>214</v>
      </c>
      <c r="D30" s="59" t="s">
        <v>215</v>
      </c>
      <c r="E30" s="58"/>
      <c r="F30" s="61">
        <v>45565</v>
      </c>
      <c r="G30" s="61">
        <v>45569</v>
      </c>
      <c r="H30" s="64"/>
      <c r="I30" s="64">
        <v>0.54166666666666663</v>
      </c>
      <c r="J30" s="61"/>
      <c r="K30" s="61"/>
      <c r="L30" s="61"/>
      <c r="M30" s="61"/>
      <c r="N30" s="61"/>
      <c r="O30" s="58" t="s">
        <v>43</v>
      </c>
      <c r="P30" s="58"/>
      <c r="Q30" s="146">
        <v>45</v>
      </c>
      <c r="R30" s="149">
        <v>5</v>
      </c>
      <c r="S30" s="146"/>
      <c r="T30" s="146"/>
      <c r="U30" s="66"/>
      <c r="V30" s="66"/>
      <c r="W30" s="66"/>
      <c r="X30" s="66"/>
      <c r="Y30" s="150">
        <f ca="1">Table210[[#This Row],[End Date]]+2-TODAY()</f>
        <v>-673</v>
      </c>
      <c r="Z30" s="59">
        <f>IF(ISBLANK(Table210[[#This Row],[Roster Received By]]),1,0)</f>
        <v>1</v>
      </c>
      <c r="AA30" s="59">
        <f ca="1">IF(Table210[[#This Row],[Start Date]]&gt;TODAY(),1,)</f>
        <v>0</v>
      </c>
    </row>
    <row r="31" spans="1:27" s="94" customFormat="1" x14ac:dyDescent="0.25">
      <c r="A31" s="58"/>
      <c r="B31" s="58" t="s">
        <v>213</v>
      </c>
      <c r="C31" s="59" t="s">
        <v>214</v>
      </c>
      <c r="D31" s="59" t="s">
        <v>215</v>
      </c>
      <c r="E31" s="58"/>
      <c r="F31" s="61">
        <v>45586</v>
      </c>
      <c r="G31" s="61">
        <v>45590</v>
      </c>
      <c r="H31" s="64"/>
      <c r="I31" s="64">
        <v>0.33333333333333331</v>
      </c>
      <c r="J31" s="61"/>
      <c r="K31" s="61"/>
      <c r="L31" s="61"/>
      <c r="M31" s="61"/>
      <c r="N31" s="61"/>
      <c r="O31" s="58" t="s">
        <v>43</v>
      </c>
      <c r="P31" s="58"/>
      <c r="Q31" s="62">
        <v>45</v>
      </c>
      <c r="R31" s="149">
        <v>5</v>
      </c>
      <c r="S31" s="62"/>
      <c r="T31" s="62"/>
      <c r="U31" s="13"/>
      <c r="V31" s="13"/>
      <c r="W31" s="13"/>
      <c r="X31" s="58"/>
      <c r="Y31" s="51">
        <f ca="1">Table210[[#This Row],[End Date]]+2-TODAY()</f>
        <v>-652</v>
      </c>
      <c r="Z31" s="13">
        <f>IF(ISBLANK(Table210[[#This Row],[Roster Received By]]),1,0)</f>
        <v>1</v>
      </c>
      <c r="AA31" s="13">
        <f ca="1">IF(Table210[[#This Row],[Start Date]]&gt;TODAY(),1,)</f>
        <v>0</v>
      </c>
    </row>
    <row r="32" spans="1:27" s="94" customFormat="1" x14ac:dyDescent="0.25">
      <c r="A32" s="58"/>
      <c r="B32" s="58" t="s">
        <v>213</v>
      </c>
      <c r="C32" s="59" t="s">
        <v>214</v>
      </c>
      <c r="D32" s="59" t="s">
        <v>215</v>
      </c>
      <c r="E32" s="58"/>
      <c r="F32" s="61">
        <v>45599</v>
      </c>
      <c r="G32" s="61">
        <v>45603</v>
      </c>
      <c r="H32" s="64"/>
      <c r="I32" s="64">
        <v>0.79166666666666663</v>
      </c>
      <c r="J32" s="61"/>
      <c r="K32" s="61"/>
      <c r="L32" s="61"/>
      <c r="M32" s="61"/>
      <c r="N32" s="61"/>
      <c r="O32" s="58" t="s">
        <v>43</v>
      </c>
      <c r="P32" s="58"/>
      <c r="Q32" s="62">
        <v>45</v>
      </c>
      <c r="R32" s="149">
        <v>5</v>
      </c>
      <c r="S32" s="62"/>
      <c r="T32" s="62"/>
      <c r="U32" s="13"/>
      <c r="V32" s="13"/>
      <c r="W32" s="13"/>
      <c r="X32" s="58"/>
      <c r="Y32" s="51">
        <f ca="1">Table210[[#This Row],[End Date]]+2-TODAY()</f>
        <v>-639</v>
      </c>
      <c r="Z32" s="13">
        <f>IF(ISBLANK(Table210[[#This Row],[Roster Received By]]),1,0)</f>
        <v>1</v>
      </c>
      <c r="AA32" s="13">
        <f ca="1">IF(Table210[[#This Row],[Start Date]]&gt;TODAY(),1,)</f>
        <v>0</v>
      </c>
    </row>
    <row r="33" spans="1:27" s="95" customFormat="1" ht="13.5" customHeight="1" x14ac:dyDescent="0.25">
      <c r="A33" s="46"/>
      <c r="B33" s="58" t="s">
        <v>213</v>
      </c>
      <c r="C33" s="59" t="s">
        <v>214</v>
      </c>
      <c r="D33" s="59" t="s">
        <v>215</v>
      </c>
      <c r="E33" s="58"/>
      <c r="F33" s="61">
        <v>45628</v>
      </c>
      <c r="G33" s="61">
        <v>45632</v>
      </c>
      <c r="H33" s="67"/>
      <c r="I33" s="64">
        <v>0.54166666666666663</v>
      </c>
      <c r="J33" s="61"/>
      <c r="K33" s="61"/>
      <c r="L33" s="61"/>
      <c r="M33" s="61"/>
      <c r="N33" s="61"/>
      <c r="O33" s="58" t="s">
        <v>43</v>
      </c>
      <c r="P33" s="58"/>
      <c r="Q33" s="62">
        <v>45</v>
      </c>
      <c r="R33" s="149">
        <v>5</v>
      </c>
      <c r="S33" s="62"/>
      <c r="T33" s="62"/>
      <c r="U33" s="13"/>
      <c r="V33" s="13"/>
      <c r="W33" s="13"/>
      <c r="X33" s="58"/>
      <c r="Y33" s="51">
        <f ca="1">Table210[[#This Row],[End Date]]+2-TODAY()</f>
        <v>-610</v>
      </c>
      <c r="Z33" s="13">
        <f>IF(ISBLANK(Table210[[#This Row],[Roster Received By]]),1,0)</f>
        <v>1</v>
      </c>
      <c r="AA33" s="13">
        <f ca="1">IF(Table210[[#This Row],[Start Date]]&gt;TODAY(),1,)</f>
        <v>0</v>
      </c>
    </row>
    <row r="34" spans="1:27" s="65" customFormat="1" ht="14.25" customHeight="1" x14ac:dyDescent="0.25">
      <c r="A34" s="46"/>
      <c r="B34" s="58" t="s">
        <v>213</v>
      </c>
      <c r="C34" s="59" t="s">
        <v>214</v>
      </c>
      <c r="D34" s="59" t="s">
        <v>215</v>
      </c>
      <c r="E34" s="58"/>
      <c r="F34" s="61">
        <v>45663</v>
      </c>
      <c r="G34" s="61">
        <v>45667</v>
      </c>
      <c r="H34" s="67"/>
      <c r="I34" s="64">
        <v>0.54166666666666663</v>
      </c>
      <c r="J34" s="61"/>
      <c r="K34" s="61"/>
      <c r="L34" s="61"/>
      <c r="M34" s="61"/>
      <c r="N34" s="61"/>
      <c r="O34" s="58" t="s">
        <v>216</v>
      </c>
      <c r="P34" s="58"/>
      <c r="Q34" s="62">
        <v>45</v>
      </c>
      <c r="R34" s="149">
        <v>5</v>
      </c>
      <c r="S34" s="62"/>
      <c r="T34" s="62"/>
      <c r="U34" s="13"/>
      <c r="V34" s="13"/>
      <c r="W34" s="13"/>
      <c r="X34" s="58"/>
      <c r="Y34" s="51">
        <f ca="1">Table210[[#This Row],[End Date]]+2-TODAY()</f>
        <v>-575</v>
      </c>
      <c r="Z34" s="13">
        <f>IF(ISBLANK(Table210[[#This Row],[Roster Received By]]),1,0)</f>
        <v>1</v>
      </c>
      <c r="AA34" s="13">
        <f ca="1">IF(Table210[[#This Row],[Start Date]]&gt;TODAY(),1,)</f>
        <v>0</v>
      </c>
    </row>
    <row r="35" spans="1:27" s="65" customFormat="1" x14ac:dyDescent="0.25">
      <c r="A35" s="46"/>
      <c r="B35" s="58" t="s">
        <v>213</v>
      </c>
      <c r="C35" s="59" t="s">
        <v>214</v>
      </c>
      <c r="D35" s="59" t="s">
        <v>215</v>
      </c>
      <c r="E35" s="58"/>
      <c r="F35" s="61">
        <v>45684</v>
      </c>
      <c r="G35" s="61">
        <v>45688</v>
      </c>
      <c r="H35" s="67"/>
      <c r="I35" s="64">
        <v>0.54166666666666663</v>
      </c>
      <c r="J35" s="61"/>
      <c r="K35" s="61"/>
      <c r="L35" s="61"/>
      <c r="M35" s="61"/>
      <c r="N35" s="61"/>
      <c r="O35" s="58" t="s">
        <v>216</v>
      </c>
      <c r="P35" s="58"/>
      <c r="Q35" s="62">
        <v>45</v>
      </c>
      <c r="R35" s="149">
        <v>5</v>
      </c>
      <c r="S35" s="62"/>
      <c r="T35" s="62"/>
      <c r="U35" s="13"/>
      <c r="V35" s="13"/>
      <c r="W35" s="13"/>
      <c r="X35" s="58"/>
      <c r="Y35" s="51">
        <f ca="1">Table210[[#This Row],[End Date]]+2-TODAY()</f>
        <v>-554</v>
      </c>
      <c r="Z35" s="13">
        <f>IF(ISBLANK(Table210[[#This Row],[Roster Received By]]),1,0)</f>
        <v>1</v>
      </c>
      <c r="AA35" s="13">
        <f ca="1">IF(Table210[[#This Row],[Start Date]]&gt;TODAY(),1,)</f>
        <v>0</v>
      </c>
    </row>
    <row r="36" spans="1:27" s="94" customFormat="1" x14ac:dyDescent="0.25">
      <c r="A36" s="46"/>
      <c r="B36" s="58" t="s">
        <v>213</v>
      </c>
      <c r="C36" s="59" t="s">
        <v>214</v>
      </c>
      <c r="D36" s="59" t="s">
        <v>215</v>
      </c>
      <c r="E36" s="58"/>
      <c r="F36" s="61">
        <v>45698</v>
      </c>
      <c r="G36" s="61">
        <v>45702</v>
      </c>
      <c r="H36" s="67"/>
      <c r="I36" s="67">
        <v>0.33333333333333331</v>
      </c>
      <c r="J36" s="61"/>
      <c r="K36" s="61"/>
      <c r="L36" s="61"/>
      <c r="M36" s="61"/>
      <c r="N36" s="61"/>
      <c r="O36" s="58" t="s">
        <v>216</v>
      </c>
      <c r="P36" s="58"/>
      <c r="Q36" s="62">
        <v>45</v>
      </c>
      <c r="R36" s="149">
        <v>5</v>
      </c>
      <c r="S36" s="62"/>
      <c r="T36" s="62"/>
      <c r="U36" s="13"/>
      <c r="V36" s="13"/>
      <c r="W36" s="13"/>
      <c r="X36" s="58"/>
      <c r="Y36" s="51">
        <f ca="1">Table210[[#This Row],[End Date]]+2-TODAY()</f>
        <v>-540</v>
      </c>
      <c r="Z36" s="13">
        <f>IF(ISBLANK(Table210[[#This Row],[Roster Received By]]),1,0)</f>
        <v>1</v>
      </c>
      <c r="AA36" s="13">
        <f ca="1">IF(Table210[[#This Row],[Start Date]]&gt;TODAY(),1,)</f>
        <v>0</v>
      </c>
    </row>
    <row r="37" spans="1:27" s="95" customFormat="1" ht="14.25" customHeight="1" x14ac:dyDescent="0.25">
      <c r="A37" s="46"/>
      <c r="B37" s="58" t="s">
        <v>213</v>
      </c>
      <c r="C37" s="59" t="s">
        <v>214</v>
      </c>
      <c r="D37" s="59" t="s">
        <v>215</v>
      </c>
      <c r="E37" s="58"/>
      <c r="F37" s="61">
        <v>45711</v>
      </c>
      <c r="G37" s="61">
        <v>45715</v>
      </c>
      <c r="H37" s="64"/>
      <c r="I37" s="64">
        <v>0.79166666666666663</v>
      </c>
      <c r="J37" s="61"/>
      <c r="K37" s="61"/>
      <c r="L37" s="61"/>
      <c r="M37" s="61"/>
      <c r="N37" s="61"/>
      <c r="O37" s="58" t="s">
        <v>216</v>
      </c>
      <c r="P37" s="58"/>
      <c r="Q37" s="62">
        <v>45</v>
      </c>
      <c r="R37" s="149">
        <v>5</v>
      </c>
      <c r="S37" s="62"/>
      <c r="T37" s="62"/>
      <c r="U37" s="13"/>
      <c r="V37" s="13"/>
      <c r="W37" s="13"/>
      <c r="X37" s="58"/>
      <c r="Y37" s="51">
        <f ca="1">Table210[[#This Row],[End Date]]+2-TODAY()</f>
        <v>-527</v>
      </c>
      <c r="Z37" s="13">
        <f>IF(ISBLANK(Table210[[#This Row],[Roster Received By]]),1,0)</f>
        <v>1</v>
      </c>
      <c r="AA37" s="13">
        <f ca="1">IF(Table210[[#This Row],[Start Date]]&gt;TODAY(),1,)</f>
        <v>0</v>
      </c>
    </row>
    <row r="38" spans="1:27" s="65" customFormat="1" ht="14.25" customHeight="1" x14ac:dyDescent="0.25">
      <c r="A38" s="46"/>
      <c r="B38" s="58" t="s">
        <v>213</v>
      </c>
      <c r="C38" s="59" t="s">
        <v>214</v>
      </c>
      <c r="D38" s="59" t="s">
        <v>215</v>
      </c>
      <c r="E38" s="58"/>
      <c r="F38" s="61">
        <v>45726</v>
      </c>
      <c r="G38" s="61">
        <v>45730</v>
      </c>
      <c r="H38" s="64"/>
      <c r="I38" s="64">
        <v>0.54166666666666663</v>
      </c>
      <c r="J38" s="61"/>
      <c r="K38" s="61"/>
      <c r="L38" s="61"/>
      <c r="M38" s="61"/>
      <c r="N38" s="61"/>
      <c r="O38" s="58" t="s">
        <v>216</v>
      </c>
      <c r="P38" s="58"/>
      <c r="Q38" s="62">
        <v>45</v>
      </c>
      <c r="R38" s="149">
        <v>5</v>
      </c>
      <c r="S38" s="62"/>
      <c r="T38" s="62"/>
      <c r="U38" s="13"/>
      <c r="V38" s="13"/>
      <c r="W38" s="13"/>
      <c r="X38" s="58"/>
      <c r="Y38" s="51">
        <f ca="1">Table210[[#This Row],[End Date]]+2-TODAY()</f>
        <v>-512</v>
      </c>
      <c r="Z38" s="13">
        <f>IF(ISBLANK(Table210[[#This Row],[Roster Received By]]),1,0)</f>
        <v>1</v>
      </c>
      <c r="AA38" s="13">
        <f ca="1">IF(Table210[[#This Row],[Start Date]]&gt;TODAY(),1,)</f>
        <v>0</v>
      </c>
    </row>
    <row r="39" spans="1:27" s="65" customFormat="1" ht="14.25" customHeight="1" x14ac:dyDescent="0.25">
      <c r="A39" s="46"/>
      <c r="B39" s="58" t="s">
        <v>213</v>
      </c>
      <c r="C39" s="59" t="s">
        <v>214</v>
      </c>
      <c r="D39" s="59" t="s">
        <v>215</v>
      </c>
      <c r="E39" s="58"/>
      <c r="F39" s="61">
        <v>45754</v>
      </c>
      <c r="G39" s="61">
        <v>45758</v>
      </c>
      <c r="H39" s="64"/>
      <c r="I39" s="64">
        <v>0.54166666666666663</v>
      </c>
      <c r="J39" s="61"/>
      <c r="K39" s="61"/>
      <c r="L39" s="61"/>
      <c r="M39" s="61"/>
      <c r="N39" s="61"/>
      <c r="O39" s="58" t="s">
        <v>216</v>
      </c>
      <c r="P39" s="58"/>
      <c r="Q39" s="62">
        <v>45</v>
      </c>
      <c r="R39" s="149">
        <v>5</v>
      </c>
      <c r="S39" s="62"/>
      <c r="T39" s="62"/>
      <c r="U39" s="13"/>
      <c r="V39" s="13"/>
      <c r="W39" s="13"/>
      <c r="X39" s="58"/>
      <c r="Y39" s="51">
        <f ca="1">Table210[[#This Row],[End Date]]+2-TODAY()</f>
        <v>-484</v>
      </c>
      <c r="Z39" s="13">
        <f>IF(ISBLANK(Table210[[#This Row],[Roster Received By]]),1,0)</f>
        <v>1</v>
      </c>
      <c r="AA39" s="13">
        <f ca="1">IF(Table210[[#This Row],[Start Date]]&gt;TODAY(),1,)</f>
        <v>0</v>
      </c>
    </row>
    <row r="40" spans="1:27" s="65" customFormat="1" ht="14.25" customHeight="1" x14ac:dyDescent="0.25">
      <c r="A40" s="46"/>
      <c r="B40" s="58" t="s">
        <v>213</v>
      </c>
      <c r="C40" s="59" t="s">
        <v>214</v>
      </c>
      <c r="D40" s="59" t="s">
        <v>215</v>
      </c>
      <c r="E40" s="58"/>
      <c r="F40" s="61">
        <v>45782</v>
      </c>
      <c r="G40" s="61">
        <v>45786</v>
      </c>
      <c r="H40" s="64"/>
      <c r="I40" s="64">
        <v>0.33333333333333331</v>
      </c>
      <c r="J40" s="61"/>
      <c r="K40" s="61"/>
      <c r="L40" s="61"/>
      <c r="M40" s="61"/>
      <c r="N40" s="61"/>
      <c r="O40" s="58" t="s">
        <v>216</v>
      </c>
      <c r="P40" s="58"/>
      <c r="Q40" s="62">
        <v>45</v>
      </c>
      <c r="R40" s="149">
        <v>5</v>
      </c>
      <c r="S40" s="62"/>
      <c r="T40" s="62"/>
      <c r="U40" s="13"/>
      <c r="V40" s="13"/>
      <c r="W40" s="13"/>
      <c r="X40" s="58"/>
      <c r="Y40" s="51">
        <f ca="1">Table210[[#This Row],[End Date]]+2-TODAY()</f>
        <v>-456</v>
      </c>
      <c r="Z40" s="13">
        <f>IF(ISBLANK(Table210[[#This Row],[Roster Received By]]),1,0)</f>
        <v>1</v>
      </c>
      <c r="AA40" s="13">
        <f ca="1">IF(Table210[[#This Row],[Start Date]]&gt;TODAY(),1,)</f>
        <v>0</v>
      </c>
    </row>
    <row r="41" spans="1:27" s="65" customFormat="1" ht="14.25" customHeight="1" x14ac:dyDescent="0.25">
      <c r="A41" s="46"/>
      <c r="B41" s="58" t="s">
        <v>213</v>
      </c>
      <c r="C41" s="59" t="s">
        <v>214</v>
      </c>
      <c r="D41" s="59" t="s">
        <v>215</v>
      </c>
      <c r="E41" s="58"/>
      <c r="F41" s="61">
        <v>45795</v>
      </c>
      <c r="G41" s="61">
        <v>45799</v>
      </c>
      <c r="H41" s="64"/>
      <c r="I41" s="64">
        <v>0.79166666666666663</v>
      </c>
      <c r="J41" s="61"/>
      <c r="K41" s="61"/>
      <c r="L41" s="61"/>
      <c r="M41" s="61"/>
      <c r="N41" s="61"/>
      <c r="O41" s="58" t="s">
        <v>216</v>
      </c>
      <c r="P41" s="58"/>
      <c r="Q41" s="62">
        <v>45</v>
      </c>
      <c r="R41" s="149">
        <v>5</v>
      </c>
      <c r="S41" s="62"/>
      <c r="T41" s="62"/>
      <c r="U41" s="13"/>
      <c r="V41" s="13"/>
      <c r="W41" s="13"/>
      <c r="X41" s="58"/>
      <c r="Y41" s="51">
        <f ca="1">Table210[[#This Row],[End Date]]+2-TODAY()</f>
        <v>-443</v>
      </c>
      <c r="Z41" s="13">
        <f>IF(ISBLANK(Table210[[#This Row],[Roster Received By]]),1,0)</f>
        <v>1</v>
      </c>
      <c r="AA41" s="13">
        <f ca="1">IF(Table210[[#This Row],[Start Date]]&gt;TODAY(),1,)</f>
        <v>0</v>
      </c>
    </row>
    <row r="42" spans="1:27" s="65" customFormat="1" ht="14.25" customHeight="1" x14ac:dyDescent="0.25">
      <c r="A42" s="46"/>
      <c r="B42" s="58" t="s">
        <v>213</v>
      </c>
      <c r="C42" s="59" t="s">
        <v>214</v>
      </c>
      <c r="D42" s="59" t="s">
        <v>215</v>
      </c>
      <c r="E42" s="58"/>
      <c r="F42" s="61">
        <v>45831</v>
      </c>
      <c r="G42" s="61">
        <v>45835</v>
      </c>
      <c r="H42" s="67"/>
      <c r="I42" s="67">
        <v>0.54166666666666663</v>
      </c>
      <c r="J42" s="61"/>
      <c r="K42" s="61"/>
      <c r="L42" s="61"/>
      <c r="M42" s="61"/>
      <c r="N42" s="61"/>
      <c r="O42" s="58" t="s">
        <v>216</v>
      </c>
      <c r="P42" s="58"/>
      <c r="Q42" s="62">
        <v>45</v>
      </c>
      <c r="R42" s="149">
        <v>5</v>
      </c>
      <c r="S42" s="62"/>
      <c r="T42" s="62"/>
      <c r="U42" s="13"/>
      <c r="V42" s="13"/>
      <c r="W42" s="13"/>
      <c r="X42" s="58"/>
      <c r="Y42" s="51">
        <f ca="1">Table210[[#This Row],[End Date]]+2-TODAY()</f>
        <v>-407</v>
      </c>
      <c r="Z42" s="13">
        <f>IF(ISBLANK(Table210[[#This Row],[Roster Received By]]),1,0)</f>
        <v>1</v>
      </c>
      <c r="AA42" s="13">
        <f ca="1">IF(Table210[[#This Row],[Start Date]]&gt;TODAY(),1,)</f>
        <v>0</v>
      </c>
    </row>
    <row r="43" spans="1:27" s="65" customFormat="1" ht="14.25" customHeight="1" x14ac:dyDescent="0.25">
      <c r="A43" s="46"/>
      <c r="B43" s="58" t="s">
        <v>213</v>
      </c>
      <c r="C43" s="59" t="s">
        <v>214</v>
      </c>
      <c r="D43" s="59" t="s">
        <v>215</v>
      </c>
      <c r="E43" s="58"/>
      <c r="F43" s="61">
        <v>45845</v>
      </c>
      <c r="G43" s="61">
        <v>45849</v>
      </c>
      <c r="H43" s="67"/>
      <c r="I43" s="67">
        <v>0.54166666666666663</v>
      </c>
      <c r="J43" s="61"/>
      <c r="K43" s="61"/>
      <c r="L43" s="61"/>
      <c r="M43" s="61"/>
      <c r="N43" s="61"/>
      <c r="O43" s="58" t="s">
        <v>216</v>
      </c>
      <c r="P43" s="58"/>
      <c r="Q43" s="62">
        <v>45</v>
      </c>
      <c r="R43" s="149">
        <v>5</v>
      </c>
      <c r="S43" s="62"/>
      <c r="T43" s="62"/>
      <c r="U43" s="13"/>
      <c r="V43" s="13"/>
      <c r="W43" s="59"/>
      <c r="X43" s="58"/>
      <c r="Y43" s="51">
        <f ca="1">Table210[[#This Row],[End Date]]+2-TODAY()</f>
        <v>-393</v>
      </c>
      <c r="Z43" s="13">
        <f>IF(ISBLANK(Table210[[#This Row],[Roster Received By]]),1,0)</f>
        <v>1</v>
      </c>
      <c r="AA43" s="13">
        <f ca="1">IF(Table210[[#This Row],[Start Date]]&gt;TODAY(),1,)</f>
        <v>0</v>
      </c>
    </row>
    <row r="44" spans="1:27" s="65" customFormat="1" ht="14.25" customHeight="1" x14ac:dyDescent="0.25">
      <c r="A44" s="46"/>
      <c r="B44" s="58" t="s">
        <v>213</v>
      </c>
      <c r="C44" s="59" t="s">
        <v>214</v>
      </c>
      <c r="D44" s="59" t="s">
        <v>215</v>
      </c>
      <c r="E44" s="58"/>
      <c r="F44" s="61">
        <v>45866</v>
      </c>
      <c r="G44" s="61">
        <v>45870</v>
      </c>
      <c r="H44" s="67"/>
      <c r="I44" s="67">
        <v>0.54166666666666663</v>
      </c>
      <c r="J44" s="61"/>
      <c r="K44" s="61"/>
      <c r="L44" s="61"/>
      <c r="M44" s="61"/>
      <c r="N44" s="61"/>
      <c r="O44" s="58" t="s">
        <v>216</v>
      </c>
      <c r="P44" s="58"/>
      <c r="Q44" s="62">
        <v>45</v>
      </c>
      <c r="R44" s="149">
        <v>5</v>
      </c>
      <c r="S44" s="62"/>
      <c r="T44" s="62"/>
      <c r="U44" s="13"/>
      <c r="V44" s="13"/>
      <c r="W44" s="59"/>
      <c r="X44" s="58"/>
      <c r="Y44" s="51">
        <f ca="1">Table210[[#This Row],[End Date]]+2-TODAY()</f>
        <v>-372</v>
      </c>
      <c r="Z44" s="13">
        <f>IF(ISBLANK(Table210[[#This Row],[Roster Received By]]),1,0)</f>
        <v>1</v>
      </c>
      <c r="AA44" s="13">
        <f ca="1">IF(Table210[[#This Row],[Start Date]]&gt;TODAY(),1,)</f>
        <v>0</v>
      </c>
    </row>
    <row r="45" spans="1:27" s="65" customFormat="1" ht="14.25" customHeight="1" x14ac:dyDescent="0.25">
      <c r="A45" s="46"/>
      <c r="B45" s="58" t="s">
        <v>213</v>
      </c>
      <c r="C45" s="59" t="s">
        <v>214</v>
      </c>
      <c r="D45" s="59" t="s">
        <v>215</v>
      </c>
      <c r="E45" s="58"/>
      <c r="F45" s="61">
        <v>45886</v>
      </c>
      <c r="G45" s="61">
        <v>45890</v>
      </c>
      <c r="H45" s="64"/>
      <c r="I45" s="64">
        <v>0.79166666666666663</v>
      </c>
      <c r="J45" s="61"/>
      <c r="K45" s="61"/>
      <c r="L45" s="61"/>
      <c r="M45" s="61"/>
      <c r="N45" s="61"/>
      <c r="O45" s="58" t="s">
        <v>216</v>
      </c>
      <c r="P45" s="58"/>
      <c r="Q45" s="62">
        <v>45</v>
      </c>
      <c r="R45" s="149">
        <v>5</v>
      </c>
      <c r="S45" s="62"/>
      <c r="T45" s="62"/>
      <c r="U45" s="13"/>
      <c r="V45" s="13"/>
      <c r="W45" s="13"/>
      <c r="X45" s="58"/>
      <c r="Y45" s="51">
        <f ca="1">Table210[[#This Row],[End Date]]+2-TODAY()</f>
        <v>-352</v>
      </c>
      <c r="Z45" s="13">
        <f>IF(ISBLANK(Table210[[#This Row],[Roster Received By]]),1,0)</f>
        <v>1</v>
      </c>
      <c r="AA45" s="13">
        <f ca="1">IF(Table210[[#This Row],[Start Date]]&gt;TODAY(),1,)</f>
        <v>0</v>
      </c>
    </row>
    <row r="46" spans="1:27" s="65" customFormat="1" ht="16.5" customHeight="1" x14ac:dyDescent="0.25">
      <c r="A46" s="46"/>
      <c r="B46" s="96" t="s">
        <v>213</v>
      </c>
      <c r="C46" s="59" t="s">
        <v>214</v>
      </c>
      <c r="D46" s="59" t="s">
        <v>215</v>
      </c>
      <c r="E46" s="58"/>
      <c r="F46" s="61">
        <v>45915</v>
      </c>
      <c r="G46" s="61">
        <v>45919</v>
      </c>
      <c r="H46" s="61"/>
      <c r="I46" s="60">
        <v>0.33333333333333331</v>
      </c>
      <c r="J46" s="64"/>
      <c r="K46" s="64"/>
      <c r="L46" s="64"/>
      <c r="M46" s="64"/>
      <c r="N46" s="64"/>
      <c r="O46" s="58" t="s">
        <v>216</v>
      </c>
      <c r="P46" s="58"/>
      <c r="Q46" s="13">
        <v>45</v>
      </c>
      <c r="R46" s="145">
        <v>5</v>
      </c>
      <c r="S46" s="13"/>
      <c r="T46" s="62"/>
      <c r="U46" s="13"/>
      <c r="V46" s="13"/>
      <c r="W46" s="13"/>
      <c r="X46" s="58"/>
      <c r="Y46" s="51">
        <f ca="1">Table210[[#This Row],[End Date]]+2-TODAY()</f>
        <v>-323</v>
      </c>
      <c r="Z46" s="13">
        <f>IF(ISBLANK(Table210[[#This Row],[Roster Received By]]),1,0)</f>
        <v>1</v>
      </c>
      <c r="AA46" s="13">
        <f ca="1">IF(Table210[[#This Row],[Start Date]]&gt;TODAY(),1,)</f>
        <v>0</v>
      </c>
    </row>
    <row r="47" spans="1:27" s="65" customFormat="1" ht="16.5" customHeight="1" x14ac:dyDescent="0.25">
      <c r="A47" s="111" t="s">
        <v>217</v>
      </c>
      <c r="B47" s="111" t="s">
        <v>218</v>
      </c>
      <c r="C47" s="113" t="s">
        <v>218</v>
      </c>
      <c r="D47" s="113" t="s">
        <v>218</v>
      </c>
      <c r="E47" s="111"/>
      <c r="F47" s="126">
        <v>45579</v>
      </c>
      <c r="G47" s="114">
        <v>45579</v>
      </c>
      <c r="H47" s="114"/>
      <c r="I47" s="115"/>
      <c r="J47" s="117"/>
      <c r="K47" s="117"/>
      <c r="L47" s="117"/>
      <c r="M47" s="117"/>
      <c r="N47" s="117"/>
      <c r="O47" s="111"/>
      <c r="P47" s="111"/>
      <c r="Q47" s="116">
        <v>0</v>
      </c>
      <c r="R47" s="116">
        <v>0</v>
      </c>
      <c r="S47" s="13"/>
      <c r="T47" s="62"/>
      <c r="U47" s="13"/>
      <c r="V47" s="13"/>
      <c r="W47" s="13"/>
      <c r="X47" s="58"/>
      <c r="Y47" s="51">
        <f ca="1">Table210[[#This Row],[End Date]]+2-TODAY()</f>
        <v>-663</v>
      </c>
      <c r="Z47" s="13">
        <f>IF(ISBLANK(Table210[[#This Row],[Roster Received By]]),1,0)</f>
        <v>1</v>
      </c>
      <c r="AA47" s="13">
        <f ca="1">IF(Table210[[#This Row],[Start Date]]&gt;TODAY(),1,)</f>
        <v>0</v>
      </c>
    </row>
    <row r="48" spans="1:27" s="65" customFormat="1" ht="14.25" customHeight="1" x14ac:dyDescent="0.25">
      <c r="A48" s="110" t="s">
        <v>219</v>
      </c>
      <c r="B48" s="111" t="s">
        <v>218</v>
      </c>
      <c r="C48" s="113" t="s">
        <v>218</v>
      </c>
      <c r="D48" s="113" t="s">
        <v>218</v>
      </c>
      <c r="E48" s="140"/>
      <c r="F48" s="114">
        <v>45607</v>
      </c>
      <c r="G48" s="114">
        <v>45607</v>
      </c>
      <c r="H48" s="117"/>
      <c r="I48" s="117"/>
      <c r="J48" s="114"/>
      <c r="K48" s="114"/>
      <c r="L48" s="114"/>
      <c r="M48" s="114"/>
      <c r="N48" s="114"/>
      <c r="O48" s="111"/>
      <c r="P48" s="111"/>
      <c r="Q48" s="116">
        <v>0</v>
      </c>
      <c r="R48" s="116">
        <v>0</v>
      </c>
      <c r="S48" s="116"/>
      <c r="T48" s="141"/>
      <c r="U48" s="116"/>
      <c r="V48" s="116"/>
      <c r="W48" s="113"/>
      <c r="X48" s="111"/>
      <c r="Y48" s="142">
        <f ca="1">Table210[[#This Row],[End Date]]+2-TODAY()</f>
        <v>-635</v>
      </c>
      <c r="Z48" s="116">
        <f>IF(ISBLANK(Table210[[#This Row],[Roster Received By]]),1,0)</f>
        <v>1</v>
      </c>
      <c r="AA48" s="116">
        <f ca="1">IF(Table210[[#This Row],[Start Date]]&gt;TODAY(),1,)</f>
        <v>0</v>
      </c>
    </row>
    <row r="49" spans="1:27" s="65" customFormat="1" ht="14.25" customHeight="1" x14ac:dyDescent="0.25">
      <c r="A49" s="110" t="s">
        <v>220</v>
      </c>
      <c r="B49" s="111" t="s">
        <v>218</v>
      </c>
      <c r="C49" s="113" t="s">
        <v>218</v>
      </c>
      <c r="D49" s="113" t="s">
        <v>218</v>
      </c>
      <c r="E49" s="111"/>
      <c r="F49" s="114">
        <v>45624</v>
      </c>
      <c r="G49" s="114">
        <v>45624</v>
      </c>
      <c r="H49" s="143"/>
      <c r="I49" s="117"/>
      <c r="J49" s="114"/>
      <c r="K49" s="114"/>
      <c r="L49" s="114"/>
      <c r="M49" s="114"/>
      <c r="N49" s="114"/>
      <c r="O49" s="111"/>
      <c r="P49" s="111"/>
      <c r="Q49" s="116">
        <v>0</v>
      </c>
      <c r="R49" s="116">
        <v>0</v>
      </c>
      <c r="S49" s="141"/>
      <c r="T49" s="141"/>
      <c r="U49" s="116"/>
      <c r="V49" s="116"/>
      <c r="W49" s="116"/>
      <c r="X49" s="111"/>
      <c r="Y49" s="142">
        <f ca="1">Table210[[#This Row],[End Date]]+2-TODAY()</f>
        <v>-618</v>
      </c>
      <c r="Z49" s="116">
        <f>IF(ISBLANK(Table210[[#This Row],[Roster Received By]]),1,0)</f>
        <v>1</v>
      </c>
      <c r="AA49" s="116">
        <f ca="1">IF(Table210[[#This Row],[Start Date]]&gt;TODAY(),1,)</f>
        <v>0</v>
      </c>
    </row>
    <row r="50" spans="1:27" s="65" customFormat="1" ht="14.25" customHeight="1" x14ac:dyDescent="0.25">
      <c r="A50" s="110" t="s">
        <v>221</v>
      </c>
      <c r="B50" s="111" t="s">
        <v>218</v>
      </c>
      <c r="C50" s="113" t="s">
        <v>218</v>
      </c>
      <c r="D50" s="113" t="s">
        <v>218</v>
      </c>
      <c r="E50" s="111"/>
      <c r="F50" s="114">
        <v>45651</v>
      </c>
      <c r="G50" s="114">
        <v>45651</v>
      </c>
      <c r="H50" s="114"/>
      <c r="I50" s="115"/>
      <c r="J50" s="115"/>
      <c r="K50" s="115"/>
      <c r="L50" s="115"/>
      <c r="M50" s="115"/>
      <c r="N50" s="115"/>
      <c r="O50" s="111"/>
      <c r="P50" s="111"/>
      <c r="Q50" s="116">
        <v>0</v>
      </c>
      <c r="R50" s="116">
        <v>0</v>
      </c>
      <c r="S50" s="116"/>
      <c r="T50" s="141"/>
      <c r="U50" s="116"/>
      <c r="V50" s="116"/>
      <c r="W50" s="116"/>
      <c r="X50" s="111"/>
      <c r="Y50" s="142">
        <f ca="1">Table210[[#This Row],[End Date]]+2-TODAY()</f>
        <v>-591</v>
      </c>
      <c r="Z50" s="116">
        <f>IF(ISBLANK(Table210[[#This Row],[Roster Received By]]),1,0)</f>
        <v>1</v>
      </c>
      <c r="AA50" s="116">
        <f ca="1">IF(Table210[[#This Row],[Start Date]]&gt;TODAY(),1,)</f>
        <v>0</v>
      </c>
    </row>
    <row r="51" spans="1:27" s="65" customFormat="1" ht="14.25" customHeight="1" x14ac:dyDescent="0.25">
      <c r="A51" s="111" t="s">
        <v>222</v>
      </c>
      <c r="B51" s="111" t="s">
        <v>218</v>
      </c>
      <c r="C51" s="113" t="s">
        <v>218</v>
      </c>
      <c r="D51" s="113" t="s">
        <v>218</v>
      </c>
      <c r="E51" s="140"/>
      <c r="F51" s="114">
        <v>45658</v>
      </c>
      <c r="G51" s="114">
        <v>45658</v>
      </c>
      <c r="H51" s="143"/>
      <c r="I51" s="143"/>
      <c r="J51" s="114"/>
      <c r="K51" s="114"/>
      <c r="L51" s="114"/>
      <c r="M51" s="114"/>
      <c r="N51" s="114"/>
      <c r="O51" s="111"/>
      <c r="P51" s="111"/>
      <c r="Q51" s="116">
        <v>0</v>
      </c>
      <c r="R51" s="116">
        <v>0</v>
      </c>
      <c r="S51" s="116"/>
      <c r="T51" s="141"/>
      <c r="U51" s="116"/>
      <c r="V51" s="116"/>
      <c r="W51" s="116"/>
      <c r="X51" s="111"/>
      <c r="Y51" s="142">
        <f ca="1">Table210[[#This Row],[End Date]]+2-TODAY()</f>
        <v>-584</v>
      </c>
      <c r="Z51" s="116">
        <f>IF(ISBLANK(Table210[[#This Row],[Roster Received By]]),1,0)</f>
        <v>1</v>
      </c>
      <c r="AA51" s="116">
        <f ca="1">IF(Table210[[#This Row],[Start Date]]&gt;TODAY(),1,)</f>
        <v>0</v>
      </c>
    </row>
    <row r="52" spans="1:27" s="97" customFormat="1" ht="14.25" customHeight="1" x14ac:dyDescent="0.25">
      <c r="A52" s="111" t="s">
        <v>223</v>
      </c>
      <c r="B52" s="111" t="s">
        <v>218</v>
      </c>
      <c r="C52" s="113" t="s">
        <v>218</v>
      </c>
      <c r="D52" s="113" t="s">
        <v>218</v>
      </c>
      <c r="E52" s="111"/>
      <c r="F52" s="114">
        <v>45677</v>
      </c>
      <c r="G52" s="114">
        <v>45677</v>
      </c>
      <c r="H52" s="143"/>
      <c r="I52" s="117"/>
      <c r="J52" s="114"/>
      <c r="K52" s="114"/>
      <c r="L52" s="114"/>
      <c r="M52" s="114"/>
      <c r="N52" s="114"/>
      <c r="O52" s="111"/>
      <c r="P52" s="111"/>
      <c r="Q52" s="116">
        <v>0</v>
      </c>
      <c r="R52" s="116">
        <v>0</v>
      </c>
      <c r="S52" s="141"/>
      <c r="T52" s="141"/>
      <c r="U52" s="116"/>
      <c r="V52" s="116"/>
      <c r="W52" s="113"/>
      <c r="X52" s="111"/>
      <c r="Y52" s="142">
        <f ca="1">Table210[[#This Row],[End Date]]+2-TODAY()</f>
        <v>-565</v>
      </c>
      <c r="Z52" s="116">
        <f>IF(ISBLANK(Table210[[#This Row],[Roster Received By]]),1,0)</f>
        <v>1</v>
      </c>
      <c r="AA52" s="116">
        <f ca="1">IF(Table210[[#This Row],[Start Date]]&gt;TODAY(),1,)</f>
        <v>0</v>
      </c>
    </row>
    <row r="53" spans="1:27" s="65" customFormat="1" ht="16.5" customHeight="1" x14ac:dyDescent="0.25">
      <c r="A53" s="110" t="s">
        <v>224</v>
      </c>
      <c r="B53" s="111" t="s">
        <v>218</v>
      </c>
      <c r="C53" s="113" t="s">
        <v>218</v>
      </c>
      <c r="D53" s="113" t="s">
        <v>218</v>
      </c>
      <c r="E53" s="111"/>
      <c r="F53" s="114">
        <v>45705</v>
      </c>
      <c r="G53" s="114">
        <v>45705</v>
      </c>
      <c r="H53" s="117"/>
      <c r="I53" s="117"/>
      <c r="J53" s="117"/>
      <c r="K53" s="117"/>
      <c r="L53" s="117"/>
      <c r="M53" s="117"/>
      <c r="N53" s="117"/>
      <c r="O53" s="111"/>
      <c r="P53" s="111"/>
      <c r="Q53" s="116">
        <v>0</v>
      </c>
      <c r="R53" s="116">
        <v>0</v>
      </c>
      <c r="S53" s="116"/>
      <c r="T53" s="141"/>
      <c r="U53" s="116"/>
      <c r="V53" s="116"/>
      <c r="W53" s="116"/>
      <c r="X53" s="111"/>
      <c r="Y53" s="142">
        <f ca="1">Table210[[#This Row],[End Date]]+2-TODAY()</f>
        <v>-537</v>
      </c>
      <c r="Z53" s="116">
        <f>IF(ISBLANK(Table210[[#This Row],[Roster Received By]]),1,0)</f>
        <v>1</v>
      </c>
      <c r="AA53" s="116">
        <f ca="1">IF(Table210[[#This Row],[Start Date]]&gt;TODAY(),1,)</f>
        <v>0</v>
      </c>
    </row>
    <row r="54" spans="1:27" s="65" customFormat="1" ht="16.5" customHeight="1" x14ac:dyDescent="0.25">
      <c r="A54" s="110" t="s">
        <v>225</v>
      </c>
      <c r="B54" s="111" t="s">
        <v>218</v>
      </c>
      <c r="C54" s="113" t="s">
        <v>218</v>
      </c>
      <c r="D54" s="113" t="s">
        <v>218</v>
      </c>
      <c r="E54" s="140"/>
      <c r="F54" s="114">
        <v>45803</v>
      </c>
      <c r="G54" s="114">
        <v>45803</v>
      </c>
      <c r="H54" s="143"/>
      <c r="I54" s="143"/>
      <c r="J54" s="114"/>
      <c r="K54" s="114"/>
      <c r="L54" s="114"/>
      <c r="M54" s="114"/>
      <c r="N54" s="114"/>
      <c r="O54" s="111"/>
      <c r="P54" s="111"/>
      <c r="Q54" s="116">
        <v>0</v>
      </c>
      <c r="R54" s="116">
        <v>0</v>
      </c>
      <c r="S54" s="116"/>
      <c r="T54" s="141"/>
      <c r="U54" s="116"/>
      <c r="V54" s="116"/>
      <c r="W54" s="116"/>
      <c r="X54" s="111"/>
      <c r="Y54" s="142">
        <f ca="1">Table210[[#This Row],[End Date]]+2-TODAY()</f>
        <v>-439</v>
      </c>
      <c r="Z54" s="116">
        <f>IF(ISBLANK(Table210[[#This Row],[Roster Received By]]),1,0)</f>
        <v>1</v>
      </c>
      <c r="AA54" s="116">
        <f ca="1">IF(Table210[[#This Row],[Start Date]]&gt;TODAY(),1,)</f>
        <v>0</v>
      </c>
    </row>
    <row r="55" spans="1:27" s="65" customFormat="1" ht="14.25" customHeight="1" x14ac:dyDescent="0.25">
      <c r="A55" s="110" t="s">
        <v>226</v>
      </c>
      <c r="B55" s="111" t="s">
        <v>218</v>
      </c>
      <c r="C55" s="113" t="s">
        <v>218</v>
      </c>
      <c r="D55" s="113" t="s">
        <v>218</v>
      </c>
      <c r="E55" s="140"/>
      <c r="F55" s="114">
        <v>45827</v>
      </c>
      <c r="G55" s="114">
        <v>45827</v>
      </c>
      <c r="H55" s="143"/>
      <c r="I55" s="143"/>
      <c r="J55" s="114"/>
      <c r="K55" s="114"/>
      <c r="L55" s="114"/>
      <c r="M55" s="114"/>
      <c r="N55" s="114"/>
      <c r="O55" s="111"/>
      <c r="P55" s="111"/>
      <c r="Q55" s="116">
        <v>0</v>
      </c>
      <c r="R55" s="116">
        <v>0</v>
      </c>
      <c r="S55" s="116"/>
      <c r="T55" s="141"/>
      <c r="U55" s="116"/>
      <c r="V55" s="116"/>
      <c r="W55" s="116"/>
      <c r="X55" s="111"/>
      <c r="Y55" s="142">
        <f ca="1">Table210[[#This Row],[End Date]]+2-TODAY()</f>
        <v>-415</v>
      </c>
      <c r="Z55" s="116">
        <f>IF(ISBLANK(Table210[[#This Row],[Roster Received By]]),1,0)</f>
        <v>1</v>
      </c>
      <c r="AA55" s="116">
        <f ca="1">IF(Table210[[#This Row],[Start Date]]&gt;TODAY(),1,)</f>
        <v>0</v>
      </c>
    </row>
    <row r="56" spans="1:27" s="65" customFormat="1" ht="14.25" customHeight="1" x14ac:dyDescent="0.25">
      <c r="A56" s="110" t="s">
        <v>227</v>
      </c>
      <c r="B56" s="111" t="s">
        <v>218</v>
      </c>
      <c r="C56" s="113" t="s">
        <v>218</v>
      </c>
      <c r="D56" s="113" t="s">
        <v>218</v>
      </c>
      <c r="E56" s="140"/>
      <c r="F56" s="114">
        <v>45842</v>
      </c>
      <c r="G56" s="114">
        <v>45842</v>
      </c>
      <c r="H56" s="143"/>
      <c r="I56" s="143"/>
      <c r="J56" s="114"/>
      <c r="K56" s="114"/>
      <c r="L56" s="114"/>
      <c r="M56" s="114"/>
      <c r="N56" s="114"/>
      <c r="O56" s="111"/>
      <c r="P56" s="111"/>
      <c r="Q56" s="116">
        <v>0</v>
      </c>
      <c r="R56" s="116">
        <v>0</v>
      </c>
      <c r="S56" s="116"/>
      <c r="T56" s="141"/>
      <c r="U56" s="116"/>
      <c r="V56" s="116"/>
      <c r="W56" s="113"/>
      <c r="X56" s="111"/>
      <c r="Y56" s="142">
        <f ca="1">Table210[[#This Row],[End Date]]+2-TODAY()</f>
        <v>-400</v>
      </c>
      <c r="Z56" s="116">
        <f>IF(ISBLANK(Table210[[#This Row],[Roster Received By]]),1,0)</f>
        <v>1</v>
      </c>
      <c r="AA56" s="116">
        <f ca="1">IF(Table210[[#This Row],[Start Date]]&gt;TODAY(),1,)</f>
        <v>0</v>
      </c>
    </row>
    <row r="57" spans="1:27" s="65" customFormat="1" ht="14.25" customHeight="1" x14ac:dyDescent="0.25">
      <c r="A57" s="110" t="s">
        <v>228</v>
      </c>
      <c r="B57" s="144" t="s">
        <v>218</v>
      </c>
      <c r="C57" s="113" t="s">
        <v>218</v>
      </c>
      <c r="D57" s="113" t="s">
        <v>218</v>
      </c>
      <c r="E57" s="140"/>
      <c r="F57" s="114">
        <v>45901</v>
      </c>
      <c r="G57" s="114">
        <v>45901</v>
      </c>
      <c r="H57" s="117"/>
      <c r="I57" s="117"/>
      <c r="J57" s="114"/>
      <c r="K57" s="114"/>
      <c r="L57" s="114"/>
      <c r="M57" s="114"/>
      <c r="N57" s="114"/>
      <c r="O57" s="111"/>
      <c r="P57" s="111"/>
      <c r="Q57" s="116">
        <v>0</v>
      </c>
      <c r="R57" s="116">
        <v>0</v>
      </c>
      <c r="S57" s="116"/>
      <c r="T57" s="141"/>
      <c r="U57" s="116"/>
      <c r="V57" s="116"/>
      <c r="W57" s="116"/>
      <c r="X57" s="111"/>
      <c r="Y57" s="142">
        <f ca="1">Table210[[#This Row],[End Date]]+2-TODAY()</f>
        <v>-341</v>
      </c>
      <c r="Z57" s="116">
        <f>IF(ISBLANK(Table210[[#This Row],[Roster Received By]]),1,0)</f>
        <v>1</v>
      </c>
      <c r="AA57" s="116">
        <f ca="1">IF(Table210[[#This Row],[Start Date]]&gt;TODAY(),1,)</f>
        <v>0</v>
      </c>
    </row>
    <row r="58" spans="1:27" s="65" customFormat="1" ht="16.5" customHeight="1" x14ac:dyDescent="0.25">
      <c r="A58" s="59"/>
      <c r="B58" s="75" t="s">
        <v>229</v>
      </c>
      <c r="C58" s="59" t="s">
        <v>230</v>
      </c>
      <c r="D58" s="59" t="s">
        <v>231</v>
      </c>
      <c r="E58" s="58"/>
      <c r="F58" s="61">
        <v>45565</v>
      </c>
      <c r="G58" s="61">
        <v>45568</v>
      </c>
      <c r="H58" s="64"/>
      <c r="I58" s="64">
        <v>0.54166666666666663</v>
      </c>
      <c r="J58" s="61"/>
      <c r="K58" s="61"/>
      <c r="L58" s="61"/>
      <c r="M58" s="61"/>
      <c r="N58" s="61"/>
      <c r="O58" s="58" t="s">
        <v>199</v>
      </c>
      <c r="P58" s="58"/>
      <c r="Q58" s="146">
        <v>45</v>
      </c>
      <c r="R58" s="149">
        <v>4</v>
      </c>
      <c r="S58" s="146"/>
      <c r="T58" s="146"/>
      <c r="U58" s="66"/>
      <c r="V58" s="66"/>
      <c r="W58" s="66"/>
      <c r="X58" s="66"/>
      <c r="Y58" s="150">
        <f ca="1">Table210[[#This Row],[End Date]]+2-TODAY()</f>
        <v>-674</v>
      </c>
      <c r="Z58" s="59">
        <f>IF(ISBLANK(Table210[[#This Row],[Roster Received By]]),1,0)</f>
        <v>1</v>
      </c>
      <c r="AA58" s="59">
        <f ca="1">IF(Table210[[#This Row],[Start Date]]&gt;TODAY(),1,)</f>
        <v>0</v>
      </c>
    </row>
    <row r="59" spans="1:27" s="65" customFormat="1" ht="16.5" customHeight="1" x14ac:dyDescent="0.25">
      <c r="A59" s="58"/>
      <c r="B59" s="76" t="s">
        <v>229</v>
      </c>
      <c r="C59" s="59" t="s">
        <v>230</v>
      </c>
      <c r="D59" s="59" t="s">
        <v>231</v>
      </c>
      <c r="E59" s="58"/>
      <c r="F59" s="61">
        <v>45585</v>
      </c>
      <c r="G59" s="61">
        <v>45589</v>
      </c>
      <c r="H59" s="64"/>
      <c r="I59" s="64">
        <v>0.79166666666666663</v>
      </c>
      <c r="J59" s="61"/>
      <c r="K59" s="61"/>
      <c r="L59" s="61"/>
      <c r="M59" s="61"/>
      <c r="N59" s="61"/>
      <c r="O59" s="58" t="s">
        <v>199</v>
      </c>
      <c r="P59" s="58"/>
      <c r="Q59" s="62">
        <v>45</v>
      </c>
      <c r="R59" s="149">
        <v>4</v>
      </c>
      <c r="S59" s="62"/>
      <c r="T59" s="62"/>
      <c r="U59" s="13"/>
      <c r="V59" s="13"/>
      <c r="W59" s="13"/>
      <c r="X59" s="58"/>
      <c r="Y59" s="51">
        <f ca="1">Table210[[#This Row],[End Date]]+2-TODAY()</f>
        <v>-653</v>
      </c>
      <c r="Z59" s="13">
        <f>IF(ISBLANK(Table210[[#This Row],[Roster Received By]]),1,0)</f>
        <v>1</v>
      </c>
      <c r="AA59" s="13">
        <f ca="1">IF(Table210[[#This Row],[Start Date]]&gt;TODAY(),1,)</f>
        <v>0</v>
      </c>
    </row>
    <row r="60" spans="1:27" s="65" customFormat="1" ht="14.25" customHeight="1" x14ac:dyDescent="0.25">
      <c r="A60" s="46"/>
      <c r="B60" s="76" t="s">
        <v>229</v>
      </c>
      <c r="C60" s="59" t="s">
        <v>230</v>
      </c>
      <c r="D60" s="59" t="s">
        <v>231</v>
      </c>
      <c r="E60" s="58"/>
      <c r="F60" s="61">
        <v>45614</v>
      </c>
      <c r="G60" s="61">
        <v>45617</v>
      </c>
      <c r="H60" s="64"/>
      <c r="I60" s="64">
        <v>0.33333333333333331</v>
      </c>
      <c r="J60" s="61"/>
      <c r="K60" s="61"/>
      <c r="L60" s="61"/>
      <c r="M60" s="61"/>
      <c r="N60" s="61"/>
      <c r="O60" s="58" t="s">
        <v>199</v>
      </c>
      <c r="P60" s="58"/>
      <c r="Q60" s="62">
        <v>45</v>
      </c>
      <c r="R60" s="149">
        <v>4</v>
      </c>
      <c r="S60" s="62"/>
      <c r="T60" s="62"/>
      <c r="U60" s="13"/>
      <c r="V60" s="13"/>
      <c r="W60" s="59"/>
      <c r="X60" s="58"/>
      <c r="Y60" s="51">
        <f ca="1">Table210[[#This Row],[End Date]]+2-TODAY()</f>
        <v>-625</v>
      </c>
      <c r="Z60" s="13">
        <f>IF(ISBLANK(Table210[[#This Row],[Roster Received By]]),1,0)</f>
        <v>1</v>
      </c>
      <c r="AA60" s="13">
        <f ca="1">IF(Table210[[#This Row],[Start Date]]&gt;TODAY(),1,)</f>
        <v>0</v>
      </c>
    </row>
    <row r="61" spans="1:27" s="65" customFormat="1" ht="14.25" customHeight="1" x14ac:dyDescent="0.25">
      <c r="A61" s="46"/>
      <c r="B61" s="76" t="s">
        <v>229</v>
      </c>
      <c r="C61" s="59" t="s">
        <v>230</v>
      </c>
      <c r="D61" s="59" t="s">
        <v>231</v>
      </c>
      <c r="E61" s="58"/>
      <c r="F61" s="61">
        <v>45628</v>
      </c>
      <c r="G61" s="61">
        <v>45631</v>
      </c>
      <c r="H61" s="67"/>
      <c r="I61" s="64">
        <v>0.54166666666666663</v>
      </c>
      <c r="J61" s="61"/>
      <c r="K61" s="61"/>
      <c r="L61" s="61"/>
      <c r="M61" s="61"/>
      <c r="N61" s="61"/>
      <c r="O61" s="58" t="s">
        <v>199</v>
      </c>
      <c r="P61" s="58"/>
      <c r="Q61" s="62">
        <v>45</v>
      </c>
      <c r="R61" s="149">
        <v>4</v>
      </c>
      <c r="S61" s="62"/>
      <c r="T61" s="62"/>
      <c r="U61" s="13"/>
      <c r="V61" s="13"/>
      <c r="W61" s="13"/>
      <c r="X61" s="58"/>
      <c r="Y61" s="51">
        <f ca="1">Table210[[#This Row],[End Date]]+2-TODAY()</f>
        <v>-611</v>
      </c>
      <c r="Z61" s="13">
        <f>IF(ISBLANK(Table210[[#This Row],[Roster Received By]]),1,0)</f>
        <v>1</v>
      </c>
      <c r="AA61" s="13">
        <f ca="1">IF(Table210[[#This Row],[Start Date]]&gt;TODAY(),1,)</f>
        <v>0</v>
      </c>
    </row>
    <row r="62" spans="1:27" s="65" customFormat="1" ht="14.25" customHeight="1" x14ac:dyDescent="0.25">
      <c r="A62" s="46"/>
      <c r="B62" s="76" t="s">
        <v>229</v>
      </c>
      <c r="C62" s="59" t="s">
        <v>230</v>
      </c>
      <c r="D62" s="59" t="s">
        <v>231</v>
      </c>
      <c r="E62" s="58"/>
      <c r="F62" s="61">
        <v>45663</v>
      </c>
      <c r="G62" s="61">
        <v>45666</v>
      </c>
      <c r="H62" s="67"/>
      <c r="I62" s="64">
        <v>0.54166666666666663</v>
      </c>
      <c r="J62" s="61"/>
      <c r="K62" s="61"/>
      <c r="L62" s="61"/>
      <c r="M62" s="61"/>
      <c r="N62" s="61"/>
      <c r="O62" s="58" t="s">
        <v>199</v>
      </c>
      <c r="P62" s="58"/>
      <c r="Q62" s="62">
        <v>45</v>
      </c>
      <c r="R62" s="149">
        <v>4</v>
      </c>
      <c r="S62" s="62"/>
      <c r="T62" s="62"/>
      <c r="U62" s="13"/>
      <c r="V62" s="13"/>
      <c r="W62" s="13"/>
      <c r="X62" s="58"/>
      <c r="Y62" s="51">
        <f ca="1">Table210[[#This Row],[End Date]]+2-TODAY()</f>
        <v>-576</v>
      </c>
      <c r="Z62" s="13">
        <f>IF(ISBLANK(Table210[[#This Row],[Roster Received By]]),1,0)</f>
        <v>1</v>
      </c>
      <c r="AA62" s="13">
        <f ca="1">IF(Table210[[#This Row],[Start Date]]&gt;TODAY(),1,)</f>
        <v>0</v>
      </c>
    </row>
    <row r="63" spans="1:27" s="65" customFormat="1" ht="14.25" customHeight="1" x14ac:dyDescent="0.25">
      <c r="A63" s="46"/>
      <c r="B63" s="76" t="s">
        <v>229</v>
      </c>
      <c r="C63" s="59" t="s">
        <v>230</v>
      </c>
      <c r="D63" s="59" t="s">
        <v>231</v>
      </c>
      <c r="E63" s="58"/>
      <c r="F63" s="61">
        <v>45684</v>
      </c>
      <c r="G63" s="61">
        <v>45687</v>
      </c>
      <c r="H63" s="67"/>
      <c r="I63" s="64">
        <v>0.54166666666666663</v>
      </c>
      <c r="J63" s="61"/>
      <c r="K63" s="61"/>
      <c r="L63" s="61"/>
      <c r="M63" s="61"/>
      <c r="N63" s="61"/>
      <c r="O63" s="58" t="s">
        <v>199</v>
      </c>
      <c r="P63" s="58"/>
      <c r="Q63" s="62">
        <v>45</v>
      </c>
      <c r="R63" s="149">
        <v>4</v>
      </c>
      <c r="S63" s="62"/>
      <c r="T63" s="62"/>
      <c r="U63" s="13"/>
      <c r="V63" s="13"/>
      <c r="W63" s="13"/>
      <c r="X63" s="58"/>
      <c r="Y63" s="51">
        <f ca="1">Table210[[#This Row],[End Date]]+2-TODAY()</f>
        <v>-555</v>
      </c>
      <c r="Z63" s="13">
        <f>IF(ISBLANK(Table210[[#This Row],[Roster Received By]]),1,0)</f>
        <v>1</v>
      </c>
      <c r="AA63" s="13">
        <f ca="1">IF(Table210[[#This Row],[Start Date]]&gt;TODAY(),1,)</f>
        <v>0</v>
      </c>
    </row>
    <row r="64" spans="1:27" s="98" customFormat="1" ht="14.25" customHeight="1" x14ac:dyDescent="0.25">
      <c r="A64" s="46"/>
      <c r="B64" s="76" t="s">
        <v>229</v>
      </c>
      <c r="C64" s="59" t="s">
        <v>230</v>
      </c>
      <c r="D64" s="59" t="s">
        <v>231</v>
      </c>
      <c r="E64" s="58"/>
      <c r="F64" s="61">
        <v>45690</v>
      </c>
      <c r="G64" s="61">
        <v>45693</v>
      </c>
      <c r="H64" s="67"/>
      <c r="I64" s="67">
        <v>0.79166666666666663</v>
      </c>
      <c r="J64" s="61"/>
      <c r="K64" s="61"/>
      <c r="L64" s="61"/>
      <c r="M64" s="61"/>
      <c r="N64" s="61"/>
      <c r="O64" s="58" t="s">
        <v>199</v>
      </c>
      <c r="P64" s="58"/>
      <c r="Q64" s="62">
        <v>45</v>
      </c>
      <c r="R64" s="149">
        <v>4</v>
      </c>
      <c r="S64" s="62"/>
      <c r="T64" s="62"/>
      <c r="U64" s="13"/>
      <c r="V64" s="13"/>
      <c r="W64" s="13"/>
      <c r="X64" s="58"/>
      <c r="Y64" s="51">
        <f ca="1">Table210[[#This Row],[End Date]]+2-TODAY()</f>
        <v>-549</v>
      </c>
      <c r="Z64" s="13">
        <f>IF(ISBLANK(Table210[[#This Row],[Roster Received By]]),1,0)</f>
        <v>1</v>
      </c>
      <c r="AA64" s="13">
        <f ca="1">IF(Table210[[#This Row],[Start Date]]&gt;TODAY(),1,)</f>
        <v>0</v>
      </c>
    </row>
    <row r="65" spans="1:27" s="94" customFormat="1" ht="14.25" customHeight="1" x14ac:dyDescent="0.25">
      <c r="A65" s="46"/>
      <c r="B65" s="76" t="s">
        <v>229</v>
      </c>
      <c r="C65" s="59" t="s">
        <v>230</v>
      </c>
      <c r="D65" s="59" t="s">
        <v>231</v>
      </c>
      <c r="E65" s="58"/>
      <c r="F65" s="61">
        <v>45712</v>
      </c>
      <c r="G65" s="61">
        <v>45715</v>
      </c>
      <c r="H65" s="64"/>
      <c r="I65" s="64">
        <v>0.33333333333333331</v>
      </c>
      <c r="J65" s="61"/>
      <c r="K65" s="61"/>
      <c r="L65" s="61"/>
      <c r="M65" s="61"/>
      <c r="N65" s="61"/>
      <c r="O65" s="58" t="s">
        <v>199</v>
      </c>
      <c r="P65" s="58"/>
      <c r="Q65" s="62">
        <v>45</v>
      </c>
      <c r="R65" s="149">
        <v>4</v>
      </c>
      <c r="S65" s="62"/>
      <c r="T65" s="62"/>
      <c r="U65" s="13"/>
      <c r="V65" s="13"/>
      <c r="W65" s="13"/>
      <c r="X65" s="58"/>
      <c r="Y65" s="51">
        <f ca="1">Table210[[#This Row],[End Date]]+2-TODAY()</f>
        <v>-527</v>
      </c>
      <c r="Z65" s="13">
        <f>IF(ISBLANK(Table210[[#This Row],[Roster Received By]]),1,0)</f>
        <v>1</v>
      </c>
      <c r="AA65" s="13">
        <f ca="1">IF(Table210[[#This Row],[Start Date]]&gt;TODAY(),1,)</f>
        <v>0</v>
      </c>
    </row>
    <row r="66" spans="1:27" s="94" customFormat="1" ht="14.25" customHeight="1" x14ac:dyDescent="0.25">
      <c r="A66" s="46"/>
      <c r="B66" s="76" t="s">
        <v>229</v>
      </c>
      <c r="C66" s="59" t="s">
        <v>230</v>
      </c>
      <c r="D66" s="59" t="s">
        <v>231</v>
      </c>
      <c r="E66" s="58"/>
      <c r="F66" s="61">
        <v>45719</v>
      </c>
      <c r="G66" s="61">
        <v>45722</v>
      </c>
      <c r="H66" s="64"/>
      <c r="I66" s="64">
        <v>0.54166666666666663</v>
      </c>
      <c r="J66" s="61"/>
      <c r="K66" s="61"/>
      <c r="L66" s="61"/>
      <c r="M66" s="61"/>
      <c r="N66" s="61"/>
      <c r="O66" s="58" t="s">
        <v>199</v>
      </c>
      <c r="P66" s="58"/>
      <c r="Q66" s="62">
        <v>45</v>
      </c>
      <c r="R66" s="149">
        <v>4</v>
      </c>
      <c r="S66" s="62"/>
      <c r="T66" s="62"/>
      <c r="U66" s="13"/>
      <c r="V66" s="13"/>
      <c r="W66" s="13"/>
      <c r="X66" s="58"/>
      <c r="Y66" s="51">
        <f ca="1">Table210[[#This Row],[End Date]]+2-TODAY()</f>
        <v>-520</v>
      </c>
      <c r="Z66" s="13">
        <f>IF(ISBLANK(Table210[[#This Row],[Roster Received By]]),1,0)</f>
        <v>1</v>
      </c>
      <c r="AA66" s="13">
        <f ca="1">IF(Table210[[#This Row],[Start Date]]&gt;TODAY(),1,)</f>
        <v>0</v>
      </c>
    </row>
    <row r="67" spans="1:27" s="65" customFormat="1" ht="14.25" customHeight="1" x14ac:dyDescent="0.25">
      <c r="A67" s="46"/>
      <c r="B67" s="76" t="s">
        <v>229</v>
      </c>
      <c r="C67" s="59" t="s">
        <v>230</v>
      </c>
      <c r="D67" s="59" t="s">
        <v>231</v>
      </c>
      <c r="E67" s="58"/>
      <c r="F67" s="61">
        <v>45733</v>
      </c>
      <c r="G67" s="61">
        <v>45736</v>
      </c>
      <c r="H67" s="64"/>
      <c r="I67" s="64">
        <v>0.54166666666666663</v>
      </c>
      <c r="J67" s="61"/>
      <c r="K67" s="61"/>
      <c r="L67" s="61"/>
      <c r="M67" s="61"/>
      <c r="N67" s="61"/>
      <c r="O67" s="58" t="s">
        <v>199</v>
      </c>
      <c r="P67" s="58"/>
      <c r="Q67" s="62">
        <v>45</v>
      </c>
      <c r="R67" s="149">
        <v>4</v>
      </c>
      <c r="S67" s="62"/>
      <c r="T67" s="62"/>
      <c r="U67" s="13"/>
      <c r="V67" s="13"/>
      <c r="W67" s="13"/>
      <c r="X67" s="58"/>
      <c r="Y67" s="51">
        <f ca="1">Table210[[#This Row],[End Date]]+2-TODAY()</f>
        <v>-506</v>
      </c>
      <c r="Z67" s="13">
        <f>IF(ISBLANK(Table210[[#This Row],[Roster Received By]]),1,0)</f>
        <v>1</v>
      </c>
      <c r="AA67" s="13">
        <f ca="1">IF(Table210[[#This Row],[Start Date]]&gt;TODAY(),1,)</f>
        <v>0</v>
      </c>
    </row>
    <row r="68" spans="1:27" s="65" customFormat="1" ht="14.25" customHeight="1" x14ac:dyDescent="0.25">
      <c r="A68" s="46"/>
      <c r="B68" s="76" t="s">
        <v>229</v>
      </c>
      <c r="C68" s="59" t="s">
        <v>230</v>
      </c>
      <c r="D68" s="59" t="s">
        <v>231</v>
      </c>
      <c r="E68" s="58"/>
      <c r="F68" s="61">
        <v>45747</v>
      </c>
      <c r="G68" s="61">
        <v>45750</v>
      </c>
      <c r="H68" s="64"/>
      <c r="I68" s="64">
        <v>0.54166666666666663</v>
      </c>
      <c r="J68" s="61"/>
      <c r="K68" s="61"/>
      <c r="L68" s="61"/>
      <c r="M68" s="61"/>
      <c r="N68" s="61"/>
      <c r="O68" s="58" t="s">
        <v>199</v>
      </c>
      <c r="P68" s="58"/>
      <c r="Q68" s="62">
        <v>45</v>
      </c>
      <c r="R68" s="149">
        <v>4</v>
      </c>
      <c r="S68" s="62"/>
      <c r="T68" s="62"/>
      <c r="U68" s="13"/>
      <c r="V68" s="13"/>
      <c r="W68" s="13"/>
      <c r="X68" s="58"/>
      <c r="Y68" s="51">
        <f ca="1">Table210[[#This Row],[End Date]]+2-TODAY()</f>
        <v>-492</v>
      </c>
      <c r="Z68" s="13">
        <f>IF(ISBLANK(Table210[[#This Row],[Roster Received By]]),1,0)</f>
        <v>1</v>
      </c>
      <c r="AA68" s="13">
        <f ca="1">IF(Table210[[#This Row],[Start Date]]&gt;TODAY(),1,)</f>
        <v>0</v>
      </c>
    </row>
    <row r="69" spans="1:27" s="65" customFormat="1" ht="14.25" customHeight="1" x14ac:dyDescent="0.25">
      <c r="A69" s="46"/>
      <c r="B69" s="76" t="s">
        <v>229</v>
      </c>
      <c r="C69" s="59" t="s">
        <v>230</v>
      </c>
      <c r="D69" s="59" t="s">
        <v>231</v>
      </c>
      <c r="E69" s="58"/>
      <c r="F69" s="61">
        <v>45781</v>
      </c>
      <c r="G69" s="61">
        <v>45784</v>
      </c>
      <c r="H69" s="64"/>
      <c r="I69" s="64">
        <v>0.79166666666666663</v>
      </c>
      <c r="J69" s="61"/>
      <c r="K69" s="61"/>
      <c r="L69" s="61"/>
      <c r="M69" s="61"/>
      <c r="N69" s="61"/>
      <c r="O69" s="58" t="s">
        <v>199</v>
      </c>
      <c r="P69" s="58"/>
      <c r="Q69" s="62">
        <v>45</v>
      </c>
      <c r="R69" s="149">
        <v>4</v>
      </c>
      <c r="S69" s="62"/>
      <c r="T69" s="62"/>
      <c r="U69" s="13"/>
      <c r="V69" s="13"/>
      <c r="W69" s="13"/>
      <c r="X69" s="58"/>
      <c r="Y69" s="51">
        <f ca="1">Table210[[#This Row],[End Date]]+2-TODAY()</f>
        <v>-458</v>
      </c>
      <c r="Z69" s="13">
        <f>IF(ISBLANK(Table210[[#This Row],[Roster Received By]]),1,0)</f>
        <v>1</v>
      </c>
      <c r="AA69" s="13">
        <f ca="1">IF(Table210[[#This Row],[Start Date]]&gt;TODAY(),1,)</f>
        <v>0</v>
      </c>
    </row>
    <row r="70" spans="1:27" s="65" customFormat="1" ht="14.25" customHeight="1" x14ac:dyDescent="0.25">
      <c r="A70" s="46"/>
      <c r="B70" s="58" t="s">
        <v>229</v>
      </c>
      <c r="C70" s="59" t="s">
        <v>230</v>
      </c>
      <c r="D70" s="59" t="s">
        <v>231</v>
      </c>
      <c r="E70" s="58"/>
      <c r="F70" s="61">
        <v>45796</v>
      </c>
      <c r="G70" s="61">
        <v>45799</v>
      </c>
      <c r="H70" s="64"/>
      <c r="I70" s="64">
        <v>0.33333333333333331</v>
      </c>
      <c r="J70" s="61"/>
      <c r="K70" s="61"/>
      <c r="L70" s="61"/>
      <c r="M70" s="61"/>
      <c r="N70" s="61"/>
      <c r="O70" s="58" t="s">
        <v>199</v>
      </c>
      <c r="P70" s="58"/>
      <c r="Q70" s="62">
        <v>45</v>
      </c>
      <c r="R70" s="149">
        <v>4</v>
      </c>
      <c r="S70" s="62"/>
      <c r="T70" s="62"/>
      <c r="U70" s="13"/>
      <c r="V70" s="13"/>
      <c r="W70" s="13"/>
      <c r="X70" s="58"/>
      <c r="Y70" s="51">
        <f ca="1">Table210[[#This Row],[End Date]]+2-TODAY()</f>
        <v>-443</v>
      </c>
      <c r="Z70" s="13">
        <f>IF(ISBLANK(Table210[[#This Row],[Roster Received By]]),1,0)</f>
        <v>1</v>
      </c>
      <c r="AA70" s="13">
        <f ca="1">IF(Table210[[#This Row],[Start Date]]&gt;TODAY(),1,)</f>
        <v>0</v>
      </c>
    </row>
    <row r="71" spans="1:27" s="65" customFormat="1" ht="14.25" customHeight="1" x14ac:dyDescent="0.25">
      <c r="A71" s="46"/>
      <c r="B71" s="58" t="s">
        <v>229</v>
      </c>
      <c r="C71" s="59" t="s">
        <v>230</v>
      </c>
      <c r="D71" s="59" t="s">
        <v>231</v>
      </c>
      <c r="E71" s="58"/>
      <c r="F71" s="61">
        <v>45817</v>
      </c>
      <c r="G71" s="61">
        <v>45820</v>
      </c>
      <c r="H71" s="67"/>
      <c r="I71" s="67">
        <v>0.54166666666666663</v>
      </c>
      <c r="J71" s="61"/>
      <c r="K71" s="61"/>
      <c r="L71" s="61"/>
      <c r="M71" s="61"/>
      <c r="N71" s="61"/>
      <c r="O71" s="58" t="s">
        <v>199</v>
      </c>
      <c r="P71" s="58"/>
      <c r="Q71" s="62">
        <v>45</v>
      </c>
      <c r="R71" s="149">
        <v>4</v>
      </c>
      <c r="S71" s="62"/>
      <c r="T71" s="62"/>
      <c r="U71" s="13"/>
      <c r="V71" s="13"/>
      <c r="W71" s="13"/>
      <c r="X71" s="58"/>
      <c r="Y71" s="51">
        <f ca="1">Table210[[#This Row],[End Date]]+2-TODAY()</f>
        <v>-422</v>
      </c>
      <c r="Z71" s="13">
        <f>IF(ISBLANK(Table210[[#This Row],[Roster Received By]]),1,0)</f>
        <v>1</v>
      </c>
      <c r="AA71" s="13">
        <f ca="1">IF(Table210[[#This Row],[Start Date]]&gt;TODAY(),1,)</f>
        <v>0</v>
      </c>
    </row>
    <row r="72" spans="1:27" s="65" customFormat="1" ht="16.5" customHeight="1" x14ac:dyDescent="0.25">
      <c r="A72" s="46"/>
      <c r="B72" s="58" t="s">
        <v>229</v>
      </c>
      <c r="C72" s="59" t="s">
        <v>230</v>
      </c>
      <c r="D72" s="59" t="s">
        <v>231</v>
      </c>
      <c r="E72" s="58"/>
      <c r="F72" s="61">
        <v>45845</v>
      </c>
      <c r="G72" s="61">
        <v>45848</v>
      </c>
      <c r="H72" s="67"/>
      <c r="I72" s="67">
        <v>0.54166666666666663</v>
      </c>
      <c r="J72" s="61"/>
      <c r="K72" s="61"/>
      <c r="L72" s="61"/>
      <c r="M72" s="61"/>
      <c r="N72" s="61"/>
      <c r="O72" s="58" t="s">
        <v>199</v>
      </c>
      <c r="P72" s="58"/>
      <c r="Q72" s="62">
        <v>45</v>
      </c>
      <c r="R72" s="149">
        <v>4</v>
      </c>
      <c r="S72" s="62"/>
      <c r="T72" s="62"/>
      <c r="U72" s="13"/>
      <c r="V72" s="13"/>
      <c r="W72" s="59"/>
      <c r="X72" s="58"/>
      <c r="Y72" s="51">
        <f ca="1">Table210[[#This Row],[End Date]]+2-TODAY()</f>
        <v>-394</v>
      </c>
      <c r="Z72" s="13">
        <f>IF(ISBLANK(Table210[[#This Row],[Roster Received By]]),1,0)</f>
        <v>1</v>
      </c>
      <c r="AA72" s="13">
        <f ca="1">IF(Table210[[#This Row],[Start Date]]&gt;TODAY(),1,)</f>
        <v>0</v>
      </c>
    </row>
    <row r="73" spans="1:27" s="65" customFormat="1" ht="14.25" customHeight="1" x14ac:dyDescent="0.25">
      <c r="A73" s="46"/>
      <c r="B73" s="58" t="s">
        <v>229</v>
      </c>
      <c r="C73" s="59" t="s">
        <v>230</v>
      </c>
      <c r="D73" s="59" t="s">
        <v>231</v>
      </c>
      <c r="E73" s="58"/>
      <c r="F73" s="61">
        <v>45865</v>
      </c>
      <c r="G73" s="61">
        <v>45869</v>
      </c>
      <c r="H73" s="67"/>
      <c r="I73" s="67">
        <v>0.79166666666666663</v>
      </c>
      <c r="J73" s="61"/>
      <c r="K73" s="61"/>
      <c r="L73" s="61"/>
      <c r="M73" s="61"/>
      <c r="N73" s="61"/>
      <c r="O73" s="58" t="s">
        <v>199</v>
      </c>
      <c r="P73" s="58"/>
      <c r="Q73" s="62">
        <v>45</v>
      </c>
      <c r="R73" s="149">
        <v>4</v>
      </c>
      <c r="S73" s="62"/>
      <c r="T73" s="62"/>
      <c r="U73" s="13"/>
      <c r="V73" s="13"/>
      <c r="W73" s="59"/>
      <c r="X73" s="58"/>
      <c r="Y73" s="51">
        <f ca="1">Table210[[#This Row],[End Date]]+2-TODAY()</f>
        <v>-373</v>
      </c>
      <c r="Z73" s="13">
        <f>IF(ISBLANK(Table210[[#This Row],[Roster Received By]]),1,0)</f>
        <v>1</v>
      </c>
      <c r="AA73" s="13">
        <f ca="1">IF(Table210[[#This Row],[Start Date]]&gt;TODAY(),1,)</f>
        <v>0</v>
      </c>
    </row>
    <row r="74" spans="1:27" s="65" customFormat="1" ht="16.5" customHeight="1" x14ac:dyDescent="0.25">
      <c r="A74" s="46"/>
      <c r="B74" s="58" t="s">
        <v>229</v>
      </c>
      <c r="C74" s="59" t="s">
        <v>230</v>
      </c>
      <c r="D74" s="59" t="s">
        <v>231</v>
      </c>
      <c r="E74" s="58"/>
      <c r="F74" s="61">
        <v>45880</v>
      </c>
      <c r="G74" s="61">
        <v>45883</v>
      </c>
      <c r="H74" s="67"/>
      <c r="I74" s="67">
        <v>0.54166666666666663</v>
      </c>
      <c r="J74" s="61"/>
      <c r="K74" s="61"/>
      <c r="L74" s="61"/>
      <c r="M74" s="61"/>
      <c r="N74" s="61"/>
      <c r="O74" s="58" t="s">
        <v>199</v>
      </c>
      <c r="P74" s="58"/>
      <c r="Q74" s="62">
        <v>45</v>
      </c>
      <c r="R74" s="149">
        <v>4</v>
      </c>
      <c r="S74" s="62"/>
      <c r="T74" s="62"/>
      <c r="U74" s="13"/>
      <c r="V74" s="13"/>
      <c r="W74" s="59"/>
      <c r="X74" s="58"/>
      <c r="Y74" s="51">
        <f ca="1">Table210[[#This Row],[End Date]]+2-TODAY()</f>
        <v>-359</v>
      </c>
      <c r="Z74" s="13">
        <f>IF(ISBLANK(Table210[[#This Row],[Roster Received By]]),1,0)</f>
        <v>1</v>
      </c>
      <c r="AA74" s="13">
        <f ca="1">IF(Table210[[#This Row],[Start Date]]&gt;TODAY(),1,)</f>
        <v>0</v>
      </c>
    </row>
    <row r="75" spans="1:27" s="94" customFormat="1" ht="14.25" customHeight="1" x14ac:dyDescent="0.25">
      <c r="A75" s="46"/>
      <c r="B75" s="58" t="s">
        <v>229</v>
      </c>
      <c r="C75" s="59" t="s">
        <v>230</v>
      </c>
      <c r="D75" s="59" t="s">
        <v>231</v>
      </c>
      <c r="E75" s="47"/>
      <c r="F75" s="61">
        <v>45908</v>
      </c>
      <c r="G75" s="61">
        <v>45911</v>
      </c>
      <c r="H75" s="67"/>
      <c r="I75" s="67">
        <v>0.54166666666666663</v>
      </c>
      <c r="J75" s="61"/>
      <c r="K75" s="61"/>
      <c r="L75" s="61"/>
      <c r="M75" s="61"/>
      <c r="N75" s="61"/>
      <c r="O75" s="58" t="s">
        <v>199</v>
      </c>
      <c r="P75" s="58"/>
      <c r="Q75" s="13">
        <v>45</v>
      </c>
      <c r="R75" s="145">
        <v>4</v>
      </c>
      <c r="S75" s="13"/>
      <c r="T75" s="62"/>
      <c r="U75" s="13"/>
      <c r="V75" s="13"/>
      <c r="W75" s="13"/>
      <c r="X75" s="58"/>
      <c r="Y75" s="51">
        <f ca="1">Table210[[#This Row],[End Date]]+2-TODAY()</f>
        <v>-331</v>
      </c>
      <c r="Z75" s="13">
        <f>IF(ISBLANK(Table210[[#This Row],[Roster Received By]]),1,0)</f>
        <v>1</v>
      </c>
      <c r="AA75" s="13">
        <f ca="1">IF(Table210[[#This Row],[Start Date]]&gt;TODAY(),1,)</f>
        <v>0</v>
      </c>
    </row>
    <row r="76" spans="1:27" s="65" customFormat="1" ht="14.25" customHeight="1" x14ac:dyDescent="0.25">
      <c r="A76" s="110" t="s">
        <v>232</v>
      </c>
      <c r="B76" s="111" t="s">
        <v>233</v>
      </c>
      <c r="C76" s="113" t="s">
        <v>234</v>
      </c>
      <c r="D76" s="113" t="s">
        <v>234</v>
      </c>
      <c r="E76" s="111"/>
      <c r="F76" s="114">
        <v>45761</v>
      </c>
      <c r="G76" s="114">
        <v>45765</v>
      </c>
      <c r="H76" s="114"/>
      <c r="I76" s="115"/>
      <c r="J76" s="117"/>
      <c r="K76" s="117"/>
      <c r="L76" s="117"/>
      <c r="M76" s="117"/>
      <c r="N76" s="117"/>
      <c r="O76" s="111"/>
      <c r="P76" s="111"/>
      <c r="Q76" s="116">
        <v>0</v>
      </c>
      <c r="R76" s="116">
        <v>0</v>
      </c>
      <c r="S76" s="116"/>
      <c r="T76" s="141"/>
      <c r="U76" s="116"/>
      <c r="V76" s="116"/>
      <c r="W76" s="116"/>
      <c r="X76" s="111"/>
      <c r="Y76" s="142">
        <f ca="1">Table210[[#This Row],[End Date]]+2-TODAY()</f>
        <v>-477</v>
      </c>
      <c r="Z76" s="116">
        <f>IF(ISBLANK(Table210[[#This Row],[Roster Received By]]),1,0)</f>
        <v>1</v>
      </c>
      <c r="AA76" s="116">
        <f ca="1">IF(Table210[[#This Row],[Start Date]]&gt;TODAY(),1,)</f>
        <v>0</v>
      </c>
    </row>
    <row r="77" spans="1:27" s="65" customFormat="1" ht="14.25" customHeight="1" x14ac:dyDescent="0.25">
      <c r="A77" s="110" t="s">
        <v>235</v>
      </c>
      <c r="B77" s="111" t="s">
        <v>233</v>
      </c>
      <c r="C77" s="113" t="s">
        <v>234</v>
      </c>
      <c r="D77" s="113" t="s">
        <v>234</v>
      </c>
      <c r="E77" s="111"/>
      <c r="F77" s="114">
        <v>45768</v>
      </c>
      <c r="G77" s="114">
        <v>45773</v>
      </c>
      <c r="H77" s="114"/>
      <c r="I77" s="115"/>
      <c r="J77" s="117"/>
      <c r="K77" s="117"/>
      <c r="L77" s="117"/>
      <c r="M77" s="117"/>
      <c r="N77" s="117"/>
      <c r="O77" s="111"/>
      <c r="P77" s="111"/>
      <c r="Q77" s="116">
        <v>0</v>
      </c>
      <c r="R77" s="116">
        <v>0</v>
      </c>
      <c r="S77" s="116"/>
      <c r="T77" s="141"/>
      <c r="U77" s="116"/>
      <c r="V77" s="116"/>
      <c r="W77" s="116"/>
      <c r="X77" s="111"/>
      <c r="Y77" s="142">
        <f ca="1">Table210[[#This Row],[End Date]]+2-TODAY()</f>
        <v>-469</v>
      </c>
      <c r="Z77" s="116">
        <f>IF(ISBLANK(Table210[[#This Row],[Roster Received By]]),1,0)</f>
        <v>1</v>
      </c>
      <c r="AA77" s="116">
        <f ca="1">IF(Table210[[#This Row],[Start Date]]&gt;TODAY(),1,)</f>
        <v>0</v>
      </c>
    </row>
    <row r="78" spans="1:27" s="65" customFormat="1" ht="14.25" customHeight="1" x14ac:dyDescent="0.25">
      <c r="A78" s="59"/>
      <c r="B78" s="58" t="s">
        <v>236</v>
      </c>
      <c r="C78" s="59" t="s">
        <v>237</v>
      </c>
      <c r="D78" s="59" t="s">
        <v>238</v>
      </c>
      <c r="E78" s="58"/>
      <c r="F78" s="61">
        <v>45565</v>
      </c>
      <c r="G78" s="61">
        <v>45569</v>
      </c>
      <c r="H78" s="64"/>
      <c r="I78" s="64">
        <v>0.33333333333333331</v>
      </c>
      <c r="J78" s="61"/>
      <c r="K78" s="61"/>
      <c r="L78" s="61"/>
      <c r="M78" s="61"/>
      <c r="N78" s="61"/>
      <c r="O78" s="58" t="s">
        <v>203</v>
      </c>
      <c r="P78" s="58"/>
      <c r="Q78" s="146">
        <v>100</v>
      </c>
      <c r="R78" s="149">
        <v>5</v>
      </c>
      <c r="S78" s="146"/>
      <c r="T78" s="146"/>
      <c r="U78" s="66"/>
      <c r="V78" s="66"/>
      <c r="W78" s="66"/>
      <c r="X78" s="66"/>
      <c r="Y78" s="150">
        <f ca="1">Table210[[#This Row],[End Date]]+2-TODAY()</f>
        <v>-673</v>
      </c>
      <c r="Z78" s="59">
        <f>IF(ISBLANK(Table210[[#This Row],[Roster Received By]]),1,0)</f>
        <v>1</v>
      </c>
      <c r="AA78" s="59">
        <f ca="1">IF(Table210[[#This Row],[Start Date]]&gt;TODAY(),1,)</f>
        <v>0</v>
      </c>
    </row>
    <row r="79" spans="1:27" s="65" customFormat="1" ht="14.25" customHeight="1" x14ac:dyDescent="0.25">
      <c r="A79" s="58"/>
      <c r="B79" s="58" t="s">
        <v>236</v>
      </c>
      <c r="C79" s="59" t="s">
        <v>237</v>
      </c>
      <c r="D79" s="59" t="s">
        <v>238</v>
      </c>
      <c r="E79" s="58"/>
      <c r="F79" s="61">
        <v>45592</v>
      </c>
      <c r="G79" s="61">
        <v>45596</v>
      </c>
      <c r="H79" s="64"/>
      <c r="I79" s="64">
        <v>0.79166666666666663</v>
      </c>
      <c r="J79" s="61"/>
      <c r="K79" s="61"/>
      <c r="L79" s="61"/>
      <c r="M79" s="61"/>
      <c r="N79" s="61"/>
      <c r="O79" s="58" t="s">
        <v>203</v>
      </c>
      <c r="P79" s="58"/>
      <c r="Q79" s="62">
        <v>100</v>
      </c>
      <c r="R79" s="149">
        <v>5</v>
      </c>
      <c r="S79" s="62"/>
      <c r="T79" s="62"/>
      <c r="U79" s="13"/>
      <c r="V79" s="13"/>
      <c r="W79" s="13"/>
      <c r="X79" s="58"/>
      <c r="Y79" s="51">
        <f ca="1">Table210[[#This Row],[End Date]]+2-TODAY()</f>
        <v>-646</v>
      </c>
      <c r="Z79" s="13">
        <f>IF(ISBLANK(Table210[[#This Row],[Roster Received By]]),1,0)</f>
        <v>1</v>
      </c>
      <c r="AA79" s="13">
        <f ca="1">IF(Table210[[#This Row],[Start Date]]&gt;TODAY(),1,)</f>
        <v>0</v>
      </c>
    </row>
    <row r="80" spans="1:27" s="65" customFormat="1" ht="14.25" customHeight="1" x14ac:dyDescent="0.25">
      <c r="A80" s="46"/>
      <c r="B80" s="58" t="s">
        <v>236</v>
      </c>
      <c r="C80" s="59" t="s">
        <v>237</v>
      </c>
      <c r="D80" s="59" t="s">
        <v>238</v>
      </c>
      <c r="E80" s="58"/>
      <c r="F80" s="61">
        <v>45614</v>
      </c>
      <c r="G80" s="61">
        <v>45618</v>
      </c>
      <c r="H80" s="64"/>
      <c r="I80" s="64">
        <v>0.54166666666666663</v>
      </c>
      <c r="J80" s="61"/>
      <c r="K80" s="61"/>
      <c r="L80" s="61"/>
      <c r="M80" s="61"/>
      <c r="N80" s="61"/>
      <c r="O80" s="58" t="s">
        <v>199</v>
      </c>
      <c r="P80" s="58"/>
      <c r="Q80" s="62">
        <v>100</v>
      </c>
      <c r="R80" s="149">
        <v>5</v>
      </c>
      <c r="S80" s="62"/>
      <c r="T80" s="62"/>
      <c r="U80" s="13"/>
      <c r="V80" s="13"/>
      <c r="W80" s="59"/>
      <c r="X80" s="58"/>
      <c r="Y80" s="51">
        <f ca="1">Table210[[#This Row],[End Date]]+2-TODAY()</f>
        <v>-624</v>
      </c>
      <c r="Z80" s="13">
        <f>IF(ISBLANK(Table210[[#This Row],[Roster Received By]]),1,0)</f>
        <v>1</v>
      </c>
      <c r="AA80" s="13">
        <f ca="1">IF(Table210[[#This Row],[Start Date]]&gt;TODAY(),1,)</f>
        <v>0</v>
      </c>
    </row>
    <row r="81" spans="1:27" s="65" customFormat="1" ht="14.25" customHeight="1" x14ac:dyDescent="0.25">
      <c r="A81" s="46"/>
      <c r="B81" s="58" t="s">
        <v>236</v>
      </c>
      <c r="C81" s="59" t="s">
        <v>237</v>
      </c>
      <c r="D81" s="59" t="s">
        <v>238</v>
      </c>
      <c r="E81" s="58"/>
      <c r="F81" s="61">
        <v>45635</v>
      </c>
      <c r="G81" s="61">
        <v>45639</v>
      </c>
      <c r="H81" s="67"/>
      <c r="I81" s="64">
        <v>0.54166666666666663</v>
      </c>
      <c r="J81" s="61"/>
      <c r="K81" s="61"/>
      <c r="L81" s="61"/>
      <c r="M81" s="61"/>
      <c r="N81" s="61"/>
      <c r="O81" s="58" t="s">
        <v>203</v>
      </c>
      <c r="P81" s="58"/>
      <c r="Q81" s="62">
        <v>100</v>
      </c>
      <c r="R81" s="149">
        <v>5</v>
      </c>
      <c r="S81" s="62"/>
      <c r="T81" s="62"/>
      <c r="U81" s="13"/>
      <c r="V81" s="13"/>
      <c r="W81" s="13"/>
      <c r="X81" s="58"/>
      <c r="Y81" s="51">
        <f ca="1">Table210[[#This Row],[End Date]]+2-TODAY()</f>
        <v>-603</v>
      </c>
      <c r="Z81" s="13">
        <f>IF(ISBLANK(Table210[[#This Row],[Roster Received By]]),1,0)</f>
        <v>1</v>
      </c>
      <c r="AA81" s="13">
        <f ca="1">IF(Table210[[#This Row],[Start Date]]&gt;TODAY(),1,)</f>
        <v>0</v>
      </c>
    </row>
    <row r="82" spans="1:27" s="65" customFormat="1" ht="14.25" customHeight="1" x14ac:dyDescent="0.25">
      <c r="A82" s="46"/>
      <c r="B82" s="58" t="s">
        <v>236</v>
      </c>
      <c r="C82" s="59" t="s">
        <v>237</v>
      </c>
      <c r="D82" s="59" t="s">
        <v>238</v>
      </c>
      <c r="E82" s="58"/>
      <c r="F82" s="61">
        <v>45662</v>
      </c>
      <c r="G82" s="61">
        <v>45666</v>
      </c>
      <c r="H82" s="67"/>
      <c r="I82" s="64">
        <v>0.79166666666666663</v>
      </c>
      <c r="J82" s="61"/>
      <c r="K82" s="61"/>
      <c r="L82" s="61"/>
      <c r="M82" s="61"/>
      <c r="N82" s="61"/>
      <c r="O82" s="58" t="s">
        <v>43</v>
      </c>
      <c r="P82" s="58"/>
      <c r="Q82" s="62">
        <v>100</v>
      </c>
      <c r="R82" s="149">
        <v>5</v>
      </c>
      <c r="S82" s="62"/>
      <c r="T82" s="62"/>
      <c r="U82" s="13"/>
      <c r="V82" s="13"/>
      <c r="W82" s="13"/>
      <c r="X82" s="58"/>
      <c r="Y82" s="51">
        <f ca="1">Table210[[#This Row],[End Date]]+2-TODAY()</f>
        <v>-576</v>
      </c>
      <c r="Z82" s="13">
        <f>IF(ISBLANK(Table210[[#This Row],[Roster Received By]]),1,0)</f>
        <v>1</v>
      </c>
      <c r="AA82" s="13">
        <f ca="1">IF(Table210[[#This Row],[Start Date]]&gt;TODAY(),1,)</f>
        <v>0</v>
      </c>
    </row>
    <row r="83" spans="1:27" s="65" customFormat="1" ht="14.25" customHeight="1" x14ac:dyDescent="0.25">
      <c r="A83" s="46"/>
      <c r="B83" s="58" t="s">
        <v>236</v>
      </c>
      <c r="C83" s="59" t="s">
        <v>237</v>
      </c>
      <c r="D83" s="59" t="s">
        <v>238</v>
      </c>
      <c r="E83" s="58"/>
      <c r="F83" s="61">
        <v>45684</v>
      </c>
      <c r="G83" s="61">
        <v>45688</v>
      </c>
      <c r="H83" s="67"/>
      <c r="I83" s="64">
        <v>0.33333333333333331</v>
      </c>
      <c r="J83" s="61"/>
      <c r="K83" s="61"/>
      <c r="L83" s="61"/>
      <c r="M83" s="61"/>
      <c r="N83" s="61"/>
      <c r="O83" s="58" t="s">
        <v>43</v>
      </c>
      <c r="P83" s="58"/>
      <c r="Q83" s="62">
        <v>100</v>
      </c>
      <c r="R83" s="149">
        <v>5</v>
      </c>
      <c r="S83" s="62"/>
      <c r="T83" s="62"/>
      <c r="U83" s="13"/>
      <c r="V83" s="13"/>
      <c r="W83" s="13"/>
      <c r="X83" s="58"/>
      <c r="Y83" s="51">
        <f ca="1">Table210[[#This Row],[End Date]]+2-TODAY()</f>
        <v>-554</v>
      </c>
      <c r="Z83" s="13">
        <f>IF(ISBLANK(Table210[[#This Row],[Roster Received By]]),1,0)</f>
        <v>1</v>
      </c>
      <c r="AA83" s="13">
        <f ca="1">IF(Table210[[#This Row],[Start Date]]&gt;TODAY(),1,)</f>
        <v>0</v>
      </c>
    </row>
    <row r="84" spans="1:27" s="65" customFormat="1" ht="14.25" customHeight="1" x14ac:dyDescent="0.25">
      <c r="A84" s="46"/>
      <c r="B84" s="58" t="s">
        <v>236</v>
      </c>
      <c r="C84" s="59" t="s">
        <v>237</v>
      </c>
      <c r="D84" s="59" t="s">
        <v>238</v>
      </c>
      <c r="E84" s="58"/>
      <c r="F84" s="61">
        <v>45698</v>
      </c>
      <c r="G84" s="61">
        <v>45702</v>
      </c>
      <c r="H84" s="67"/>
      <c r="I84" s="67">
        <v>0.54166666666666663</v>
      </c>
      <c r="J84" s="61"/>
      <c r="K84" s="61"/>
      <c r="L84" s="61"/>
      <c r="M84" s="61"/>
      <c r="N84" s="61"/>
      <c r="O84" s="58" t="s">
        <v>43</v>
      </c>
      <c r="P84" s="58"/>
      <c r="Q84" s="62">
        <v>100</v>
      </c>
      <c r="R84" s="149">
        <v>5</v>
      </c>
      <c r="S84" s="62"/>
      <c r="T84" s="62"/>
      <c r="U84" s="13"/>
      <c r="V84" s="13"/>
      <c r="W84" s="13"/>
      <c r="X84" s="58"/>
      <c r="Y84" s="51">
        <f ca="1">Table210[[#This Row],[End Date]]+2-TODAY()</f>
        <v>-540</v>
      </c>
      <c r="Z84" s="13">
        <f>IF(ISBLANK(Table210[[#This Row],[Roster Received By]]),1,0)</f>
        <v>1</v>
      </c>
      <c r="AA84" s="13">
        <f ca="1">IF(Table210[[#This Row],[Start Date]]&gt;TODAY(),1,)</f>
        <v>0</v>
      </c>
    </row>
    <row r="85" spans="1:27" s="65" customFormat="1" ht="14.25" customHeight="1" x14ac:dyDescent="0.25">
      <c r="A85" s="46"/>
      <c r="B85" s="58" t="s">
        <v>236</v>
      </c>
      <c r="C85" s="59" t="s">
        <v>237</v>
      </c>
      <c r="D85" s="59" t="s">
        <v>238</v>
      </c>
      <c r="E85" s="58"/>
      <c r="F85" s="61">
        <v>45719</v>
      </c>
      <c r="G85" s="61">
        <v>45723</v>
      </c>
      <c r="H85" s="64"/>
      <c r="I85" s="64">
        <v>0.54166666666666663</v>
      </c>
      <c r="J85" s="61"/>
      <c r="K85" s="61"/>
      <c r="L85" s="61"/>
      <c r="M85" s="61"/>
      <c r="N85" s="61"/>
      <c r="O85" s="58" t="s">
        <v>43</v>
      </c>
      <c r="P85" s="58"/>
      <c r="Q85" s="62">
        <v>100</v>
      </c>
      <c r="R85" s="149">
        <v>5</v>
      </c>
      <c r="S85" s="62"/>
      <c r="T85" s="62"/>
      <c r="U85" s="13"/>
      <c r="V85" s="13"/>
      <c r="W85" s="13"/>
      <c r="X85" s="58"/>
      <c r="Y85" s="51">
        <f ca="1">Table210[[#This Row],[End Date]]+2-TODAY()</f>
        <v>-519</v>
      </c>
      <c r="Z85" s="13">
        <f>IF(ISBLANK(Table210[[#This Row],[Roster Received By]]),1,0)</f>
        <v>1</v>
      </c>
      <c r="AA85" s="13">
        <f ca="1">IF(Table210[[#This Row],[Start Date]]&gt;TODAY(),1,)</f>
        <v>0</v>
      </c>
    </row>
    <row r="86" spans="1:27" s="65" customFormat="1" ht="14.25" customHeight="1" x14ac:dyDescent="0.25">
      <c r="A86" s="46"/>
      <c r="B86" s="58" t="s">
        <v>236</v>
      </c>
      <c r="C86" s="59" t="s">
        <v>237</v>
      </c>
      <c r="D86" s="59" t="s">
        <v>238</v>
      </c>
      <c r="E86" s="58"/>
      <c r="F86" s="61">
        <v>45733</v>
      </c>
      <c r="G86" s="61">
        <v>45737</v>
      </c>
      <c r="H86" s="64"/>
      <c r="I86" s="64">
        <v>0.54166666666666663</v>
      </c>
      <c r="J86" s="61"/>
      <c r="K86" s="61"/>
      <c r="L86" s="61"/>
      <c r="M86" s="61"/>
      <c r="N86" s="61"/>
      <c r="O86" s="58" t="s">
        <v>43</v>
      </c>
      <c r="P86" s="58"/>
      <c r="Q86" s="62">
        <v>100</v>
      </c>
      <c r="R86" s="149">
        <v>5</v>
      </c>
      <c r="S86" s="62"/>
      <c r="T86" s="62"/>
      <c r="U86" s="13"/>
      <c r="V86" s="13"/>
      <c r="W86" s="13"/>
      <c r="X86" s="58"/>
      <c r="Y86" s="51">
        <f ca="1">Table210[[#This Row],[End Date]]+2-TODAY()</f>
        <v>-505</v>
      </c>
      <c r="Z86" s="13">
        <f>IF(ISBLANK(Table210[[#This Row],[Roster Received By]]),1,0)</f>
        <v>1</v>
      </c>
      <c r="AA86" s="13">
        <f ca="1">IF(Table210[[#This Row],[Start Date]]&gt;TODAY(),1,)</f>
        <v>0</v>
      </c>
    </row>
    <row r="87" spans="1:27" s="65" customFormat="1" ht="14.25" customHeight="1" x14ac:dyDescent="0.25">
      <c r="A87" s="46"/>
      <c r="B87" s="58" t="s">
        <v>236</v>
      </c>
      <c r="C87" s="59" t="s">
        <v>237</v>
      </c>
      <c r="D87" s="59" t="s">
        <v>238</v>
      </c>
      <c r="E87" s="58"/>
      <c r="F87" s="61">
        <v>45754</v>
      </c>
      <c r="G87" s="61">
        <v>45758</v>
      </c>
      <c r="H87" s="64"/>
      <c r="I87" s="64">
        <v>0.33333333333333331</v>
      </c>
      <c r="J87" s="61"/>
      <c r="K87" s="61"/>
      <c r="L87" s="61"/>
      <c r="M87" s="61"/>
      <c r="N87" s="61"/>
      <c r="O87" s="58" t="s">
        <v>43</v>
      </c>
      <c r="P87" s="58"/>
      <c r="Q87" s="62">
        <v>100</v>
      </c>
      <c r="R87" s="149">
        <v>5</v>
      </c>
      <c r="S87" s="62"/>
      <c r="T87" s="62"/>
      <c r="U87" s="13"/>
      <c r="V87" s="13"/>
      <c r="W87" s="13"/>
      <c r="X87" s="58"/>
      <c r="Y87" s="51">
        <f ca="1">Table210[[#This Row],[End Date]]+2-TODAY()</f>
        <v>-484</v>
      </c>
      <c r="Z87" s="13">
        <f>IF(ISBLANK(Table210[[#This Row],[Roster Received By]]),1,0)</f>
        <v>1</v>
      </c>
      <c r="AA87" s="13">
        <f ca="1">IF(Table210[[#This Row],[Start Date]]&gt;TODAY(),1,)</f>
        <v>0</v>
      </c>
    </row>
    <row r="88" spans="1:27" s="65" customFormat="1" ht="14.25" customHeight="1" x14ac:dyDescent="0.25">
      <c r="A88" s="46"/>
      <c r="B88" s="58" t="s">
        <v>236</v>
      </c>
      <c r="C88" s="59" t="s">
        <v>237</v>
      </c>
      <c r="D88" s="59" t="s">
        <v>238</v>
      </c>
      <c r="E88" s="58"/>
      <c r="F88" s="61">
        <v>45782</v>
      </c>
      <c r="G88" s="61">
        <v>45786</v>
      </c>
      <c r="H88" s="64"/>
      <c r="I88" s="64">
        <v>0.54166666666666663</v>
      </c>
      <c r="J88" s="61"/>
      <c r="K88" s="61"/>
      <c r="L88" s="61"/>
      <c r="M88" s="61"/>
      <c r="N88" s="61"/>
      <c r="O88" s="58" t="s">
        <v>43</v>
      </c>
      <c r="P88" s="58"/>
      <c r="Q88" s="62">
        <v>100</v>
      </c>
      <c r="R88" s="149">
        <v>5</v>
      </c>
      <c r="S88" s="62"/>
      <c r="T88" s="62"/>
      <c r="U88" s="13"/>
      <c r="V88" s="13"/>
      <c r="W88" s="13"/>
      <c r="X88" s="58"/>
      <c r="Y88" s="51">
        <f ca="1">Table210[[#This Row],[End Date]]+2-TODAY()</f>
        <v>-456</v>
      </c>
      <c r="Z88" s="13">
        <f>IF(ISBLANK(Table210[[#This Row],[Roster Received By]]),1,0)</f>
        <v>1</v>
      </c>
      <c r="AA88" s="13">
        <f ca="1">IF(Table210[[#This Row],[Start Date]]&gt;TODAY(),1,)</f>
        <v>0</v>
      </c>
    </row>
    <row r="89" spans="1:27" s="65" customFormat="1" ht="16.5" customHeight="1" x14ac:dyDescent="0.25">
      <c r="A89" s="46"/>
      <c r="B89" s="58" t="s">
        <v>236</v>
      </c>
      <c r="C89" s="59" t="s">
        <v>237</v>
      </c>
      <c r="D89" s="59" t="s">
        <v>238</v>
      </c>
      <c r="E89" s="58"/>
      <c r="F89" s="61">
        <v>45817</v>
      </c>
      <c r="G89" s="61">
        <v>45821</v>
      </c>
      <c r="H89" s="67"/>
      <c r="I89" s="67">
        <v>0.54166666666666663</v>
      </c>
      <c r="J89" s="61"/>
      <c r="K89" s="61"/>
      <c r="L89" s="61"/>
      <c r="M89" s="61"/>
      <c r="N89" s="61"/>
      <c r="O89" s="58" t="s">
        <v>43</v>
      </c>
      <c r="P89" s="58"/>
      <c r="Q89" s="62">
        <v>100</v>
      </c>
      <c r="R89" s="149">
        <v>5</v>
      </c>
      <c r="S89" s="62"/>
      <c r="T89" s="62"/>
      <c r="U89" s="13"/>
      <c r="V89" s="13"/>
      <c r="W89" s="13"/>
      <c r="X89" s="58"/>
      <c r="Y89" s="51">
        <f ca="1">Table210[[#This Row],[End Date]]+2-TODAY()</f>
        <v>-421</v>
      </c>
      <c r="Z89" s="13">
        <f>IF(ISBLANK(Table210[[#This Row],[Roster Received By]]),1,0)</f>
        <v>1</v>
      </c>
      <c r="AA89" s="13">
        <f ca="1">IF(Table210[[#This Row],[Start Date]]&gt;TODAY(),1,)</f>
        <v>0</v>
      </c>
    </row>
    <row r="90" spans="1:27" s="65" customFormat="1" ht="16.5" customHeight="1" x14ac:dyDescent="0.25">
      <c r="A90" s="46"/>
      <c r="B90" s="58" t="s">
        <v>236</v>
      </c>
      <c r="C90" s="59" t="s">
        <v>237</v>
      </c>
      <c r="D90" s="59" t="s">
        <v>238</v>
      </c>
      <c r="E90" s="58"/>
      <c r="F90" s="61">
        <v>45851</v>
      </c>
      <c r="G90" s="61">
        <v>45855</v>
      </c>
      <c r="H90" s="67"/>
      <c r="I90" s="67">
        <v>0.79166666666666663</v>
      </c>
      <c r="J90" s="61"/>
      <c r="K90" s="61"/>
      <c r="L90" s="61"/>
      <c r="M90" s="61"/>
      <c r="N90" s="61"/>
      <c r="O90" s="58" t="s">
        <v>43</v>
      </c>
      <c r="P90" s="58"/>
      <c r="Q90" s="62">
        <v>100</v>
      </c>
      <c r="R90" s="149">
        <v>5</v>
      </c>
      <c r="S90" s="62"/>
      <c r="T90" s="62"/>
      <c r="U90" s="13"/>
      <c r="V90" s="13"/>
      <c r="W90" s="59"/>
      <c r="X90" s="58"/>
      <c r="Y90" s="51">
        <f ca="1">Table210[[#This Row],[End Date]]+2-TODAY()</f>
        <v>-387</v>
      </c>
      <c r="Z90" s="13">
        <f>IF(ISBLANK(Table210[[#This Row],[Roster Received By]]),1,0)</f>
        <v>1</v>
      </c>
      <c r="AA90" s="13">
        <f ca="1">IF(Table210[[#This Row],[Start Date]]&gt;TODAY(),1,)</f>
        <v>0</v>
      </c>
    </row>
    <row r="91" spans="1:27" s="65" customFormat="1" ht="14.25" customHeight="1" x14ac:dyDescent="0.25">
      <c r="A91" s="46"/>
      <c r="B91" s="58" t="s">
        <v>236</v>
      </c>
      <c r="C91" s="59" t="s">
        <v>237</v>
      </c>
      <c r="D91" s="59" t="s">
        <v>238</v>
      </c>
      <c r="E91" s="58"/>
      <c r="F91" s="61">
        <v>45873</v>
      </c>
      <c r="G91" s="61">
        <v>45877</v>
      </c>
      <c r="H91" s="67"/>
      <c r="I91" s="67">
        <v>0.33333333333333331</v>
      </c>
      <c r="J91" s="61"/>
      <c r="K91" s="61"/>
      <c r="L91" s="61"/>
      <c r="M91" s="61"/>
      <c r="N91" s="61"/>
      <c r="O91" s="58" t="s">
        <v>43</v>
      </c>
      <c r="P91" s="58"/>
      <c r="Q91" s="62">
        <v>100</v>
      </c>
      <c r="R91" s="149">
        <v>5</v>
      </c>
      <c r="S91" s="62"/>
      <c r="T91" s="62"/>
      <c r="U91" s="13"/>
      <c r="V91" s="13"/>
      <c r="W91" s="59"/>
      <c r="X91" s="58"/>
      <c r="Y91" s="51">
        <f ca="1">Table210[[#This Row],[End Date]]+2-TODAY()</f>
        <v>-365</v>
      </c>
      <c r="Z91" s="13">
        <f>IF(ISBLANK(Table210[[#This Row],[Roster Received By]]),1,0)</f>
        <v>1</v>
      </c>
      <c r="AA91" s="13">
        <f ca="1">IF(Table210[[#This Row],[Start Date]]&gt;TODAY(),1,)</f>
        <v>0</v>
      </c>
    </row>
    <row r="92" spans="1:27" s="65" customFormat="1" ht="14.25" customHeight="1" x14ac:dyDescent="0.25">
      <c r="A92" s="46"/>
      <c r="B92" s="58" t="s">
        <v>236</v>
      </c>
      <c r="C92" s="59" t="s">
        <v>237</v>
      </c>
      <c r="D92" s="59" t="s">
        <v>238</v>
      </c>
      <c r="E92" s="58"/>
      <c r="F92" s="61">
        <v>45887</v>
      </c>
      <c r="G92" s="61">
        <v>45891</v>
      </c>
      <c r="H92" s="64"/>
      <c r="I92" s="64">
        <v>0.54166666666666663</v>
      </c>
      <c r="J92" s="61"/>
      <c r="K92" s="61"/>
      <c r="L92" s="61"/>
      <c r="M92" s="61"/>
      <c r="N92" s="61"/>
      <c r="O92" s="58" t="s">
        <v>43</v>
      </c>
      <c r="P92" s="58"/>
      <c r="Q92" s="62">
        <v>100</v>
      </c>
      <c r="R92" s="149">
        <v>5</v>
      </c>
      <c r="S92" s="62"/>
      <c r="T92" s="62"/>
      <c r="U92" s="13"/>
      <c r="V92" s="13"/>
      <c r="W92" s="13"/>
      <c r="X92" s="58"/>
      <c r="Y92" s="51">
        <f ca="1">Table210[[#This Row],[End Date]]+2-TODAY()</f>
        <v>-351</v>
      </c>
      <c r="Z92" s="13">
        <f>IF(ISBLANK(Table210[[#This Row],[Roster Received By]]),1,0)</f>
        <v>1</v>
      </c>
      <c r="AA92" s="13">
        <f ca="1">IF(Table210[[#This Row],[Start Date]]&gt;TODAY(),1,)</f>
        <v>0</v>
      </c>
    </row>
    <row r="93" spans="1:27" s="65" customFormat="1" ht="14.25" customHeight="1" x14ac:dyDescent="0.25">
      <c r="A93" s="46"/>
      <c r="B93" s="58" t="s">
        <v>236</v>
      </c>
      <c r="C93" s="59" t="s">
        <v>237</v>
      </c>
      <c r="D93" s="59" t="s">
        <v>238</v>
      </c>
      <c r="E93" s="47"/>
      <c r="F93" s="61">
        <v>45915</v>
      </c>
      <c r="G93" s="61">
        <v>45919</v>
      </c>
      <c r="H93" s="64"/>
      <c r="I93" s="64">
        <v>0.54166666666666663</v>
      </c>
      <c r="J93" s="61"/>
      <c r="K93" s="61"/>
      <c r="L93" s="61"/>
      <c r="M93" s="61"/>
      <c r="N93" s="61"/>
      <c r="O93" s="58" t="s">
        <v>43</v>
      </c>
      <c r="P93" s="58"/>
      <c r="Q93" s="13">
        <v>100</v>
      </c>
      <c r="R93" s="145">
        <v>5</v>
      </c>
      <c r="S93" s="13"/>
      <c r="T93" s="62"/>
      <c r="U93" s="13"/>
      <c r="V93" s="13"/>
      <c r="W93" s="13"/>
      <c r="X93" s="58"/>
      <c r="Y93" s="51">
        <f ca="1">Table210[[#This Row],[End Date]]+2-TODAY()</f>
        <v>-323</v>
      </c>
      <c r="Z93" s="13">
        <f>IF(ISBLANK(Table210[[#This Row],[Roster Received By]]),1,0)</f>
        <v>1</v>
      </c>
      <c r="AA93" s="13">
        <f ca="1">IF(Table210[[#This Row],[Start Date]]&gt;TODAY(),1,)</f>
        <v>0</v>
      </c>
    </row>
    <row r="94" spans="1:27" s="65" customFormat="1" ht="14.25" customHeight="1" x14ac:dyDescent="0.25">
      <c r="A94" s="46"/>
      <c r="B94" s="58" t="s">
        <v>239</v>
      </c>
      <c r="C94" s="59" t="s">
        <v>240</v>
      </c>
      <c r="D94" s="59" t="s">
        <v>241</v>
      </c>
      <c r="E94" s="58"/>
      <c r="F94" s="61">
        <v>45614</v>
      </c>
      <c r="G94" s="61">
        <v>45618</v>
      </c>
      <c r="H94" s="64"/>
      <c r="I94" s="64">
        <v>0.54166666666666663</v>
      </c>
      <c r="J94" s="61"/>
      <c r="K94" s="61"/>
      <c r="L94" s="61"/>
      <c r="M94" s="61"/>
      <c r="N94" s="61"/>
      <c r="O94" s="58" t="s">
        <v>242</v>
      </c>
      <c r="P94" s="58"/>
      <c r="Q94" s="62">
        <v>25</v>
      </c>
      <c r="R94" s="149">
        <v>2</v>
      </c>
      <c r="S94" s="62"/>
      <c r="T94" s="62"/>
      <c r="U94" s="13"/>
      <c r="V94" s="13"/>
      <c r="W94" s="59"/>
      <c r="X94" s="58"/>
      <c r="Y94" s="51">
        <f ca="1">Table210[[#This Row],[End Date]]+2-TODAY()</f>
        <v>-624</v>
      </c>
      <c r="Z94" s="13">
        <f>IF(ISBLANK(Table210[[#This Row],[Roster Received By]]),1,0)</f>
        <v>1</v>
      </c>
      <c r="AA94" s="13">
        <f ca="1">IF(Table210[[#This Row],[Start Date]]&gt;TODAY(),1,)</f>
        <v>0</v>
      </c>
    </row>
    <row r="95" spans="1:27" s="98" customFormat="1" ht="14.25" customHeight="1" x14ac:dyDescent="0.25">
      <c r="A95" s="46"/>
      <c r="B95" s="58" t="s">
        <v>239</v>
      </c>
      <c r="C95" s="59" t="s">
        <v>240</v>
      </c>
      <c r="D95" s="59" t="s">
        <v>241</v>
      </c>
      <c r="E95" s="58"/>
      <c r="F95" s="61">
        <v>45691</v>
      </c>
      <c r="G95" s="61">
        <v>45695</v>
      </c>
      <c r="H95" s="67"/>
      <c r="I95" s="67">
        <v>0.54166666666666663</v>
      </c>
      <c r="J95" s="61"/>
      <c r="K95" s="61"/>
      <c r="L95" s="61"/>
      <c r="M95" s="61"/>
      <c r="N95" s="61"/>
      <c r="O95" s="58" t="s">
        <v>242</v>
      </c>
      <c r="P95" s="58"/>
      <c r="Q95" s="62">
        <v>25</v>
      </c>
      <c r="R95" s="149">
        <v>2</v>
      </c>
      <c r="S95" s="62"/>
      <c r="T95" s="62"/>
      <c r="U95" s="13"/>
      <c r="V95" s="13"/>
      <c r="W95" s="13"/>
      <c r="X95" s="58"/>
      <c r="Y95" s="51">
        <f ca="1">Table210[[#This Row],[End Date]]+2-TODAY()</f>
        <v>-547</v>
      </c>
      <c r="Z95" s="13">
        <f>IF(ISBLANK(Table210[[#This Row],[Roster Received By]]),1,0)</f>
        <v>1</v>
      </c>
      <c r="AA95" s="13">
        <f ca="1">IF(Table210[[#This Row],[Start Date]]&gt;TODAY(),1,)</f>
        <v>0</v>
      </c>
    </row>
    <row r="96" spans="1:27" s="65" customFormat="1" ht="14.25" customHeight="1" x14ac:dyDescent="0.25">
      <c r="A96" s="46"/>
      <c r="B96" s="58" t="s">
        <v>239</v>
      </c>
      <c r="C96" s="59" t="s">
        <v>240</v>
      </c>
      <c r="D96" s="59" t="s">
        <v>241</v>
      </c>
      <c r="E96" s="58"/>
      <c r="F96" s="61">
        <v>45789</v>
      </c>
      <c r="G96" s="61">
        <v>45793</v>
      </c>
      <c r="H96" s="64"/>
      <c r="I96" s="64">
        <v>0.54166666666666663</v>
      </c>
      <c r="J96" s="61"/>
      <c r="K96" s="61"/>
      <c r="L96" s="61"/>
      <c r="M96" s="61"/>
      <c r="N96" s="61"/>
      <c r="O96" s="58" t="s">
        <v>242</v>
      </c>
      <c r="P96" s="58"/>
      <c r="Q96" s="62">
        <v>25</v>
      </c>
      <c r="R96" s="149">
        <v>2</v>
      </c>
      <c r="S96" s="62"/>
      <c r="T96" s="62"/>
      <c r="U96" s="13"/>
      <c r="V96" s="13"/>
      <c r="W96" s="13"/>
      <c r="X96" s="58"/>
      <c r="Y96" s="51">
        <f ca="1">Table210[[#This Row],[End Date]]+2-TODAY()</f>
        <v>-449</v>
      </c>
      <c r="Z96" s="13">
        <f>IF(ISBLANK(Table210[[#This Row],[Roster Received By]]),1,0)</f>
        <v>1</v>
      </c>
      <c r="AA96" s="13">
        <f ca="1">IF(Table210[[#This Row],[Start Date]]&gt;TODAY(),1,)</f>
        <v>0</v>
      </c>
    </row>
    <row r="97" spans="1:27" s="65" customFormat="1" ht="14.25" customHeight="1" x14ac:dyDescent="0.25">
      <c r="A97" s="46"/>
      <c r="B97" s="58" t="s">
        <v>239</v>
      </c>
      <c r="C97" s="59" t="s">
        <v>240</v>
      </c>
      <c r="D97" s="59" t="s">
        <v>241</v>
      </c>
      <c r="E97" s="58"/>
      <c r="F97" s="61">
        <v>45880</v>
      </c>
      <c r="G97" s="61">
        <v>45884</v>
      </c>
      <c r="H97" s="67"/>
      <c r="I97" s="67">
        <v>0.54166666666666663</v>
      </c>
      <c r="J97" s="61"/>
      <c r="K97" s="61"/>
      <c r="L97" s="61"/>
      <c r="M97" s="61"/>
      <c r="N97" s="61"/>
      <c r="O97" s="58" t="s">
        <v>242</v>
      </c>
      <c r="P97" s="58"/>
      <c r="Q97" s="62">
        <v>25</v>
      </c>
      <c r="R97" s="149">
        <v>2</v>
      </c>
      <c r="S97" s="62"/>
      <c r="T97" s="62"/>
      <c r="U97" s="13"/>
      <c r="V97" s="13"/>
      <c r="W97" s="59"/>
      <c r="X97" s="58"/>
      <c r="Y97" s="51">
        <f ca="1">Table210[[#This Row],[End Date]]+2-TODAY()</f>
        <v>-358</v>
      </c>
      <c r="Z97" s="13">
        <f>IF(ISBLANK(Table210[[#This Row],[Roster Received By]]),1,0)</f>
        <v>1</v>
      </c>
      <c r="AA97" s="13">
        <f ca="1">IF(Table210[[#This Row],[Start Date]]&gt;TODAY(),1,)</f>
        <v>0</v>
      </c>
    </row>
    <row r="98" spans="1:27" s="65" customFormat="1" ht="14.25" customHeight="1" x14ac:dyDescent="0.25">
      <c r="A98" s="128" t="s">
        <v>243</v>
      </c>
      <c r="B98" s="128">
        <f>SUBTOTAL(103,Table210[Course Title])</f>
        <v>94</v>
      </c>
      <c r="C98" s="128"/>
      <c r="D98" s="128"/>
      <c r="E98" s="128"/>
      <c r="F98" s="129"/>
      <c r="G98" s="129"/>
      <c r="H98" s="128"/>
      <c r="I98" s="128"/>
      <c r="J98" s="128"/>
      <c r="K98" s="128"/>
      <c r="L98" s="128"/>
      <c r="M98" s="128"/>
      <c r="N98" s="128"/>
      <c r="O98" s="128"/>
      <c r="P98" s="128"/>
      <c r="Q98" s="130">
        <f>SUBTOTAL(109,Q4:Q97)</f>
        <v>4130</v>
      </c>
      <c r="R98" s="130">
        <f>SUBTOTAL(109,Table210[Course Length (Days)])</f>
        <v>340</v>
      </c>
      <c r="S98" s="130">
        <f>SUBTOTAL(109,S4:S97)</f>
        <v>0</v>
      </c>
      <c r="T98" s="130">
        <f>SUBTOTAL(109,T4:T97)</f>
        <v>0</v>
      </c>
      <c r="U98" s="130">
        <f>SUBTOTAL(109,U4:U97)</f>
        <v>0</v>
      </c>
      <c r="V98" s="130">
        <f>SUBTOTAL(109,V4:V97)</f>
        <v>0</v>
      </c>
      <c r="W98" s="130">
        <f>SUBTOTAL(109,W4:W97)</f>
        <v>0</v>
      </c>
      <c r="X98" s="128">
        <f>SUBTOTAL(103,Table210[Roster Received By])</f>
        <v>0</v>
      </c>
      <c r="Y98" s="131"/>
      <c r="Z98" s="128"/>
      <c r="AA98" s="128"/>
    </row>
    <row r="99" spans="1:27" s="65" customFormat="1" ht="14.25" customHeight="1" x14ac:dyDescent="0.25">
      <c r="A99" s="8"/>
      <c r="B99" s="9"/>
      <c r="C99" s="2"/>
      <c r="D99" s="11"/>
      <c r="E99" s="9"/>
      <c r="F99" s="10"/>
      <c r="G99" s="10"/>
      <c r="H99" s="30"/>
      <c r="I99" s="30"/>
      <c r="J99" s="30"/>
      <c r="K99" s="30"/>
      <c r="L99" s="30"/>
      <c r="M99" s="30"/>
      <c r="N99" s="30"/>
      <c r="O99" s="9"/>
      <c r="P99" s="9"/>
      <c r="Q99" s="8"/>
      <c r="R99" s="8"/>
      <c r="S99" s="12"/>
      <c r="T99" s="29"/>
      <c r="U99" s="29"/>
      <c r="V99" s="29"/>
      <c r="W99" s="29"/>
      <c r="X99" s="8"/>
      <c r="Y99" s="29"/>
      <c r="Z99" s="8"/>
      <c r="AA99" s="8"/>
    </row>
    <row r="100" spans="1:27" s="94" customFormat="1" ht="14.25" customHeight="1" x14ac:dyDescent="0.25">
      <c r="A100" s="8"/>
      <c r="B100" s="9"/>
      <c r="C100" s="2"/>
      <c r="D100" s="11"/>
      <c r="E100" s="9"/>
      <c r="F100" s="10"/>
      <c r="G100" s="10"/>
      <c r="H100" s="30"/>
      <c r="I100" s="30"/>
      <c r="J100" s="30"/>
      <c r="K100" s="30"/>
      <c r="L100" s="30"/>
      <c r="M100" s="30"/>
      <c r="N100" s="30"/>
      <c r="O100" s="9"/>
      <c r="P100" s="9"/>
      <c r="Q100" s="8"/>
      <c r="R100" s="8"/>
      <c r="S100" s="12"/>
      <c r="T100" s="29"/>
      <c r="U100" s="29"/>
      <c r="V100" s="29"/>
      <c r="W100" s="29"/>
      <c r="X100" s="8"/>
      <c r="Y100" s="29"/>
      <c r="Z100" s="8"/>
      <c r="AA100" s="8"/>
    </row>
    <row r="101" spans="1:27" s="65" customFormat="1" ht="14.25" customHeight="1" x14ac:dyDescent="0.25">
      <c r="A101" s="8"/>
      <c r="B101" s="9"/>
      <c r="C101" s="2"/>
      <c r="D101" s="11"/>
      <c r="E101" s="9"/>
      <c r="F101" s="10"/>
      <c r="G101" s="10"/>
      <c r="H101" s="30"/>
      <c r="I101" s="30"/>
      <c r="J101" s="30"/>
      <c r="K101" s="30"/>
      <c r="L101" s="30"/>
      <c r="M101" s="30"/>
      <c r="N101" s="30"/>
      <c r="O101" s="9"/>
      <c r="P101" s="9"/>
      <c r="Q101" s="8"/>
      <c r="R101" s="8"/>
      <c r="S101" s="12"/>
      <c r="T101" s="29"/>
      <c r="U101" s="29"/>
      <c r="V101" s="29"/>
      <c r="W101" s="29"/>
      <c r="X101" s="8"/>
      <c r="Y101" s="29"/>
      <c r="Z101" s="8"/>
      <c r="AA101" s="8"/>
    </row>
    <row r="102" spans="1:27" s="65" customFormat="1" ht="14.25" customHeight="1" x14ac:dyDescent="0.25">
      <c r="A102" s="8"/>
      <c r="B102" s="9"/>
      <c r="C102" s="2"/>
      <c r="D102" s="11"/>
      <c r="E102" s="9"/>
      <c r="F102" s="10"/>
      <c r="G102" s="10"/>
      <c r="H102" s="30"/>
      <c r="I102" s="30"/>
      <c r="J102" s="30"/>
      <c r="K102" s="30"/>
      <c r="L102" s="30"/>
      <c r="M102" s="30"/>
      <c r="N102" s="30"/>
      <c r="O102" s="9"/>
      <c r="P102" s="9"/>
      <c r="Q102" s="8"/>
      <c r="R102" s="8"/>
      <c r="S102" s="12"/>
      <c r="T102" s="29"/>
      <c r="U102" s="29"/>
      <c r="V102" s="29"/>
      <c r="W102" s="29"/>
      <c r="X102" s="8"/>
      <c r="Y102" s="29"/>
      <c r="Z102" s="8"/>
      <c r="AA102" s="8"/>
    </row>
    <row r="103" spans="1:27" s="65" customFormat="1" ht="14.25" customHeight="1" x14ac:dyDescent="0.25">
      <c r="A103" s="8"/>
      <c r="B103" s="9"/>
      <c r="C103" s="2"/>
      <c r="D103" s="11"/>
      <c r="E103" s="9"/>
      <c r="F103" s="10"/>
      <c r="G103" s="10"/>
      <c r="H103" s="30"/>
      <c r="I103" s="30"/>
      <c r="J103" s="30"/>
      <c r="K103" s="30"/>
      <c r="L103" s="30"/>
      <c r="M103" s="30"/>
      <c r="N103" s="30"/>
      <c r="O103" s="9"/>
      <c r="P103" s="9"/>
      <c r="Q103" s="8"/>
      <c r="R103" s="8"/>
      <c r="S103" s="12"/>
      <c r="T103" s="29"/>
      <c r="U103" s="29"/>
      <c r="V103" s="29"/>
      <c r="W103" s="29"/>
      <c r="X103" s="8"/>
      <c r="Y103" s="29"/>
      <c r="Z103" s="8"/>
      <c r="AA103" s="8"/>
    </row>
    <row r="104" spans="1:27" s="65" customFormat="1" ht="14.25" customHeight="1" x14ac:dyDescent="0.25">
      <c r="A104" s="8"/>
      <c r="B104" s="9"/>
      <c r="C104" s="2"/>
      <c r="D104" s="11"/>
      <c r="E104" s="9"/>
      <c r="F104" s="10"/>
      <c r="G104" s="10"/>
      <c r="H104" s="30"/>
      <c r="I104" s="30"/>
      <c r="J104" s="30"/>
      <c r="K104" s="30"/>
      <c r="L104" s="30"/>
      <c r="M104" s="30"/>
      <c r="N104" s="30"/>
      <c r="O104" s="9"/>
      <c r="P104" s="9"/>
      <c r="Q104" s="8"/>
      <c r="R104" s="8"/>
      <c r="S104" s="12"/>
      <c r="T104" s="29"/>
      <c r="U104" s="29"/>
      <c r="V104" s="29"/>
      <c r="W104" s="29"/>
      <c r="X104" s="8"/>
      <c r="Y104" s="29"/>
      <c r="Z104" s="8"/>
      <c r="AA104" s="8"/>
    </row>
    <row r="105" spans="1:27" s="94" customFormat="1" x14ac:dyDescent="0.25">
      <c r="A105" s="8"/>
      <c r="B105" s="9"/>
      <c r="C105" s="2"/>
      <c r="D105" s="11"/>
      <c r="E105" s="9"/>
      <c r="F105" s="10"/>
      <c r="G105" s="10"/>
      <c r="H105" s="30"/>
      <c r="I105" s="30"/>
      <c r="J105" s="30"/>
      <c r="K105" s="30"/>
      <c r="L105" s="30"/>
      <c r="M105" s="30"/>
      <c r="N105" s="30"/>
      <c r="O105" s="9"/>
      <c r="P105" s="9"/>
      <c r="Q105" s="8"/>
      <c r="R105" s="8"/>
      <c r="S105" s="12"/>
      <c r="T105" s="29"/>
      <c r="U105" s="29"/>
      <c r="V105" s="29"/>
      <c r="W105" s="29"/>
      <c r="X105" s="8"/>
      <c r="Y105" s="29"/>
      <c r="Z105" s="8"/>
      <c r="AA105" s="8"/>
    </row>
    <row r="106" spans="1:27" s="65" customFormat="1" ht="14.25" customHeight="1" x14ac:dyDescent="0.25">
      <c r="A106" s="8"/>
      <c r="B106" s="9"/>
      <c r="C106" s="2"/>
      <c r="D106" s="11"/>
      <c r="E106" s="9"/>
      <c r="F106" s="10"/>
      <c r="G106" s="10"/>
      <c r="H106" s="30"/>
      <c r="I106" s="30"/>
      <c r="J106" s="30"/>
      <c r="K106" s="30"/>
      <c r="L106" s="30"/>
      <c r="M106" s="30"/>
      <c r="N106" s="30"/>
      <c r="O106" s="9"/>
      <c r="P106" s="9"/>
      <c r="Q106" s="8"/>
      <c r="R106" s="8"/>
      <c r="S106" s="12"/>
      <c r="T106" s="29"/>
      <c r="U106" s="29"/>
      <c r="V106" s="29"/>
      <c r="W106" s="29"/>
      <c r="X106" s="8"/>
      <c r="Y106" s="29"/>
      <c r="Z106" s="8"/>
      <c r="AA106" s="8"/>
    </row>
    <row r="107" spans="1:27" s="94" customFormat="1" ht="14.25" customHeight="1" x14ac:dyDescent="0.25">
      <c r="A107" s="8"/>
      <c r="B107" s="9"/>
      <c r="C107" s="2"/>
      <c r="D107" s="11"/>
      <c r="E107" s="9"/>
      <c r="F107" s="10"/>
      <c r="G107" s="10"/>
      <c r="H107" s="30"/>
      <c r="I107" s="30"/>
      <c r="J107" s="30"/>
      <c r="K107" s="30"/>
      <c r="L107" s="30"/>
      <c r="M107" s="30"/>
      <c r="N107" s="30"/>
      <c r="O107" s="9"/>
      <c r="P107" s="9"/>
      <c r="Q107" s="8"/>
      <c r="R107" s="8"/>
      <c r="S107" s="12"/>
      <c r="T107" s="29"/>
      <c r="U107" s="29"/>
      <c r="V107" s="29"/>
      <c r="W107" s="29"/>
      <c r="X107" s="8"/>
      <c r="Y107" s="29"/>
      <c r="Z107" s="8"/>
      <c r="AA107" s="8"/>
    </row>
    <row r="108" spans="1:27" s="65" customFormat="1" ht="16.5" customHeight="1" x14ac:dyDescent="0.25">
      <c r="A108" s="8"/>
      <c r="B108" s="9"/>
      <c r="C108" s="2"/>
      <c r="D108" s="11"/>
      <c r="E108" s="9"/>
      <c r="F108" s="10"/>
      <c r="G108" s="10"/>
      <c r="H108" s="30"/>
      <c r="I108" s="30"/>
      <c r="J108" s="30"/>
      <c r="K108" s="30"/>
      <c r="L108" s="30"/>
      <c r="M108" s="30"/>
      <c r="N108" s="30"/>
      <c r="O108" s="9"/>
      <c r="P108" s="9"/>
      <c r="Q108" s="8"/>
      <c r="R108" s="8"/>
      <c r="S108" s="12"/>
      <c r="T108" s="29"/>
      <c r="U108" s="29"/>
      <c r="V108" s="29"/>
      <c r="W108" s="29"/>
      <c r="X108" s="8"/>
      <c r="Y108" s="29"/>
      <c r="Z108" s="8"/>
      <c r="AA108" s="8"/>
    </row>
    <row r="109" spans="1:27" s="65" customFormat="1" ht="14.25" customHeight="1" x14ac:dyDescent="0.25">
      <c r="A109" s="8"/>
      <c r="B109" s="9"/>
      <c r="C109" s="2"/>
      <c r="D109" s="11"/>
      <c r="E109" s="9"/>
      <c r="F109" s="10"/>
      <c r="G109" s="10"/>
      <c r="H109" s="30"/>
      <c r="I109" s="30"/>
      <c r="J109" s="30"/>
      <c r="K109" s="30"/>
      <c r="L109" s="30"/>
      <c r="M109" s="30"/>
      <c r="N109" s="30"/>
      <c r="O109" s="9"/>
      <c r="P109" s="9"/>
      <c r="Q109" s="8"/>
      <c r="R109" s="8"/>
      <c r="S109" s="12"/>
      <c r="T109" s="29"/>
      <c r="U109" s="29"/>
      <c r="V109" s="29"/>
      <c r="W109" s="29"/>
      <c r="X109" s="8"/>
      <c r="Y109" s="29"/>
      <c r="Z109" s="8"/>
      <c r="AA109" s="8"/>
    </row>
    <row r="110" spans="1:27" s="65" customFormat="1" ht="14.25" customHeight="1" x14ac:dyDescent="0.25">
      <c r="A110" s="8"/>
      <c r="B110" s="9"/>
      <c r="C110" s="2"/>
      <c r="D110" s="11"/>
      <c r="E110" s="9"/>
      <c r="F110" s="10"/>
      <c r="G110" s="10"/>
      <c r="H110" s="30"/>
      <c r="I110" s="30"/>
      <c r="J110" s="30"/>
      <c r="K110" s="30"/>
      <c r="L110" s="30"/>
      <c r="M110" s="30"/>
      <c r="N110" s="30"/>
      <c r="O110" s="9"/>
      <c r="P110" s="9"/>
      <c r="Q110" s="8"/>
      <c r="R110" s="8"/>
      <c r="S110" s="12"/>
      <c r="T110" s="29"/>
      <c r="U110" s="29"/>
      <c r="V110" s="29"/>
      <c r="W110" s="29"/>
      <c r="X110" s="8"/>
      <c r="Y110" s="29"/>
      <c r="Z110" s="8"/>
      <c r="AA110" s="8"/>
    </row>
    <row r="111" spans="1:27" s="65" customFormat="1" ht="14.25" customHeight="1" x14ac:dyDescent="0.25">
      <c r="A111" s="8"/>
      <c r="B111" s="9"/>
      <c r="C111" s="2"/>
      <c r="D111" s="11"/>
      <c r="E111" s="9"/>
      <c r="F111" s="10"/>
      <c r="G111" s="10"/>
      <c r="H111" s="30"/>
      <c r="I111" s="30"/>
      <c r="J111" s="30"/>
      <c r="K111" s="30"/>
      <c r="L111" s="30"/>
      <c r="M111" s="30"/>
      <c r="N111" s="30"/>
      <c r="O111" s="9"/>
      <c r="P111" s="9"/>
      <c r="Q111" s="8"/>
      <c r="R111" s="8"/>
      <c r="S111" s="12"/>
      <c r="T111" s="29"/>
      <c r="U111" s="29"/>
      <c r="V111" s="29"/>
      <c r="W111" s="29"/>
      <c r="X111" s="8"/>
      <c r="Y111" s="29"/>
      <c r="Z111" s="8"/>
      <c r="AA111" s="8"/>
    </row>
    <row r="112" spans="1:27" s="65" customFormat="1" ht="14.25" customHeight="1" x14ac:dyDescent="0.25">
      <c r="A112" s="8"/>
      <c r="B112" s="9"/>
      <c r="C112" s="2"/>
      <c r="D112" s="11"/>
      <c r="E112" s="9"/>
      <c r="F112" s="10"/>
      <c r="G112" s="10"/>
      <c r="H112" s="30"/>
      <c r="I112" s="30"/>
      <c r="J112" s="30"/>
      <c r="K112" s="30"/>
      <c r="L112" s="30"/>
      <c r="M112" s="30"/>
      <c r="N112" s="30"/>
      <c r="O112" s="9"/>
      <c r="P112" s="9"/>
      <c r="Q112" s="8"/>
      <c r="R112" s="8"/>
      <c r="S112" s="12"/>
      <c r="T112" s="29"/>
      <c r="U112" s="29"/>
      <c r="V112" s="29"/>
      <c r="W112" s="29"/>
      <c r="X112" s="8"/>
      <c r="Y112" s="29"/>
      <c r="Z112" s="8"/>
      <c r="AA112" s="8"/>
    </row>
    <row r="113" spans="1:27" s="65" customFormat="1" ht="14.25" customHeight="1" x14ac:dyDescent="0.25">
      <c r="A113" s="8"/>
      <c r="B113" s="9"/>
      <c r="C113" s="2"/>
      <c r="D113" s="11"/>
      <c r="E113" s="9"/>
      <c r="F113" s="10"/>
      <c r="G113" s="10"/>
      <c r="H113" s="30"/>
      <c r="I113" s="30"/>
      <c r="J113" s="30"/>
      <c r="K113" s="30"/>
      <c r="L113" s="30"/>
      <c r="M113" s="30"/>
      <c r="N113" s="30"/>
      <c r="O113" s="9"/>
      <c r="P113" s="9"/>
      <c r="Q113" s="8"/>
      <c r="R113" s="8"/>
      <c r="S113" s="12"/>
      <c r="T113" s="29"/>
      <c r="U113" s="29"/>
      <c r="V113" s="29"/>
      <c r="W113" s="29"/>
      <c r="X113" s="8"/>
      <c r="Y113" s="29"/>
      <c r="Z113" s="8"/>
      <c r="AA113" s="8"/>
    </row>
    <row r="114" spans="1:27" s="65" customFormat="1" ht="14.25" customHeight="1" x14ac:dyDescent="0.25">
      <c r="A114" s="8"/>
      <c r="B114" s="9"/>
      <c r="C114" s="2"/>
      <c r="D114" s="11"/>
      <c r="E114" s="9"/>
      <c r="F114" s="10"/>
      <c r="G114" s="10"/>
      <c r="H114" s="30"/>
      <c r="I114" s="30"/>
      <c r="J114" s="30"/>
      <c r="K114" s="30"/>
      <c r="L114" s="30"/>
      <c r="M114" s="30"/>
      <c r="N114" s="30"/>
      <c r="O114" s="9"/>
      <c r="P114" s="9"/>
      <c r="Q114" s="8"/>
      <c r="R114" s="8"/>
      <c r="S114" s="12"/>
      <c r="T114" s="29"/>
      <c r="U114" s="29"/>
      <c r="V114" s="29"/>
      <c r="W114" s="29"/>
      <c r="X114" s="8"/>
      <c r="Y114" s="29"/>
      <c r="Z114" s="8"/>
      <c r="AA114" s="8"/>
    </row>
    <row r="115" spans="1:27" s="94" customFormat="1" x14ac:dyDescent="0.25">
      <c r="A115" s="8"/>
      <c r="B115" s="9"/>
      <c r="C115" s="2"/>
      <c r="D115" s="11"/>
      <c r="E115" s="9"/>
      <c r="F115" s="10"/>
      <c r="G115" s="10"/>
      <c r="H115" s="30"/>
      <c r="I115" s="30"/>
      <c r="J115" s="30"/>
      <c r="K115" s="30"/>
      <c r="L115" s="30"/>
      <c r="M115" s="30"/>
      <c r="N115" s="30"/>
      <c r="O115" s="9"/>
      <c r="P115" s="9"/>
      <c r="Q115" s="8"/>
      <c r="R115" s="8"/>
      <c r="S115" s="12"/>
      <c r="T115" s="29"/>
      <c r="U115" s="29"/>
      <c r="V115" s="29"/>
      <c r="W115" s="29"/>
      <c r="X115" s="8"/>
      <c r="Y115" s="29"/>
      <c r="Z115" s="8"/>
      <c r="AA115" s="8"/>
    </row>
    <row r="116" spans="1:27" s="94" customFormat="1" x14ac:dyDescent="0.25">
      <c r="A116" s="8"/>
      <c r="B116" s="9"/>
      <c r="C116" s="2"/>
      <c r="D116" s="11"/>
      <c r="E116" s="9"/>
      <c r="F116" s="10"/>
      <c r="G116" s="10"/>
      <c r="H116" s="30"/>
      <c r="I116" s="30"/>
      <c r="J116" s="30"/>
      <c r="K116" s="30"/>
      <c r="L116" s="30"/>
      <c r="M116" s="30"/>
      <c r="N116" s="30"/>
      <c r="O116" s="9"/>
      <c r="P116" s="9"/>
      <c r="Q116" s="8"/>
      <c r="R116" s="8"/>
      <c r="S116" s="12"/>
      <c r="T116" s="29"/>
      <c r="U116" s="29"/>
      <c r="V116" s="29"/>
      <c r="W116" s="29"/>
      <c r="X116" s="8"/>
      <c r="Y116" s="29"/>
      <c r="Z116" s="8"/>
      <c r="AA116" s="8"/>
    </row>
    <row r="117" spans="1:27" s="94" customFormat="1" x14ac:dyDescent="0.25">
      <c r="A117" s="8"/>
      <c r="B117" s="9"/>
      <c r="C117" s="2"/>
      <c r="D117" s="11"/>
      <c r="E117" s="9"/>
      <c r="F117" s="10"/>
      <c r="G117" s="10"/>
      <c r="H117" s="30"/>
      <c r="I117" s="30"/>
      <c r="J117" s="30"/>
      <c r="K117" s="30"/>
      <c r="L117" s="30"/>
      <c r="M117" s="30"/>
      <c r="N117" s="30"/>
      <c r="O117" s="9"/>
      <c r="P117" s="9"/>
      <c r="Q117" s="8"/>
      <c r="R117" s="8"/>
      <c r="S117" s="12"/>
      <c r="T117" s="29"/>
      <c r="U117" s="29"/>
      <c r="V117" s="29"/>
      <c r="W117" s="29"/>
      <c r="X117" s="8"/>
      <c r="Y117" s="29"/>
      <c r="Z117" s="8"/>
      <c r="AA117" s="8"/>
    </row>
    <row r="118" spans="1:27" s="65" customFormat="1" ht="14.25" customHeight="1" x14ac:dyDescent="0.25">
      <c r="A118" s="8"/>
      <c r="B118" s="9"/>
      <c r="C118" s="2"/>
      <c r="D118" s="11"/>
      <c r="E118" s="9"/>
      <c r="F118" s="10"/>
      <c r="G118" s="10"/>
      <c r="H118" s="30"/>
      <c r="I118" s="30"/>
      <c r="J118" s="30"/>
      <c r="K118" s="30"/>
      <c r="L118" s="30"/>
      <c r="M118" s="30"/>
      <c r="N118" s="30"/>
      <c r="O118" s="9"/>
      <c r="P118" s="9"/>
      <c r="Q118" s="8"/>
      <c r="R118" s="8"/>
      <c r="S118" s="12"/>
      <c r="T118" s="29"/>
      <c r="U118" s="29"/>
      <c r="V118" s="29"/>
      <c r="W118" s="29"/>
      <c r="X118" s="8"/>
      <c r="Y118" s="29"/>
      <c r="Z118" s="8"/>
      <c r="AA118" s="8"/>
    </row>
    <row r="119" spans="1:27" s="65" customFormat="1" ht="16.5" customHeight="1" x14ac:dyDescent="0.25">
      <c r="A119" s="8"/>
      <c r="B119" s="9"/>
      <c r="C119" s="2"/>
      <c r="D119" s="11"/>
      <c r="E119" s="9"/>
      <c r="F119" s="10"/>
      <c r="G119" s="10"/>
      <c r="H119" s="30"/>
      <c r="I119" s="30"/>
      <c r="J119" s="30"/>
      <c r="K119" s="30"/>
      <c r="L119" s="30"/>
      <c r="M119" s="30"/>
      <c r="N119" s="30"/>
      <c r="O119" s="9"/>
      <c r="P119" s="9"/>
      <c r="Q119" s="8"/>
      <c r="R119" s="8"/>
      <c r="S119" s="12"/>
      <c r="T119" s="29"/>
      <c r="U119" s="29"/>
      <c r="V119" s="29"/>
      <c r="W119" s="29"/>
      <c r="X119" s="8"/>
      <c r="Y119" s="29"/>
      <c r="Z119" s="8"/>
      <c r="AA119" s="8"/>
    </row>
    <row r="120" spans="1:27" s="65" customFormat="1" ht="14.25" customHeight="1" x14ac:dyDescent="0.25">
      <c r="A120" s="8"/>
      <c r="B120" s="9"/>
      <c r="C120" s="2"/>
      <c r="D120" s="11"/>
      <c r="E120" s="9"/>
      <c r="F120" s="10"/>
      <c r="G120" s="10"/>
      <c r="H120" s="30"/>
      <c r="I120" s="30"/>
      <c r="J120" s="30"/>
      <c r="K120" s="30"/>
      <c r="L120" s="30"/>
      <c r="M120" s="30"/>
      <c r="N120" s="30"/>
      <c r="O120" s="9"/>
      <c r="P120" s="9"/>
      <c r="Q120" s="8"/>
      <c r="R120" s="8"/>
      <c r="S120" s="12"/>
      <c r="T120" s="29"/>
      <c r="U120" s="29"/>
      <c r="V120" s="29"/>
      <c r="W120" s="29"/>
      <c r="X120" s="8"/>
      <c r="Y120" s="29"/>
      <c r="Z120" s="8"/>
      <c r="AA120" s="8"/>
    </row>
    <row r="121" spans="1:27" s="65" customFormat="1" ht="14.25" customHeight="1" x14ac:dyDescent="0.25">
      <c r="A121" s="8"/>
      <c r="B121" s="9"/>
      <c r="C121" s="2"/>
      <c r="D121" s="11"/>
      <c r="E121" s="9"/>
      <c r="F121" s="10"/>
      <c r="G121" s="10"/>
      <c r="H121" s="30"/>
      <c r="I121" s="30"/>
      <c r="J121" s="30"/>
      <c r="K121" s="30"/>
      <c r="L121" s="30"/>
      <c r="M121" s="30"/>
      <c r="N121" s="30"/>
      <c r="O121" s="9"/>
      <c r="P121" s="9"/>
      <c r="Q121" s="8"/>
      <c r="R121" s="8"/>
      <c r="S121" s="12"/>
      <c r="T121" s="29"/>
      <c r="U121" s="29"/>
      <c r="V121" s="29"/>
      <c r="W121" s="29"/>
      <c r="X121" s="8"/>
      <c r="Y121" s="29"/>
      <c r="Z121" s="8"/>
      <c r="AA121" s="8"/>
    </row>
    <row r="122" spans="1:27" s="95" customFormat="1" ht="14.25" customHeight="1" x14ac:dyDescent="0.25">
      <c r="A122" s="8"/>
      <c r="B122" s="9"/>
      <c r="C122" s="2"/>
      <c r="D122" s="11"/>
      <c r="E122" s="9"/>
      <c r="F122" s="10"/>
      <c r="G122" s="10"/>
      <c r="H122" s="30"/>
      <c r="I122" s="30"/>
      <c r="J122" s="30"/>
      <c r="K122" s="30"/>
      <c r="L122" s="30"/>
      <c r="M122" s="30"/>
      <c r="N122" s="30"/>
      <c r="O122" s="9"/>
      <c r="P122" s="9"/>
      <c r="Q122" s="8"/>
      <c r="R122" s="8"/>
      <c r="S122" s="12"/>
      <c r="T122" s="29"/>
      <c r="U122" s="29"/>
      <c r="V122" s="29"/>
      <c r="W122" s="29"/>
      <c r="X122" s="8"/>
      <c r="Y122" s="29"/>
      <c r="Z122" s="8"/>
      <c r="AA122" s="8"/>
    </row>
    <row r="123" spans="1:27" s="65" customFormat="1" ht="14.25" customHeight="1" x14ac:dyDescent="0.25">
      <c r="A123" s="8"/>
      <c r="B123" s="9"/>
      <c r="C123" s="2"/>
      <c r="D123" s="11"/>
      <c r="E123" s="9"/>
      <c r="F123" s="10"/>
      <c r="G123" s="10"/>
      <c r="H123" s="30"/>
      <c r="I123" s="30"/>
      <c r="J123" s="30"/>
      <c r="K123" s="30"/>
      <c r="L123" s="30"/>
      <c r="M123" s="30"/>
      <c r="N123" s="30"/>
      <c r="O123" s="9"/>
      <c r="P123" s="9"/>
      <c r="Q123" s="8"/>
      <c r="R123" s="8"/>
      <c r="S123" s="12"/>
      <c r="T123" s="29"/>
      <c r="U123" s="29"/>
      <c r="V123" s="29"/>
      <c r="W123" s="29"/>
      <c r="X123" s="8"/>
      <c r="Y123" s="29"/>
      <c r="Z123" s="8"/>
      <c r="AA123" s="8"/>
    </row>
    <row r="124" spans="1:27" s="65" customFormat="1" ht="14.25" customHeight="1" x14ac:dyDescent="0.25">
      <c r="A124" s="8"/>
      <c r="B124" s="9"/>
      <c r="C124" s="2"/>
      <c r="D124" s="11"/>
      <c r="E124" s="9"/>
      <c r="F124" s="10"/>
      <c r="G124" s="10"/>
      <c r="H124" s="30"/>
      <c r="I124" s="30"/>
      <c r="J124" s="30"/>
      <c r="K124" s="30"/>
      <c r="L124" s="30"/>
      <c r="M124" s="30"/>
      <c r="N124" s="30"/>
      <c r="O124" s="9"/>
      <c r="P124" s="9"/>
      <c r="Q124" s="8"/>
      <c r="R124" s="8"/>
      <c r="S124" s="12"/>
      <c r="T124" s="29"/>
      <c r="U124" s="29"/>
      <c r="V124" s="29"/>
      <c r="W124" s="29"/>
      <c r="X124" s="8"/>
      <c r="Y124" s="29"/>
      <c r="Z124" s="8"/>
      <c r="AA124" s="8"/>
    </row>
    <row r="125" spans="1:27" s="65" customFormat="1" ht="14.25" customHeight="1" x14ac:dyDescent="0.25">
      <c r="A125" s="8"/>
      <c r="B125" s="9"/>
      <c r="C125" s="2"/>
      <c r="D125" s="11"/>
      <c r="E125" s="9"/>
      <c r="F125" s="10"/>
      <c r="G125" s="10"/>
      <c r="H125" s="30"/>
      <c r="I125" s="30"/>
      <c r="J125" s="30"/>
      <c r="K125" s="30"/>
      <c r="L125" s="30"/>
      <c r="M125" s="30"/>
      <c r="N125" s="30"/>
      <c r="O125" s="9"/>
      <c r="P125" s="9"/>
      <c r="Q125" s="8"/>
      <c r="R125" s="8"/>
      <c r="S125" s="12"/>
      <c r="T125" s="29"/>
      <c r="U125" s="29"/>
      <c r="V125" s="29"/>
      <c r="W125" s="29"/>
      <c r="X125" s="8"/>
      <c r="Y125" s="29"/>
      <c r="Z125" s="8"/>
      <c r="AA125" s="8"/>
    </row>
    <row r="126" spans="1:27" s="65" customFormat="1" ht="14.25" customHeight="1" x14ac:dyDescent="0.25">
      <c r="A126" s="8"/>
      <c r="B126" s="9"/>
      <c r="C126" s="2"/>
      <c r="D126" s="11"/>
      <c r="E126" s="9"/>
      <c r="F126" s="10"/>
      <c r="G126" s="10"/>
      <c r="H126" s="30"/>
      <c r="I126" s="30"/>
      <c r="J126" s="30"/>
      <c r="K126" s="30"/>
      <c r="L126" s="30"/>
      <c r="M126" s="30"/>
      <c r="N126" s="30"/>
      <c r="O126" s="9"/>
      <c r="P126" s="9"/>
      <c r="Q126" s="8"/>
      <c r="R126" s="8"/>
      <c r="S126" s="12"/>
      <c r="T126" s="29"/>
      <c r="U126" s="29"/>
      <c r="V126" s="29"/>
      <c r="W126" s="29"/>
      <c r="X126" s="8"/>
      <c r="Y126" s="29"/>
      <c r="Z126" s="8"/>
      <c r="AA126" s="8"/>
    </row>
    <row r="127" spans="1:27" s="65" customFormat="1" ht="14.25" customHeight="1" x14ac:dyDescent="0.25">
      <c r="A127" s="8"/>
      <c r="B127" s="9"/>
      <c r="C127" s="2"/>
      <c r="D127" s="11"/>
      <c r="E127" s="9"/>
      <c r="F127" s="10"/>
      <c r="G127" s="10"/>
      <c r="H127" s="30"/>
      <c r="I127" s="30"/>
      <c r="J127" s="30"/>
      <c r="K127" s="30"/>
      <c r="L127" s="30"/>
      <c r="M127" s="30"/>
      <c r="N127" s="30"/>
      <c r="O127" s="9"/>
      <c r="P127" s="9"/>
      <c r="Q127" s="8"/>
      <c r="R127" s="8"/>
      <c r="S127" s="12"/>
      <c r="T127" s="29"/>
      <c r="U127" s="29"/>
      <c r="V127" s="29"/>
      <c r="W127" s="29"/>
      <c r="X127" s="8"/>
      <c r="Y127" s="29"/>
      <c r="Z127" s="8"/>
      <c r="AA127" s="8"/>
    </row>
    <row r="128" spans="1:27" s="65" customFormat="1" ht="14.25" customHeight="1" x14ac:dyDescent="0.25">
      <c r="A128" s="8"/>
      <c r="B128" s="9"/>
      <c r="C128" s="2"/>
      <c r="D128" s="11"/>
      <c r="E128" s="9"/>
      <c r="F128" s="10"/>
      <c r="G128" s="10"/>
      <c r="H128" s="30"/>
      <c r="I128" s="30"/>
      <c r="J128" s="30"/>
      <c r="K128" s="30"/>
      <c r="L128" s="30"/>
      <c r="M128" s="30"/>
      <c r="N128" s="30"/>
      <c r="O128" s="9"/>
      <c r="P128" s="9"/>
      <c r="Q128" s="8"/>
      <c r="R128" s="8"/>
      <c r="S128" s="12"/>
      <c r="T128" s="29"/>
      <c r="U128" s="29"/>
      <c r="V128" s="29"/>
      <c r="W128" s="29"/>
      <c r="X128" s="8"/>
      <c r="Y128" s="29"/>
      <c r="Z128" s="8"/>
      <c r="AA128" s="8"/>
    </row>
    <row r="129" spans="1:27" s="65" customFormat="1" ht="14.25" customHeight="1" x14ac:dyDescent="0.25">
      <c r="A129" s="8"/>
      <c r="B129" s="9"/>
      <c r="C129" s="2"/>
      <c r="D129" s="11"/>
      <c r="E129" s="9"/>
      <c r="F129" s="10"/>
      <c r="G129" s="10"/>
      <c r="H129" s="30"/>
      <c r="I129" s="30"/>
      <c r="J129" s="30"/>
      <c r="K129" s="30"/>
      <c r="L129" s="30"/>
      <c r="M129" s="30"/>
      <c r="N129" s="30"/>
      <c r="O129" s="9"/>
      <c r="P129" s="9"/>
      <c r="Q129" s="8"/>
      <c r="R129" s="8"/>
      <c r="S129" s="12"/>
      <c r="T129" s="29"/>
      <c r="U129" s="29"/>
      <c r="V129" s="29"/>
      <c r="W129" s="29"/>
      <c r="X129" s="8"/>
      <c r="Y129" s="29"/>
      <c r="Z129" s="8"/>
      <c r="AA129" s="8"/>
    </row>
    <row r="130" spans="1:27" s="65" customFormat="1" ht="14.25" customHeight="1" x14ac:dyDescent="0.25">
      <c r="A130" s="8"/>
      <c r="B130" s="9"/>
      <c r="C130" s="2"/>
      <c r="D130" s="11"/>
      <c r="E130" s="9"/>
      <c r="F130" s="10"/>
      <c r="G130" s="10"/>
      <c r="H130" s="30"/>
      <c r="I130" s="30"/>
      <c r="J130" s="30"/>
      <c r="K130" s="30"/>
      <c r="L130" s="30"/>
      <c r="M130" s="30"/>
      <c r="N130" s="30"/>
      <c r="O130" s="9"/>
      <c r="P130" s="9"/>
      <c r="Q130" s="8"/>
      <c r="R130" s="8"/>
      <c r="S130" s="12"/>
      <c r="T130" s="29"/>
      <c r="U130" s="29"/>
      <c r="V130" s="29"/>
      <c r="W130" s="29"/>
      <c r="X130" s="8"/>
      <c r="Y130" s="29"/>
      <c r="Z130" s="8"/>
      <c r="AA130" s="8"/>
    </row>
    <row r="131" spans="1:27" s="94" customFormat="1" ht="14.25" customHeight="1" x14ac:dyDescent="0.25">
      <c r="A131" s="8"/>
      <c r="B131" s="9"/>
      <c r="C131" s="2"/>
      <c r="D131" s="11"/>
      <c r="E131" s="9"/>
      <c r="F131" s="10"/>
      <c r="G131" s="10"/>
      <c r="H131" s="30"/>
      <c r="I131" s="30"/>
      <c r="J131" s="30"/>
      <c r="K131" s="30"/>
      <c r="L131" s="30"/>
      <c r="M131" s="30"/>
      <c r="N131" s="30"/>
      <c r="O131" s="9"/>
      <c r="P131" s="9"/>
      <c r="Q131" s="8"/>
      <c r="R131" s="8"/>
      <c r="S131" s="12"/>
      <c r="T131" s="29"/>
      <c r="U131" s="29"/>
      <c r="V131" s="29"/>
      <c r="W131" s="29"/>
      <c r="X131" s="8"/>
      <c r="Y131" s="29"/>
      <c r="Z131" s="8"/>
      <c r="AA131" s="8"/>
    </row>
    <row r="132" spans="1:27" s="65" customFormat="1" ht="14.25" customHeight="1" x14ac:dyDescent="0.25">
      <c r="A132" s="8"/>
      <c r="B132" s="9"/>
      <c r="C132" s="2"/>
      <c r="D132" s="11"/>
      <c r="E132" s="9"/>
      <c r="F132" s="10"/>
      <c r="G132" s="10"/>
      <c r="H132" s="30"/>
      <c r="I132" s="30"/>
      <c r="J132" s="30"/>
      <c r="K132" s="30"/>
      <c r="L132" s="30"/>
      <c r="M132" s="30"/>
      <c r="N132" s="30"/>
      <c r="O132" s="9"/>
      <c r="P132" s="9"/>
      <c r="Q132" s="8"/>
      <c r="R132" s="8"/>
      <c r="S132" s="12"/>
      <c r="T132" s="29"/>
      <c r="U132" s="29"/>
      <c r="V132" s="29"/>
      <c r="W132" s="29"/>
      <c r="X132" s="8"/>
      <c r="Y132" s="29"/>
      <c r="Z132" s="8"/>
      <c r="AA132" s="8"/>
    </row>
    <row r="133" spans="1:27" s="65" customFormat="1" ht="14.25" customHeight="1" x14ac:dyDescent="0.25">
      <c r="A133" s="8"/>
      <c r="B133" s="9"/>
      <c r="C133" s="2"/>
      <c r="D133" s="11"/>
      <c r="E133" s="9"/>
      <c r="F133" s="10"/>
      <c r="G133" s="10"/>
      <c r="H133" s="30"/>
      <c r="I133" s="30"/>
      <c r="J133" s="30"/>
      <c r="K133" s="30"/>
      <c r="L133" s="30"/>
      <c r="M133" s="30"/>
      <c r="N133" s="30"/>
      <c r="O133" s="9"/>
      <c r="P133" s="9"/>
      <c r="Q133" s="8"/>
      <c r="R133" s="8"/>
      <c r="S133" s="12"/>
      <c r="T133" s="29"/>
      <c r="U133" s="29"/>
      <c r="V133" s="29"/>
      <c r="W133" s="29"/>
      <c r="X133" s="8"/>
      <c r="Y133" s="29"/>
      <c r="Z133" s="8"/>
      <c r="AA133" s="8"/>
    </row>
    <row r="134" spans="1:27" s="65" customFormat="1" ht="14.25" customHeight="1" x14ac:dyDescent="0.25">
      <c r="A134" s="8"/>
      <c r="B134" s="9"/>
      <c r="C134" s="2"/>
      <c r="D134" s="11"/>
      <c r="E134" s="9"/>
      <c r="F134" s="10"/>
      <c r="G134" s="10"/>
      <c r="H134" s="30"/>
      <c r="I134" s="30"/>
      <c r="J134" s="30"/>
      <c r="K134" s="30"/>
      <c r="L134" s="30"/>
      <c r="M134" s="30"/>
      <c r="N134" s="30"/>
      <c r="O134" s="9"/>
      <c r="P134" s="9"/>
      <c r="Q134" s="8"/>
      <c r="R134" s="8"/>
      <c r="S134" s="12"/>
      <c r="T134" s="29"/>
      <c r="U134" s="29"/>
      <c r="V134" s="29"/>
      <c r="W134" s="29"/>
      <c r="X134" s="8"/>
      <c r="Y134" s="29"/>
      <c r="Z134" s="8"/>
      <c r="AA134" s="8"/>
    </row>
    <row r="135" spans="1:27" s="65" customFormat="1" ht="14.25" customHeight="1" x14ac:dyDescent="0.25">
      <c r="A135" s="8"/>
      <c r="B135" s="9"/>
      <c r="C135" s="2"/>
      <c r="D135" s="11"/>
      <c r="E135" s="9"/>
      <c r="F135" s="10"/>
      <c r="G135" s="10"/>
      <c r="H135" s="30"/>
      <c r="I135" s="30"/>
      <c r="J135" s="30"/>
      <c r="K135" s="30"/>
      <c r="L135" s="30"/>
      <c r="M135" s="30"/>
      <c r="N135" s="30"/>
      <c r="O135" s="9"/>
      <c r="P135" s="9"/>
      <c r="Q135" s="8"/>
      <c r="R135" s="8"/>
      <c r="S135" s="12"/>
      <c r="T135" s="29"/>
      <c r="U135" s="29"/>
      <c r="V135" s="29"/>
      <c r="W135" s="29"/>
      <c r="X135" s="8"/>
      <c r="Y135" s="29"/>
      <c r="Z135" s="8"/>
      <c r="AA135" s="8"/>
    </row>
    <row r="136" spans="1:27" s="65" customFormat="1" ht="14.25" customHeight="1" x14ac:dyDescent="0.25">
      <c r="A136" s="8"/>
      <c r="B136" s="9"/>
      <c r="C136" s="2"/>
      <c r="D136" s="11"/>
      <c r="E136" s="9"/>
      <c r="F136" s="10"/>
      <c r="G136" s="10"/>
      <c r="H136" s="30"/>
      <c r="I136" s="30"/>
      <c r="J136" s="30"/>
      <c r="K136" s="30"/>
      <c r="L136" s="30"/>
      <c r="M136" s="30"/>
      <c r="N136" s="30"/>
      <c r="O136" s="9"/>
      <c r="P136" s="9"/>
      <c r="Q136" s="8"/>
      <c r="R136" s="8"/>
      <c r="S136" s="12"/>
      <c r="T136" s="29"/>
      <c r="U136" s="29"/>
      <c r="V136" s="29"/>
      <c r="W136" s="29"/>
      <c r="X136" s="8"/>
      <c r="Y136" s="29"/>
      <c r="Z136" s="8"/>
      <c r="AA136" s="8"/>
    </row>
    <row r="137" spans="1:27" s="65" customFormat="1" ht="14.25" customHeight="1" x14ac:dyDescent="0.25">
      <c r="A137" s="8"/>
      <c r="B137" s="9"/>
      <c r="C137" s="2"/>
      <c r="D137" s="11"/>
      <c r="E137" s="9"/>
      <c r="F137" s="10"/>
      <c r="G137" s="10"/>
      <c r="H137" s="30"/>
      <c r="I137" s="30"/>
      <c r="J137" s="30"/>
      <c r="K137" s="30"/>
      <c r="L137" s="30"/>
      <c r="M137" s="30"/>
      <c r="N137" s="30"/>
      <c r="O137" s="9"/>
      <c r="P137" s="9"/>
      <c r="Q137" s="8"/>
      <c r="R137" s="8"/>
      <c r="S137" s="12"/>
      <c r="T137" s="29"/>
      <c r="U137" s="29"/>
      <c r="V137" s="29"/>
      <c r="W137" s="29"/>
      <c r="X137" s="8"/>
      <c r="Y137" s="29"/>
      <c r="Z137" s="8"/>
      <c r="AA137" s="8"/>
    </row>
    <row r="138" spans="1:27" s="65" customFormat="1" ht="14.25" customHeight="1" x14ac:dyDescent="0.25">
      <c r="A138" s="8"/>
      <c r="B138" s="9"/>
      <c r="C138" s="2"/>
      <c r="D138" s="11"/>
      <c r="E138" s="9"/>
      <c r="F138" s="10"/>
      <c r="G138" s="10"/>
      <c r="H138" s="30"/>
      <c r="I138" s="30"/>
      <c r="J138" s="30"/>
      <c r="K138" s="30"/>
      <c r="L138" s="30"/>
      <c r="M138" s="30"/>
      <c r="N138" s="30"/>
      <c r="O138" s="9"/>
      <c r="P138" s="9"/>
      <c r="Q138" s="8"/>
      <c r="R138" s="8"/>
      <c r="S138" s="12"/>
      <c r="T138" s="29"/>
      <c r="U138" s="29"/>
      <c r="V138" s="29"/>
      <c r="W138" s="29"/>
      <c r="X138" s="8"/>
      <c r="Y138" s="29"/>
      <c r="Z138" s="8"/>
      <c r="AA138" s="8"/>
    </row>
    <row r="139" spans="1:27" s="65" customFormat="1" ht="14.25" customHeight="1" x14ac:dyDescent="0.25">
      <c r="A139" s="8"/>
      <c r="B139" s="9"/>
      <c r="C139" s="2"/>
      <c r="D139" s="11"/>
      <c r="E139" s="9"/>
      <c r="F139" s="10"/>
      <c r="G139" s="10"/>
      <c r="H139" s="30"/>
      <c r="I139" s="30"/>
      <c r="J139" s="30"/>
      <c r="K139" s="30"/>
      <c r="L139" s="30"/>
      <c r="M139" s="30"/>
      <c r="N139" s="30"/>
      <c r="O139" s="9"/>
      <c r="P139" s="9"/>
      <c r="Q139" s="8"/>
      <c r="R139" s="8"/>
      <c r="S139" s="12"/>
      <c r="T139" s="29"/>
      <c r="U139" s="29"/>
      <c r="V139" s="29"/>
      <c r="W139" s="29"/>
      <c r="X139" s="8"/>
      <c r="Y139" s="29"/>
      <c r="Z139" s="8"/>
      <c r="AA139" s="8"/>
    </row>
    <row r="140" spans="1:27" s="65" customFormat="1" ht="14.25" customHeight="1" x14ac:dyDescent="0.25">
      <c r="A140" s="8"/>
      <c r="B140" s="9"/>
      <c r="C140" s="2"/>
      <c r="D140" s="11"/>
      <c r="E140" s="9"/>
      <c r="F140" s="10"/>
      <c r="G140" s="10"/>
      <c r="H140" s="30"/>
      <c r="I140" s="30"/>
      <c r="J140" s="30"/>
      <c r="K140" s="30"/>
      <c r="L140" s="30"/>
      <c r="M140" s="30"/>
      <c r="N140" s="30"/>
      <c r="O140" s="9"/>
      <c r="P140" s="9"/>
      <c r="Q140" s="8"/>
      <c r="R140" s="8"/>
      <c r="S140" s="12"/>
      <c r="T140" s="29"/>
      <c r="U140" s="29"/>
      <c r="V140" s="29"/>
      <c r="W140" s="29"/>
      <c r="X140" s="8"/>
      <c r="Y140" s="29"/>
      <c r="Z140" s="8"/>
      <c r="AA140" s="8"/>
    </row>
    <row r="141" spans="1:27" s="65" customFormat="1" ht="14.25" customHeight="1" x14ac:dyDescent="0.25">
      <c r="A141" s="8"/>
      <c r="B141" s="9"/>
      <c r="C141" s="2"/>
      <c r="D141" s="11"/>
      <c r="E141" s="9"/>
      <c r="F141" s="10"/>
      <c r="G141" s="10"/>
      <c r="H141" s="30"/>
      <c r="I141" s="30"/>
      <c r="J141" s="30"/>
      <c r="K141" s="30"/>
      <c r="L141" s="30"/>
      <c r="M141" s="30"/>
      <c r="N141" s="30"/>
      <c r="O141" s="9"/>
      <c r="P141" s="9"/>
      <c r="Q141" s="8"/>
      <c r="R141" s="8"/>
      <c r="S141" s="12"/>
      <c r="T141" s="29"/>
      <c r="U141" s="29"/>
      <c r="V141" s="29"/>
      <c r="W141" s="29"/>
      <c r="X141" s="8"/>
      <c r="Y141" s="29"/>
      <c r="Z141" s="8"/>
      <c r="AA141" s="8"/>
    </row>
    <row r="142" spans="1:27" s="65" customFormat="1" ht="14.25" customHeight="1" x14ac:dyDescent="0.25">
      <c r="A142" s="8"/>
      <c r="B142" s="9"/>
      <c r="C142" s="2"/>
      <c r="D142" s="11"/>
      <c r="E142" s="9"/>
      <c r="F142" s="10"/>
      <c r="G142" s="10"/>
      <c r="H142" s="30"/>
      <c r="I142" s="30"/>
      <c r="J142" s="30"/>
      <c r="K142" s="30"/>
      <c r="L142" s="30"/>
      <c r="M142" s="30"/>
      <c r="N142" s="30"/>
      <c r="O142" s="9"/>
      <c r="P142" s="9"/>
      <c r="Q142" s="8"/>
      <c r="R142" s="8"/>
      <c r="S142" s="12"/>
      <c r="T142" s="29"/>
      <c r="U142" s="29"/>
      <c r="V142" s="29"/>
      <c r="W142" s="29"/>
      <c r="X142" s="8"/>
      <c r="Y142" s="29"/>
      <c r="Z142" s="8"/>
      <c r="AA142" s="8"/>
    </row>
    <row r="143" spans="1:27" s="65" customFormat="1" ht="14.25" customHeight="1" x14ac:dyDescent="0.25">
      <c r="A143" s="8"/>
      <c r="B143" s="9"/>
      <c r="C143" s="2"/>
      <c r="D143" s="11"/>
      <c r="E143" s="9"/>
      <c r="F143" s="10"/>
      <c r="G143" s="10"/>
      <c r="H143" s="30"/>
      <c r="I143" s="30"/>
      <c r="J143" s="30"/>
      <c r="K143" s="30"/>
      <c r="L143" s="30"/>
      <c r="M143" s="30"/>
      <c r="N143" s="30"/>
      <c r="O143" s="9"/>
      <c r="P143" s="9"/>
      <c r="Q143" s="8"/>
      <c r="R143" s="8"/>
      <c r="S143" s="12"/>
      <c r="T143" s="29"/>
      <c r="U143" s="29"/>
      <c r="V143" s="29"/>
      <c r="W143" s="29"/>
      <c r="X143" s="8"/>
      <c r="Y143" s="29"/>
      <c r="Z143" s="8"/>
      <c r="AA143" s="8"/>
    </row>
    <row r="144" spans="1:27" s="65" customFormat="1" ht="14.25" customHeight="1" x14ac:dyDescent="0.25">
      <c r="A144" s="8"/>
      <c r="B144" s="9"/>
      <c r="C144" s="2"/>
      <c r="D144" s="11"/>
      <c r="E144" s="9"/>
      <c r="F144" s="10"/>
      <c r="G144" s="10"/>
      <c r="H144" s="30"/>
      <c r="I144" s="30"/>
      <c r="J144" s="30"/>
      <c r="K144" s="30"/>
      <c r="L144" s="30"/>
      <c r="M144" s="30"/>
      <c r="N144" s="30"/>
      <c r="O144" s="9"/>
      <c r="P144" s="9"/>
      <c r="Q144" s="8"/>
      <c r="R144" s="8"/>
      <c r="S144" s="12"/>
      <c r="T144" s="29"/>
      <c r="U144" s="29"/>
      <c r="V144" s="29"/>
      <c r="W144" s="29"/>
      <c r="X144" s="8"/>
      <c r="Y144" s="29"/>
      <c r="Z144" s="8"/>
      <c r="AA144" s="8"/>
    </row>
    <row r="145" spans="1:27" s="65" customFormat="1" ht="14.25" customHeight="1" x14ac:dyDescent="0.25">
      <c r="A145" s="8"/>
      <c r="B145" s="9"/>
      <c r="C145" s="2"/>
      <c r="D145" s="11"/>
      <c r="E145" s="9"/>
      <c r="F145" s="10"/>
      <c r="G145" s="10"/>
      <c r="H145" s="30"/>
      <c r="I145" s="30"/>
      <c r="J145" s="30"/>
      <c r="K145" s="30"/>
      <c r="L145" s="30"/>
      <c r="M145" s="30"/>
      <c r="N145" s="30"/>
      <c r="O145" s="9"/>
      <c r="P145" s="9"/>
      <c r="Q145" s="8"/>
      <c r="R145" s="8"/>
      <c r="S145" s="12"/>
      <c r="T145" s="29"/>
      <c r="U145" s="29"/>
      <c r="V145" s="29"/>
      <c r="W145" s="29"/>
      <c r="X145" s="8"/>
      <c r="Y145" s="29"/>
      <c r="Z145" s="8"/>
      <c r="AA145" s="8"/>
    </row>
    <row r="146" spans="1:27" s="65" customFormat="1" ht="14.25" customHeight="1" x14ac:dyDescent="0.25">
      <c r="A146" s="8"/>
      <c r="B146" s="9"/>
      <c r="C146" s="2"/>
      <c r="D146" s="11"/>
      <c r="E146" s="9"/>
      <c r="F146" s="10"/>
      <c r="G146" s="10"/>
      <c r="H146" s="30"/>
      <c r="I146" s="30"/>
      <c r="J146" s="30"/>
      <c r="K146" s="30"/>
      <c r="L146" s="30"/>
      <c r="M146" s="30"/>
      <c r="N146" s="30"/>
      <c r="O146" s="9"/>
      <c r="P146" s="9"/>
      <c r="Q146" s="8"/>
      <c r="R146" s="8"/>
      <c r="S146" s="12"/>
      <c r="T146" s="29"/>
      <c r="U146" s="29"/>
      <c r="V146" s="29"/>
      <c r="W146" s="29"/>
      <c r="X146" s="8"/>
      <c r="Y146" s="29"/>
      <c r="Z146" s="8"/>
      <c r="AA146" s="8"/>
    </row>
    <row r="147" spans="1:27" s="65" customFormat="1" ht="14.25" customHeight="1" x14ac:dyDescent="0.25">
      <c r="A147" s="8"/>
      <c r="B147" s="9"/>
      <c r="C147" s="2"/>
      <c r="D147" s="11"/>
      <c r="E147" s="9"/>
      <c r="F147" s="10"/>
      <c r="G147" s="10"/>
      <c r="H147" s="30"/>
      <c r="I147" s="30"/>
      <c r="J147" s="30"/>
      <c r="K147" s="30"/>
      <c r="L147" s="30"/>
      <c r="M147" s="30"/>
      <c r="N147" s="30"/>
      <c r="O147" s="9"/>
      <c r="P147" s="9"/>
      <c r="Q147" s="8"/>
      <c r="R147" s="8"/>
      <c r="S147" s="12"/>
      <c r="T147" s="29"/>
      <c r="U147" s="29"/>
      <c r="V147" s="29"/>
      <c r="W147" s="29"/>
      <c r="X147" s="8"/>
      <c r="Y147" s="29"/>
      <c r="Z147" s="8"/>
      <c r="AA147" s="8"/>
    </row>
    <row r="148" spans="1:27" s="65" customFormat="1" ht="14.25" customHeight="1" x14ac:dyDescent="0.25">
      <c r="A148" s="8"/>
      <c r="B148" s="9"/>
      <c r="C148" s="2"/>
      <c r="D148" s="11"/>
      <c r="E148" s="9"/>
      <c r="F148" s="10"/>
      <c r="G148" s="10"/>
      <c r="H148" s="30"/>
      <c r="I148" s="30"/>
      <c r="J148" s="30"/>
      <c r="K148" s="30"/>
      <c r="L148" s="30"/>
      <c r="M148" s="30"/>
      <c r="N148" s="30"/>
      <c r="O148" s="9"/>
      <c r="P148" s="9"/>
      <c r="Q148" s="8"/>
      <c r="R148" s="8"/>
      <c r="S148" s="12"/>
      <c r="T148" s="29"/>
      <c r="U148" s="29"/>
      <c r="V148" s="29"/>
      <c r="W148" s="29"/>
      <c r="X148" s="8"/>
      <c r="Y148" s="29"/>
      <c r="Z148" s="8"/>
      <c r="AA148" s="8"/>
    </row>
    <row r="149" spans="1:27" s="65" customFormat="1" ht="14.25" customHeight="1" x14ac:dyDescent="0.25">
      <c r="A149" s="8"/>
      <c r="B149" s="9"/>
      <c r="C149" s="2"/>
      <c r="D149" s="11"/>
      <c r="E149" s="9"/>
      <c r="F149" s="10"/>
      <c r="G149" s="10"/>
      <c r="H149" s="30"/>
      <c r="I149" s="30"/>
      <c r="J149" s="30"/>
      <c r="K149" s="30"/>
      <c r="L149" s="30"/>
      <c r="M149" s="30"/>
      <c r="N149" s="30"/>
      <c r="O149" s="9"/>
      <c r="P149" s="9"/>
      <c r="Q149" s="8"/>
      <c r="R149" s="8"/>
      <c r="S149" s="12"/>
      <c r="T149" s="29"/>
      <c r="U149" s="29"/>
      <c r="V149" s="29"/>
      <c r="W149" s="29"/>
      <c r="X149" s="8"/>
      <c r="Y149" s="29"/>
      <c r="Z149" s="8"/>
      <c r="AA149" s="8"/>
    </row>
    <row r="150" spans="1:27" s="94" customFormat="1" x14ac:dyDescent="0.25">
      <c r="A150" s="8"/>
      <c r="B150" s="9"/>
      <c r="C150" s="2"/>
      <c r="D150" s="11"/>
      <c r="E150" s="9"/>
      <c r="F150" s="10"/>
      <c r="G150" s="10"/>
      <c r="H150" s="30"/>
      <c r="I150" s="30"/>
      <c r="J150" s="30"/>
      <c r="K150" s="30"/>
      <c r="L150" s="30"/>
      <c r="M150" s="30"/>
      <c r="N150" s="30"/>
      <c r="O150" s="9"/>
      <c r="P150" s="9"/>
      <c r="Q150" s="8"/>
      <c r="R150" s="8"/>
      <c r="S150" s="12"/>
      <c r="T150" s="29"/>
      <c r="U150" s="29"/>
      <c r="V150" s="29"/>
      <c r="W150" s="29"/>
      <c r="X150" s="8"/>
      <c r="Y150" s="29"/>
      <c r="Z150" s="8"/>
      <c r="AA150" s="8"/>
    </row>
    <row r="151" spans="1:27" s="65" customFormat="1" ht="14.25" customHeight="1" x14ac:dyDescent="0.25">
      <c r="A151" s="8"/>
      <c r="B151" s="9"/>
      <c r="C151" s="2"/>
      <c r="D151" s="11"/>
      <c r="E151" s="9"/>
      <c r="F151" s="10"/>
      <c r="G151" s="10"/>
      <c r="H151" s="30"/>
      <c r="I151" s="30"/>
      <c r="J151" s="30"/>
      <c r="K151" s="30"/>
      <c r="L151" s="30"/>
      <c r="M151" s="30"/>
      <c r="N151" s="30"/>
      <c r="O151" s="9"/>
      <c r="P151" s="9"/>
      <c r="Q151" s="8"/>
      <c r="R151" s="8"/>
      <c r="S151" s="12"/>
      <c r="T151" s="29"/>
      <c r="U151" s="29"/>
      <c r="V151" s="29"/>
      <c r="W151" s="29"/>
      <c r="X151" s="8"/>
      <c r="Y151" s="29"/>
      <c r="Z151" s="8"/>
      <c r="AA151" s="8"/>
    </row>
    <row r="152" spans="1:27" s="65" customFormat="1" ht="14.25" customHeight="1" x14ac:dyDescent="0.25">
      <c r="A152" s="8"/>
      <c r="B152" s="9"/>
      <c r="C152" s="2"/>
      <c r="D152" s="11"/>
      <c r="E152" s="9"/>
      <c r="F152" s="10"/>
      <c r="G152" s="10"/>
      <c r="H152" s="30"/>
      <c r="I152" s="30"/>
      <c r="J152" s="30"/>
      <c r="K152" s="30"/>
      <c r="L152" s="30"/>
      <c r="M152" s="30"/>
      <c r="N152" s="30"/>
      <c r="O152" s="9"/>
      <c r="P152" s="9"/>
      <c r="Q152" s="8"/>
      <c r="R152" s="8"/>
      <c r="S152" s="12"/>
      <c r="T152" s="29"/>
      <c r="U152" s="29"/>
      <c r="V152" s="29"/>
      <c r="W152" s="29"/>
      <c r="X152" s="8"/>
      <c r="Y152" s="29"/>
      <c r="Z152" s="8"/>
      <c r="AA152" s="8"/>
    </row>
    <row r="153" spans="1:27" s="65" customFormat="1" ht="14.25" customHeight="1" x14ac:dyDescent="0.25">
      <c r="A153" s="8"/>
      <c r="B153" s="9"/>
      <c r="C153" s="2"/>
      <c r="D153" s="11"/>
      <c r="E153" s="9"/>
      <c r="F153" s="10"/>
      <c r="G153" s="10"/>
      <c r="H153" s="30"/>
      <c r="I153" s="30"/>
      <c r="J153" s="30"/>
      <c r="K153" s="30"/>
      <c r="L153" s="30"/>
      <c r="M153" s="30"/>
      <c r="N153" s="30"/>
      <c r="O153" s="9"/>
      <c r="P153" s="9"/>
      <c r="Q153" s="8"/>
      <c r="R153" s="8"/>
      <c r="S153" s="12"/>
      <c r="T153" s="29"/>
      <c r="U153" s="29"/>
      <c r="V153" s="29"/>
      <c r="W153" s="29"/>
      <c r="X153" s="8"/>
      <c r="Y153" s="29"/>
      <c r="Z153" s="8"/>
      <c r="AA153" s="8"/>
    </row>
    <row r="154" spans="1:27" s="65" customFormat="1" ht="14.25" customHeight="1" x14ac:dyDescent="0.25">
      <c r="A154" s="8"/>
      <c r="B154" s="9"/>
      <c r="C154" s="2"/>
      <c r="D154" s="11"/>
      <c r="E154" s="9"/>
      <c r="F154" s="10"/>
      <c r="G154" s="10"/>
      <c r="H154" s="30"/>
      <c r="I154" s="30"/>
      <c r="J154" s="30"/>
      <c r="K154" s="30"/>
      <c r="L154" s="30"/>
      <c r="M154" s="30"/>
      <c r="N154" s="30"/>
      <c r="O154" s="9"/>
      <c r="P154" s="9"/>
      <c r="Q154" s="8"/>
      <c r="R154" s="8"/>
      <c r="S154" s="12"/>
      <c r="T154" s="29"/>
      <c r="U154" s="29"/>
      <c r="V154" s="29"/>
      <c r="W154" s="29"/>
      <c r="X154" s="8"/>
      <c r="Y154" s="29"/>
      <c r="Z154" s="8"/>
      <c r="AA154" s="8"/>
    </row>
    <row r="155" spans="1:27" s="65" customFormat="1" ht="14.25" customHeight="1" x14ac:dyDescent="0.25">
      <c r="A155" s="8"/>
      <c r="B155" s="9"/>
      <c r="C155" s="2"/>
      <c r="D155" s="11"/>
      <c r="E155" s="9"/>
      <c r="F155" s="10"/>
      <c r="G155" s="10"/>
      <c r="H155" s="30"/>
      <c r="I155" s="30"/>
      <c r="J155" s="30"/>
      <c r="K155" s="30"/>
      <c r="L155" s="30"/>
      <c r="M155" s="30"/>
      <c r="N155" s="30"/>
      <c r="O155" s="9"/>
      <c r="P155" s="9"/>
      <c r="Q155" s="8"/>
      <c r="R155" s="8"/>
      <c r="S155" s="12"/>
      <c r="T155" s="29"/>
      <c r="U155" s="29"/>
      <c r="V155" s="29"/>
      <c r="W155" s="29"/>
      <c r="X155" s="8"/>
      <c r="Y155" s="29"/>
      <c r="Z155" s="8"/>
      <c r="AA155" s="8"/>
    </row>
    <row r="156" spans="1:27" s="65" customFormat="1" ht="14.25" customHeight="1" x14ac:dyDescent="0.25">
      <c r="A156" s="8"/>
      <c r="B156" s="9"/>
      <c r="C156" s="2"/>
      <c r="D156" s="11"/>
      <c r="E156" s="9"/>
      <c r="F156" s="10"/>
      <c r="G156" s="10"/>
      <c r="H156" s="30"/>
      <c r="I156" s="30"/>
      <c r="J156" s="30"/>
      <c r="K156" s="30"/>
      <c r="L156" s="30"/>
      <c r="M156" s="30"/>
      <c r="N156" s="30"/>
      <c r="O156" s="9"/>
      <c r="P156" s="9"/>
      <c r="Q156" s="8"/>
      <c r="R156" s="8"/>
      <c r="S156" s="12"/>
      <c r="T156" s="29"/>
      <c r="U156" s="29"/>
      <c r="V156" s="29"/>
      <c r="W156" s="29"/>
      <c r="X156" s="8"/>
      <c r="Y156" s="29"/>
      <c r="Z156" s="8"/>
      <c r="AA156" s="8"/>
    </row>
    <row r="157" spans="1:27" s="65" customFormat="1" ht="14.25" customHeight="1" x14ac:dyDescent="0.25">
      <c r="A157" s="8"/>
      <c r="B157" s="9"/>
      <c r="C157" s="2"/>
      <c r="D157" s="11"/>
      <c r="E157" s="9"/>
      <c r="F157" s="10"/>
      <c r="G157" s="10"/>
      <c r="H157" s="30"/>
      <c r="I157" s="30"/>
      <c r="J157" s="30"/>
      <c r="K157" s="30"/>
      <c r="L157" s="30"/>
      <c r="M157" s="30"/>
      <c r="N157" s="30"/>
      <c r="O157" s="9"/>
      <c r="P157" s="9"/>
      <c r="Q157" s="8"/>
      <c r="R157" s="8"/>
      <c r="S157" s="12"/>
      <c r="T157" s="29"/>
      <c r="U157" s="29"/>
      <c r="V157" s="29"/>
      <c r="W157" s="29"/>
      <c r="X157" s="8"/>
      <c r="Y157" s="29"/>
      <c r="Z157" s="8"/>
      <c r="AA157" s="8"/>
    </row>
    <row r="158" spans="1:27" s="46" customFormat="1" x14ac:dyDescent="0.25">
      <c r="A158" s="8"/>
      <c r="B158" s="9"/>
      <c r="C158" s="2"/>
      <c r="D158" s="11"/>
      <c r="E158" s="9"/>
      <c r="F158" s="10"/>
      <c r="G158" s="10"/>
      <c r="H158" s="30"/>
      <c r="I158" s="30"/>
      <c r="J158" s="30"/>
      <c r="K158" s="30"/>
      <c r="L158" s="30"/>
      <c r="M158" s="30"/>
      <c r="N158" s="30"/>
      <c r="O158" s="9"/>
      <c r="P158" s="9"/>
      <c r="Q158" s="8"/>
      <c r="R158" s="8"/>
      <c r="S158" s="12"/>
      <c r="T158" s="29"/>
      <c r="U158" s="29"/>
      <c r="V158" s="29"/>
      <c r="W158" s="29"/>
      <c r="X158" s="8"/>
      <c r="Y158" s="29"/>
      <c r="Z158" s="8"/>
      <c r="AA158" s="8"/>
    </row>
    <row r="159" spans="1:27" s="94" customFormat="1" ht="14.25" customHeight="1" x14ac:dyDescent="0.25">
      <c r="A159" s="8"/>
      <c r="B159" s="9"/>
      <c r="C159" s="2"/>
      <c r="D159" s="11"/>
      <c r="E159" s="9"/>
      <c r="F159" s="10"/>
      <c r="G159" s="10"/>
      <c r="H159" s="30"/>
      <c r="I159" s="30"/>
      <c r="J159" s="30"/>
      <c r="K159" s="30"/>
      <c r="L159" s="30"/>
      <c r="M159" s="30"/>
      <c r="N159" s="30"/>
      <c r="O159" s="9"/>
      <c r="P159" s="9"/>
      <c r="Q159" s="8"/>
      <c r="R159" s="8"/>
      <c r="S159" s="12"/>
      <c r="T159" s="29"/>
      <c r="U159" s="29"/>
      <c r="V159" s="29"/>
      <c r="W159" s="29"/>
      <c r="X159" s="8"/>
      <c r="Y159" s="29"/>
      <c r="Z159" s="8"/>
      <c r="AA159" s="8"/>
    </row>
    <row r="160" spans="1:27" s="94" customFormat="1" ht="14.25" customHeight="1" x14ac:dyDescent="0.25">
      <c r="A160" s="8"/>
      <c r="B160" s="9"/>
      <c r="C160" s="2"/>
      <c r="D160" s="11"/>
      <c r="E160" s="9"/>
      <c r="F160" s="10"/>
      <c r="G160" s="10"/>
      <c r="H160" s="30"/>
      <c r="I160" s="30"/>
      <c r="J160" s="30"/>
      <c r="K160" s="30"/>
      <c r="L160" s="30"/>
      <c r="M160" s="30"/>
      <c r="N160" s="30"/>
      <c r="O160" s="9"/>
      <c r="P160" s="9"/>
      <c r="Q160" s="8"/>
      <c r="R160" s="8"/>
      <c r="S160" s="12"/>
      <c r="T160" s="29"/>
      <c r="U160" s="29"/>
      <c r="V160" s="29"/>
      <c r="W160" s="29"/>
      <c r="X160" s="8"/>
      <c r="Y160" s="29"/>
      <c r="Z160" s="8"/>
      <c r="AA160" s="8"/>
    </row>
    <row r="161" spans="1:27" s="94" customFormat="1" ht="16.5" customHeight="1" x14ac:dyDescent="0.25">
      <c r="A161" s="8"/>
      <c r="B161" s="9"/>
      <c r="C161" s="2"/>
      <c r="D161" s="11"/>
      <c r="E161" s="9"/>
      <c r="F161" s="10"/>
      <c r="G161" s="10"/>
      <c r="H161" s="30"/>
      <c r="I161" s="30"/>
      <c r="J161" s="30"/>
      <c r="K161" s="30"/>
      <c r="L161" s="30"/>
      <c r="M161" s="30"/>
      <c r="N161" s="30"/>
      <c r="O161" s="9"/>
      <c r="P161" s="9"/>
      <c r="Q161" s="8"/>
      <c r="R161" s="8"/>
      <c r="S161" s="12"/>
      <c r="T161" s="29"/>
      <c r="U161" s="29"/>
      <c r="V161" s="29"/>
      <c r="W161" s="29"/>
      <c r="X161" s="8"/>
      <c r="Y161" s="29"/>
      <c r="Z161" s="8"/>
      <c r="AA161" s="8"/>
    </row>
    <row r="162" spans="1:27" s="65" customFormat="1" ht="16.5" customHeight="1" x14ac:dyDescent="0.25">
      <c r="A162" s="8"/>
      <c r="B162" s="9"/>
      <c r="C162" s="2"/>
      <c r="D162" s="11"/>
      <c r="E162" s="9"/>
      <c r="F162" s="10"/>
      <c r="G162" s="10"/>
      <c r="H162" s="30"/>
      <c r="I162" s="30"/>
      <c r="J162" s="30"/>
      <c r="K162" s="30"/>
      <c r="L162" s="30"/>
      <c r="M162" s="30"/>
      <c r="N162" s="30"/>
      <c r="O162" s="9"/>
      <c r="P162" s="9"/>
      <c r="Q162" s="8"/>
      <c r="R162" s="8"/>
      <c r="S162" s="12"/>
      <c r="T162" s="29"/>
      <c r="U162" s="29"/>
      <c r="V162" s="29"/>
      <c r="W162" s="29"/>
      <c r="X162" s="8"/>
      <c r="Y162" s="29"/>
      <c r="Z162" s="8"/>
      <c r="AA162" s="8"/>
    </row>
    <row r="163" spans="1:27" s="65" customFormat="1" ht="16.5" customHeight="1" x14ac:dyDescent="0.25">
      <c r="A163" s="8"/>
      <c r="B163" s="9"/>
      <c r="C163" s="2"/>
      <c r="D163" s="11"/>
      <c r="E163" s="9"/>
      <c r="F163" s="10"/>
      <c r="G163" s="10"/>
      <c r="H163" s="30"/>
      <c r="I163" s="30"/>
      <c r="J163" s="30"/>
      <c r="K163" s="30"/>
      <c r="L163" s="30"/>
      <c r="M163" s="30"/>
      <c r="N163" s="30"/>
      <c r="O163" s="9"/>
      <c r="P163" s="9"/>
      <c r="Q163" s="8"/>
      <c r="R163" s="8"/>
      <c r="S163" s="12"/>
      <c r="T163" s="29"/>
      <c r="U163" s="29"/>
      <c r="V163" s="29"/>
      <c r="W163" s="29"/>
      <c r="X163" s="8"/>
      <c r="Y163" s="29"/>
      <c r="Z163" s="8"/>
      <c r="AA163" s="8"/>
    </row>
    <row r="164" spans="1:27" s="65" customFormat="1" ht="14.25" customHeight="1" x14ac:dyDescent="0.25">
      <c r="A164" s="8"/>
      <c r="B164" s="9"/>
      <c r="C164" s="2"/>
      <c r="D164" s="11"/>
      <c r="E164" s="9"/>
      <c r="F164" s="10"/>
      <c r="G164" s="10"/>
      <c r="H164" s="30"/>
      <c r="I164" s="30"/>
      <c r="J164" s="30"/>
      <c r="K164" s="30"/>
      <c r="L164" s="30"/>
      <c r="M164" s="30"/>
      <c r="N164" s="30"/>
      <c r="O164" s="9"/>
      <c r="P164" s="9"/>
      <c r="Q164" s="8"/>
      <c r="R164" s="8"/>
      <c r="S164" s="12"/>
      <c r="T164" s="29"/>
      <c r="U164" s="29"/>
      <c r="V164" s="29"/>
      <c r="W164" s="29"/>
      <c r="X164" s="8"/>
      <c r="Y164" s="29"/>
      <c r="Z164" s="8"/>
      <c r="AA164" s="8"/>
    </row>
    <row r="165" spans="1:27" s="65" customFormat="1" ht="14.25" customHeight="1" x14ac:dyDescent="0.25">
      <c r="A165" s="8"/>
      <c r="B165" s="9"/>
      <c r="C165" s="2"/>
      <c r="D165" s="11"/>
      <c r="E165" s="9"/>
      <c r="F165" s="10"/>
      <c r="G165" s="10"/>
      <c r="H165" s="30"/>
      <c r="I165" s="30"/>
      <c r="J165" s="30"/>
      <c r="K165" s="30"/>
      <c r="L165" s="30"/>
      <c r="M165" s="30"/>
      <c r="N165" s="30"/>
      <c r="O165" s="9"/>
      <c r="P165" s="9"/>
      <c r="Q165" s="8"/>
      <c r="R165" s="8"/>
      <c r="S165" s="12"/>
      <c r="T165" s="29"/>
      <c r="U165" s="29"/>
      <c r="V165" s="29"/>
      <c r="W165" s="29"/>
      <c r="X165" s="8"/>
      <c r="Y165" s="29"/>
      <c r="Z165" s="8"/>
      <c r="AA165" s="8"/>
    </row>
    <row r="166" spans="1:27" s="65" customFormat="1" ht="14.25" customHeight="1" x14ac:dyDescent="0.25">
      <c r="A166" s="8"/>
      <c r="B166" s="9"/>
      <c r="C166" s="2"/>
      <c r="D166" s="11"/>
      <c r="E166" s="9"/>
      <c r="F166" s="10"/>
      <c r="G166" s="10"/>
      <c r="H166" s="30"/>
      <c r="I166" s="30"/>
      <c r="J166" s="30"/>
      <c r="K166" s="30"/>
      <c r="L166" s="30"/>
      <c r="M166" s="30"/>
      <c r="N166" s="30"/>
      <c r="O166" s="9"/>
      <c r="P166" s="9"/>
      <c r="Q166" s="8"/>
      <c r="R166" s="8"/>
      <c r="S166" s="12"/>
      <c r="T166" s="29"/>
      <c r="U166" s="29"/>
      <c r="V166" s="29"/>
      <c r="W166" s="29"/>
      <c r="X166" s="8"/>
      <c r="Y166" s="29"/>
      <c r="Z166" s="8"/>
      <c r="AA166" s="8"/>
    </row>
    <row r="167" spans="1:27" s="65" customFormat="1" ht="14.25" customHeight="1" x14ac:dyDescent="0.25">
      <c r="A167" s="8"/>
      <c r="B167" s="9"/>
      <c r="C167" s="2"/>
      <c r="D167" s="11"/>
      <c r="E167" s="9"/>
      <c r="F167" s="10"/>
      <c r="G167" s="10"/>
      <c r="H167" s="30"/>
      <c r="I167" s="30"/>
      <c r="J167" s="30"/>
      <c r="K167" s="30"/>
      <c r="L167" s="30"/>
      <c r="M167" s="30"/>
      <c r="N167" s="30"/>
      <c r="O167" s="9"/>
      <c r="P167" s="9"/>
      <c r="Q167" s="8"/>
      <c r="R167" s="8"/>
      <c r="S167" s="12"/>
      <c r="T167" s="29"/>
      <c r="U167" s="29"/>
      <c r="V167" s="29"/>
      <c r="W167" s="29"/>
      <c r="X167" s="8"/>
      <c r="Y167" s="29"/>
      <c r="Z167" s="8"/>
      <c r="AA167" s="8"/>
    </row>
    <row r="168" spans="1:27" s="65" customFormat="1" ht="14.25" customHeight="1" x14ac:dyDescent="0.25">
      <c r="A168" s="8"/>
      <c r="B168" s="9"/>
      <c r="C168" s="2"/>
      <c r="D168" s="11"/>
      <c r="E168" s="9"/>
      <c r="F168" s="10"/>
      <c r="G168" s="10"/>
      <c r="H168" s="30"/>
      <c r="I168" s="30"/>
      <c r="J168" s="30"/>
      <c r="K168" s="30"/>
      <c r="L168" s="30"/>
      <c r="M168" s="30"/>
      <c r="N168" s="30"/>
      <c r="O168" s="9"/>
      <c r="P168" s="9"/>
      <c r="Q168" s="8"/>
      <c r="R168" s="8"/>
      <c r="S168" s="12"/>
      <c r="T168" s="29"/>
      <c r="U168" s="29"/>
      <c r="V168" s="29"/>
      <c r="W168" s="29"/>
      <c r="X168" s="8"/>
      <c r="Y168" s="29"/>
      <c r="Z168" s="8"/>
      <c r="AA168" s="8"/>
    </row>
    <row r="169" spans="1:27" s="65" customFormat="1" ht="16.5" customHeight="1" x14ac:dyDescent="0.25">
      <c r="A169" s="8"/>
      <c r="B169" s="9"/>
      <c r="C169" s="2"/>
      <c r="D169" s="11"/>
      <c r="E169" s="9"/>
      <c r="F169" s="10"/>
      <c r="G169" s="10"/>
      <c r="H169" s="30"/>
      <c r="I169" s="30"/>
      <c r="J169" s="30"/>
      <c r="K169" s="30"/>
      <c r="L169" s="30"/>
      <c r="M169" s="30"/>
      <c r="N169" s="30"/>
      <c r="O169" s="9"/>
      <c r="P169" s="9"/>
      <c r="Q169" s="8"/>
      <c r="R169" s="8"/>
      <c r="S169" s="12"/>
      <c r="T169" s="29"/>
      <c r="U169" s="29"/>
      <c r="V169" s="29"/>
      <c r="W169" s="29"/>
      <c r="X169" s="8"/>
      <c r="Y169" s="29"/>
      <c r="Z169" s="8"/>
      <c r="AA169" s="8"/>
    </row>
    <row r="170" spans="1:27" s="65" customFormat="1" ht="14.25" customHeight="1" x14ac:dyDescent="0.25">
      <c r="A170" s="8"/>
      <c r="B170" s="9"/>
      <c r="C170" s="2"/>
      <c r="D170" s="11"/>
      <c r="E170" s="9"/>
      <c r="F170" s="10"/>
      <c r="G170" s="10"/>
      <c r="H170" s="30"/>
      <c r="I170" s="30"/>
      <c r="J170" s="30"/>
      <c r="K170" s="30"/>
      <c r="L170" s="30"/>
      <c r="M170" s="30"/>
      <c r="N170" s="30"/>
      <c r="O170" s="9"/>
      <c r="P170" s="9"/>
      <c r="Q170" s="8"/>
      <c r="R170" s="8"/>
      <c r="S170" s="12"/>
      <c r="T170" s="29"/>
      <c r="U170" s="29"/>
      <c r="V170" s="29"/>
      <c r="W170" s="29"/>
      <c r="X170" s="8"/>
      <c r="Y170" s="29"/>
      <c r="Z170" s="8"/>
      <c r="AA170" s="8"/>
    </row>
    <row r="171" spans="1:27" s="65" customFormat="1" ht="14.25" customHeight="1" x14ac:dyDescent="0.25">
      <c r="A171" s="8"/>
      <c r="B171" s="9"/>
      <c r="C171" s="2"/>
      <c r="D171" s="11"/>
      <c r="E171" s="9"/>
      <c r="F171" s="10"/>
      <c r="G171" s="10"/>
      <c r="H171" s="30"/>
      <c r="I171" s="30"/>
      <c r="J171" s="30"/>
      <c r="K171" s="30"/>
      <c r="L171" s="30"/>
      <c r="M171" s="30"/>
      <c r="N171" s="30"/>
      <c r="O171" s="9"/>
      <c r="P171" s="9"/>
      <c r="Q171" s="8"/>
      <c r="R171" s="8"/>
      <c r="S171" s="12"/>
      <c r="T171" s="29"/>
      <c r="U171" s="29"/>
      <c r="V171" s="29"/>
      <c r="W171" s="29"/>
      <c r="X171" s="8"/>
      <c r="Y171" s="29"/>
      <c r="Z171" s="8"/>
      <c r="AA171" s="8"/>
    </row>
    <row r="172" spans="1:27" s="65" customFormat="1" ht="14.25" customHeight="1" x14ac:dyDescent="0.25">
      <c r="A172" s="8"/>
      <c r="B172" s="9"/>
      <c r="C172" s="2"/>
      <c r="D172" s="11"/>
      <c r="E172" s="9"/>
      <c r="F172" s="10"/>
      <c r="G172" s="10"/>
      <c r="H172" s="30"/>
      <c r="I172" s="30"/>
      <c r="J172" s="30"/>
      <c r="K172" s="30"/>
      <c r="L172" s="30"/>
      <c r="M172" s="30"/>
      <c r="N172" s="30"/>
      <c r="O172" s="9"/>
      <c r="P172" s="9"/>
      <c r="Q172" s="8"/>
      <c r="R172" s="8"/>
      <c r="S172" s="12"/>
      <c r="T172" s="29"/>
      <c r="U172" s="29"/>
      <c r="V172" s="29"/>
      <c r="W172" s="29"/>
      <c r="X172" s="8"/>
      <c r="Y172" s="29"/>
      <c r="Z172" s="8"/>
      <c r="AA172" s="8"/>
    </row>
    <row r="173" spans="1:27" s="65" customFormat="1" ht="14.25" customHeight="1" x14ac:dyDescent="0.25">
      <c r="A173" s="8"/>
      <c r="B173" s="9"/>
      <c r="C173" s="2"/>
      <c r="D173" s="11"/>
      <c r="E173" s="9"/>
      <c r="F173" s="10"/>
      <c r="G173" s="10"/>
      <c r="H173" s="30"/>
      <c r="I173" s="30"/>
      <c r="J173" s="30"/>
      <c r="K173" s="30"/>
      <c r="L173" s="30"/>
      <c r="M173" s="30"/>
      <c r="N173" s="30"/>
      <c r="O173" s="9"/>
      <c r="P173" s="9"/>
      <c r="Q173" s="8"/>
      <c r="R173" s="8"/>
      <c r="S173" s="12"/>
      <c r="T173" s="29"/>
      <c r="U173" s="29"/>
      <c r="V173" s="29"/>
      <c r="W173" s="29"/>
      <c r="X173" s="8"/>
      <c r="Y173" s="29"/>
      <c r="Z173" s="8"/>
      <c r="AA173" s="8"/>
    </row>
    <row r="174" spans="1:27" s="94" customFormat="1" x14ac:dyDescent="0.25">
      <c r="A174" s="8"/>
      <c r="B174" s="9"/>
      <c r="C174" s="2"/>
      <c r="D174" s="11"/>
      <c r="E174" s="9"/>
      <c r="F174" s="10"/>
      <c r="G174" s="10"/>
      <c r="H174" s="30"/>
      <c r="I174" s="30"/>
      <c r="J174" s="30"/>
      <c r="K174" s="30"/>
      <c r="L174" s="30"/>
      <c r="M174" s="30"/>
      <c r="N174" s="30"/>
      <c r="O174" s="9"/>
      <c r="P174" s="9"/>
      <c r="Q174" s="8"/>
      <c r="R174" s="8"/>
      <c r="S174" s="12"/>
      <c r="T174" s="29"/>
      <c r="U174" s="29"/>
      <c r="V174" s="29"/>
      <c r="W174" s="29"/>
      <c r="X174" s="8"/>
      <c r="Y174" s="29"/>
      <c r="Z174" s="8"/>
      <c r="AA174" s="8"/>
    </row>
    <row r="175" spans="1:27" s="65" customFormat="1" ht="14.25" customHeight="1" x14ac:dyDescent="0.25">
      <c r="A175" s="8"/>
      <c r="B175" s="9"/>
      <c r="C175" s="2"/>
      <c r="D175" s="11"/>
      <c r="E175" s="9"/>
      <c r="F175" s="10"/>
      <c r="G175" s="10"/>
      <c r="H175" s="30"/>
      <c r="I175" s="30"/>
      <c r="J175" s="30"/>
      <c r="K175" s="30"/>
      <c r="L175" s="30"/>
      <c r="M175" s="30"/>
      <c r="N175" s="30"/>
      <c r="O175" s="9"/>
      <c r="P175" s="9"/>
      <c r="Q175" s="8"/>
      <c r="R175" s="8"/>
      <c r="S175" s="12"/>
      <c r="T175" s="29"/>
      <c r="U175" s="29"/>
      <c r="V175" s="29"/>
      <c r="W175" s="29"/>
      <c r="X175" s="8"/>
      <c r="Y175" s="29"/>
      <c r="Z175" s="8"/>
      <c r="AA175" s="8"/>
    </row>
    <row r="176" spans="1:27" s="46" customFormat="1" x14ac:dyDescent="0.25">
      <c r="A176" s="8"/>
      <c r="B176" s="9"/>
      <c r="C176" s="2"/>
      <c r="D176" s="11"/>
      <c r="E176" s="9"/>
      <c r="F176" s="10"/>
      <c r="G176" s="10"/>
      <c r="H176" s="30"/>
      <c r="I176" s="30"/>
      <c r="J176" s="30"/>
      <c r="K176" s="30"/>
      <c r="L176" s="30"/>
      <c r="M176" s="30"/>
      <c r="N176" s="30"/>
      <c r="O176" s="9"/>
      <c r="P176" s="9"/>
      <c r="Q176" s="8"/>
      <c r="R176" s="8"/>
      <c r="S176" s="12"/>
      <c r="T176" s="29"/>
      <c r="U176" s="29"/>
      <c r="V176" s="29"/>
      <c r="W176" s="29"/>
      <c r="X176" s="8"/>
      <c r="Y176" s="29"/>
      <c r="Z176" s="8"/>
      <c r="AA176" s="8"/>
    </row>
    <row r="177" spans="1:27" s="46" customFormat="1" x14ac:dyDescent="0.25">
      <c r="A177" s="8"/>
      <c r="B177" s="9"/>
      <c r="C177" s="2"/>
      <c r="D177" s="11"/>
      <c r="E177" s="9"/>
      <c r="F177" s="10"/>
      <c r="G177" s="10"/>
      <c r="H177" s="30"/>
      <c r="I177" s="30"/>
      <c r="J177" s="30"/>
      <c r="K177" s="30"/>
      <c r="L177" s="30"/>
      <c r="M177" s="30"/>
      <c r="N177" s="30"/>
      <c r="O177" s="9"/>
      <c r="P177" s="9"/>
      <c r="Q177" s="8"/>
      <c r="R177" s="8"/>
      <c r="S177" s="12"/>
      <c r="T177" s="29"/>
      <c r="U177" s="29"/>
      <c r="V177" s="29"/>
      <c r="W177" s="29"/>
      <c r="X177" s="8"/>
      <c r="Y177" s="29"/>
      <c r="Z177" s="8"/>
      <c r="AA177" s="8"/>
    </row>
    <row r="178" spans="1:27" s="46" customFormat="1" x14ac:dyDescent="0.25">
      <c r="A178" s="8"/>
      <c r="B178" s="9"/>
      <c r="C178" s="2"/>
      <c r="D178" s="11"/>
      <c r="E178" s="9"/>
      <c r="F178" s="10"/>
      <c r="G178" s="10"/>
      <c r="H178" s="30"/>
      <c r="I178" s="30"/>
      <c r="J178" s="30"/>
      <c r="K178" s="30"/>
      <c r="L178" s="30"/>
      <c r="M178" s="30"/>
      <c r="N178" s="30"/>
      <c r="O178" s="9"/>
      <c r="P178" s="9"/>
      <c r="Q178" s="8"/>
      <c r="R178" s="8"/>
      <c r="S178" s="12"/>
      <c r="T178" s="29"/>
      <c r="U178" s="29"/>
      <c r="V178" s="29"/>
      <c r="W178" s="29"/>
      <c r="X178" s="8"/>
      <c r="Y178" s="29"/>
      <c r="Z178" s="8"/>
      <c r="AA178" s="8"/>
    </row>
    <row r="179" spans="1:27" s="46" customFormat="1" x14ac:dyDescent="0.25">
      <c r="A179" s="8"/>
      <c r="B179" s="9"/>
      <c r="C179" s="2"/>
      <c r="D179" s="11"/>
      <c r="E179" s="9"/>
      <c r="F179" s="10"/>
      <c r="G179" s="10"/>
      <c r="H179" s="30"/>
      <c r="I179" s="30"/>
      <c r="J179" s="30"/>
      <c r="K179" s="30"/>
      <c r="L179" s="30"/>
      <c r="M179" s="30"/>
      <c r="N179" s="30"/>
      <c r="O179" s="9"/>
      <c r="P179" s="9"/>
      <c r="Q179" s="8"/>
      <c r="R179" s="8"/>
      <c r="S179" s="12"/>
      <c r="T179" s="29"/>
      <c r="U179" s="29"/>
      <c r="V179" s="29"/>
      <c r="W179" s="29"/>
      <c r="X179" s="8"/>
      <c r="Y179" s="29"/>
      <c r="Z179" s="8"/>
      <c r="AA179" s="8"/>
    </row>
    <row r="180" spans="1:27" s="46" customFormat="1" x14ac:dyDescent="0.25">
      <c r="A180" s="8"/>
      <c r="B180" s="9"/>
      <c r="C180" s="2"/>
      <c r="D180" s="11"/>
      <c r="E180" s="9"/>
      <c r="F180" s="10"/>
      <c r="G180" s="10"/>
      <c r="H180" s="30"/>
      <c r="I180" s="30"/>
      <c r="J180" s="30"/>
      <c r="K180" s="30"/>
      <c r="L180" s="30"/>
      <c r="M180" s="30"/>
      <c r="N180" s="30"/>
      <c r="O180" s="9"/>
      <c r="P180" s="9"/>
      <c r="Q180" s="8"/>
      <c r="R180" s="8"/>
      <c r="S180" s="12"/>
      <c r="T180" s="29"/>
      <c r="U180" s="29"/>
      <c r="V180" s="29"/>
      <c r="W180" s="29"/>
      <c r="X180" s="8"/>
      <c r="Y180" s="29"/>
      <c r="Z180" s="8"/>
      <c r="AA180" s="8"/>
    </row>
    <row r="181" spans="1:27" s="46" customFormat="1" x14ac:dyDescent="0.25">
      <c r="A181" s="8"/>
      <c r="B181" s="9"/>
      <c r="C181" s="2"/>
      <c r="D181" s="11"/>
      <c r="E181" s="9"/>
      <c r="F181" s="10"/>
      <c r="G181" s="10"/>
      <c r="H181" s="30"/>
      <c r="I181" s="30"/>
      <c r="J181" s="30"/>
      <c r="K181" s="30"/>
      <c r="L181" s="30"/>
      <c r="M181" s="30"/>
      <c r="N181" s="30"/>
      <c r="O181" s="9"/>
      <c r="P181" s="9"/>
      <c r="Q181" s="8"/>
      <c r="R181" s="8"/>
      <c r="S181" s="12"/>
      <c r="T181" s="29"/>
      <c r="U181" s="29"/>
      <c r="V181" s="29"/>
      <c r="W181" s="29"/>
      <c r="X181" s="8"/>
      <c r="Y181" s="29"/>
      <c r="Z181" s="8"/>
      <c r="AA181" s="8"/>
    </row>
    <row r="182" spans="1:27" s="46" customFormat="1" ht="15" customHeight="1" x14ac:dyDescent="0.25">
      <c r="A182" s="8"/>
      <c r="B182" s="9"/>
      <c r="C182" s="2"/>
      <c r="D182" s="11"/>
      <c r="E182" s="9"/>
      <c r="F182" s="10"/>
      <c r="G182" s="10"/>
      <c r="H182" s="30"/>
      <c r="I182" s="30"/>
      <c r="J182" s="30"/>
      <c r="K182" s="30"/>
      <c r="L182" s="30"/>
      <c r="M182" s="30"/>
      <c r="N182" s="30"/>
      <c r="O182" s="9"/>
      <c r="P182" s="9"/>
      <c r="Q182" s="8"/>
      <c r="R182" s="8"/>
      <c r="S182" s="12"/>
      <c r="T182" s="29"/>
      <c r="U182" s="29"/>
      <c r="V182" s="29"/>
      <c r="W182" s="29"/>
      <c r="X182" s="8"/>
      <c r="Y182" s="29"/>
      <c r="Z182" s="8"/>
      <c r="AA182" s="8"/>
    </row>
    <row r="183" spans="1:27" s="46" customFormat="1" x14ac:dyDescent="0.25">
      <c r="A183" s="8"/>
      <c r="B183" s="9"/>
      <c r="C183" s="2"/>
      <c r="D183" s="11"/>
      <c r="E183" s="9"/>
      <c r="F183" s="10"/>
      <c r="G183" s="10"/>
      <c r="H183" s="30"/>
      <c r="I183" s="30"/>
      <c r="J183" s="30"/>
      <c r="K183" s="30"/>
      <c r="L183" s="30"/>
      <c r="M183" s="30"/>
      <c r="N183" s="30"/>
      <c r="O183" s="9"/>
      <c r="P183" s="9"/>
      <c r="Q183" s="8"/>
      <c r="R183" s="8"/>
      <c r="S183" s="12"/>
      <c r="T183" s="29"/>
      <c r="U183" s="29"/>
      <c r="V183" s="29"/>
      <c r="W183" s="29"/>
      <c r="X183" s="8"/>
      <c r="Y183" s="29"/>
      <c r="Z183" s="8"/>
      <c r="AA183" s="8"/>
    </row>
    <row r="184" spans="1:27" s="46" customFormat="1" x14ac:dyDescent="0.25">
      <c r="A184" s="8"/>
      <c r="B184" s="9"/>
      <c r="C184" s="2"/>
      <c r="D184" s="11"/>
      <c r="E184" s="9"/>
      <c r="F184" s="10"/>
      <c r="G184" s="10"/>
      <c r="H184" s="30"/>
      <c r="I184" s="30"/>
      <c r="J184" s="30"/>
      <c r="K184" s="30"/>
      <c r="L184" s="30"/>
      <c r="M184" s="30"/>
      <c r="N184" s="30"/>
      <c r="O184" s="9"/>
      <c r="P184" s="9"/>
      <c r="Q184" s="8"/>
      <c r="R184" s="8"/>
      <c r="S184" s="12"/>
      <c r="T184" s="29"/>
      <c r="U184" s="29"/>
      <c r="V184" s="29"/>
      <c r="W184" s="29"/>
      <c r="X184" s="8"/>
      <c r="Y184" s="29"/>
      <c r="Z184" s="8"/>
      <c r="AA184" s="8"/>
    </row>
    <row r="185" spans="1:27" s="46" customFormat="1" x14ac:dyDescent="0.25">
      <c r="A185" s="8"/>
      <c r="B185" s="9"/>
      <c r="C185" s="2"/>
      <c r="D185" s="11"/>
      <c r="E185" s="9"/>
      <c r="F185" s="10"/>
      <c r="G185" s="10"/>
      <c r="H185" s="30"/>
      <c r="I185" s="30"/>
      <c r="J185" s="30"/>
      <c r="K185" s="30"/>
      <c r="L185" s="30"/>
      <c r="M185" s="30"/>
      <c r="N185" s="30"/>
      <c r="O185" s="9"/>
      <c r="P185" s="9"/>
      <c r="Q185" s="8"/>
      <c r="R185" s="8"/>
      <c r="S185" s="12"/>
      <c r="T185" s="29"/>
      <c r="U185" s="29"/>
      <c r="V185" s="29"/>
      <c r="W185" s="29"/>
      <c r="X185" s="8"/>
      <c r="Y185" s="29"/>
      <c r="Z185" s="8"/>
      <c r="AA185" s="8"/>
    </row>
    <row r="186" spans="1:27" s="46" customFormat="1" x14ac:dyDescent="0.25">
      <c r="A186" s="8"/>
      <c r="B186" s="9"/>
      <c r="C186" s="2"/>
      <c r="D186" s="11"/>
      <c r="E186" s="9"/>
      <c r="F186" s="10"/>
      <c r="G186" s="10"/>
      <c r="H186" s="30"/>
      <c r="I186" s="30"/>
      <c r="J186" s="30"/>
      <c r="K186" s="30"/>
      <c r="L186" s="30"/>
      <c r="M186" s="30"/>
      <c r="N186" s="30"/>
      <c r="O186" s="9"/>
      <c r="P186" s="9"/>
      <c r="Q186" s="8"/>
      <c r="R186" s="8"/>
      <c r="S186" s="12"/>
      <c r="T186" s="29"/>
      <c r="U186" s="29"/>
      <c r="V186" s="29"/>
      <c r="W186" s="29"/>
      <c r="X186" s="8"/>
      <c r="Y186" s="29"/>
      <c r="Z186" s="8"/>
      <c r="AA186" s="8"/>
    </row>
    <row r="187" spans="1:27" s="46" customFormat="1" x14ac:dyDescent="0.25">
      <c r="A187" s="8"/>
      <c r="B187" s="9"/>
      <c r="C187" s="2"/>
      <c r="D187" s="11"/>
      <c r="E187" s="9"/>
      <c r="F187" s="10"/>
      <c r="G187" s="10"/>
      <c r="H187" s="30"/>
      <c r="I187" s="30"/>
      <c r="J187" s="30"/>
      <c r="K187" s="30"/>
      <c r="L187" s="30"/>
      <c r="M187" s="30"/>
      <c r="N187" s="30"/>
      <c r="O187" s="9"/>
      <c r="P187" s="9"/>
      <c r="Q187" s="8"/>
      <c r="R187" s="8"/>
      <c r="S187" s="12"/>
      <c r="T187" s="29"/>
      <c r="U187" s="29"/>
      <c r="V187" s="29"/>
      <c r="W187" s="29"/>
      <c r="X187" s="8"/>
      <c r="Y187" s="29"/>
      <c r="Z187" s="8"/>
      <c r="AA187" s="8"/>
    </row>
    <row r="188" spans="1:27" s="46" customFormat="1" x14ac:dyDescent="0.25">
      <c r="A188" s="8"/>
      <c r="B188" s="9"/>
      <c r="C188" s="2"/>
      <c r="D188" s="11"/>
      <c r="E188" s="9"/>
      <c r="F188" s="10"/>
      <c r="G188" s="10"/>
      <c r="H188" s="30"/>
      <c r="I188" s="30"/>
      <c r="J188" s="30"/>
      <c r="K188" s="30"/>
      <c r="L188" s="30"/>
      <c r="M188" s="30"/>
      <c r="N188" s="30"/>
      <c r="O188" s="9"/>
      <c r="P188" s="9"/>
      <c r="Q188" s="8"/>
      <c r="R188" s="8"/>
      <c r="S188" s="12"/>
      <c r="T188" s="29"/>
      <c r="U188" s="29"/>
      <c r="V188" s="29"/>
      <c r="W188" s="29"/>
      <c r="X188" s="8"/>
      <c r="Y188" s="29"/>
      <c r="Z188" s="8"/>
      <c r="AA188" s="8"/>
    </row>
    <row r="189" spans="1:27" s="46" customFormat="1" x14ac:dyDescent="0.25">
      <c r="A189" s="8"/>
      <c r="B189" s="9"/>
      <c r="C189" s="2"/>
      <c r="D189" s="11"/>
      <c r="E189" s="9"/>
      <c r="F189" s="10"/>
      <c r="G189" s="10"/>
      <c r="H189" s="30"/>
      <c r="I189" s="30"/>
      <c r="J189" s="30"/>
      <c r="K189" s="30"/>
      <c r="L189" s="30"/>
      <c r="M189" s="30"/>
      <c r="N189" s="30"/>
      <c r="O189" s="9"/>
      <c r="P189" s="9"/>
      <c r="Q189" s="8"/>
      <c r="R189" s="8"/>
      <c r="S189" s="12"/>
      <c r="T189" s="29"/>
      <c r="U189" s="29"/>
      <c r="V189" s="29"/>
      <c r="W189" s="29"/>
      <c r="X189" s="8"/>
      <c r="Y189" s="29"/>
      <c r="Z189" s="8"/>
      <c r="AA189" s="8"/>
    </row>
    <row r="190" spans="1:27" s="46" customFormat="1" x14ac:dyDescent="0.25">
      <c r="A190" s="8"/>
      <c r="B190" s="9"/>
      <c r="C190" s="2"/>
      <c r="D190" s="11"/>
      <c r="E190" s="9"/>
      <c r="F190" s="10"/>
      <c r="G190" s="10"/>
      <c r="H190" s="30"/>
      <c r="I190" s="30"/>
      <c r="J190" s="30"/>
      <c r="K190" s="30"/>
      <c r="L190" s="30"/>
      <c r="M190" s="30"/>
      <c r="N190" s="30"/>
      <c r="O190" s="9"/>
      <c r="P190" s="9"/>
      <c r="Q190" s="8"/>
      <c r="R190" s="8"/>
      <c r="S190" s="12"/>
      <c r="T190" s="29"/>
      <c r="U190" s="29"/>
      <c r="V190" s="29"/>
      <c r="W190" s="29"/>
      <c r="X190" s="8"/>
      <c r="Y190" s="29"/>
      <c r="Z190" s="8"/>
      <c r="AA190" s="8"/>
    </row>
    <row r="191" spans="1:27" s="46" customFormat="1" x14ac:dyDescent="0.25">
      <c r="A191" s="8"/>
      <c r="B191" s="9"/>
      <c r="C191" s="2"/>
      <c r="D191" s="11"/>
      <c r="E191" s="9"/>
      <c r="F191" s="10"/>
      <c r="G191" s="10"/>
      <c r="H191" s="30"/>
      <c r="I191" s="30"/>
      <c r="J191" s="30"/>
      <c r="K191" s="30"/>
      <c r="L191" s="30"/>
      <c r="M191" s="30"/>
      <c r="N191" s="30"/>
      <c r="O191" s="9"/>
      <c r="P191" s="9"/>
      <c r="Q191" s="8"/>
      <c r="R191" s="8"/>
      <c r="S191" s="12"/>
      <c r="T191" s="29"/>
      <c r="U191" s="29"/>
      <c r="V191" s="29"/>
      <c r="W191" s="29"/>
      <c r="X191" s="8"/>
      <c r="Y191" s="29"/>
      <c r="Z191" s="8"/>
      <c r="AA191" s="8"/>
    </row>
    <row r="192" spans="1:27" s="46" customFormat="1" x14ac:dyDescent="0.25">
      <c r="A192" s="8"/>
      <c r="B192" s="9"/>
      <c r="C192" s="2"/>
      <c r="D192" s="11"/>
      <c r="E192" s="9"/>
      <c r="F192" s="10"/>
      <c r="G192" s="10"/>
      <c r="H192" s="30"/>
      <c r="I192" s="30"/>
      <c r="J192" s="30"/>
      <c r="K192" s="30"/>
      <c r="L192" s="30"/>
      <c r="M192" s="30"/>
      <c r="N192" s="30"/>
      <c r="O192" s="9"/>
      <c r="P192" s="9"/>
      <c r="Q192" s="8"/>
      <c r="R192" s="8"/>
      <c r="S192" s="12"/>
      <c r="T192" s="29"/>
      <c r="U192" s="29"/>
      <c r="V192" s="29"/>
      <c r="W192" s="29"/>
      <c r="X192" s="8"/>
      <c r="Y192" s="29"/>
      <c r="Z192" s="8"/>
      <c r="AA192" s="8"/>
    </row>
    <row r="193" spans="1:27" s="46" customFormat="1" x14ac:dyDescent="0.25">
      <c r="A193" s="8"/>
      <c r="B193" s="9"/>
      <c r="C193" s="2"/>
      <c r="D193" s="11"/>
      <c r="E193" s="9"/>
      <c r="F193" s="10"/>
      <c r="G193" s="10"/>
      <c r="H193" s="30"/>
      <c r="I193" s="30"/>
      <c r="J193" s="30"/>
      <c r="K193" s="30"/>
      <c r="L193" s="30"/>
      <c r="M193" s="30"/>
      <c r="N193" s="30"/>
      <c r="O193" s="9"/>
      <c r="P193" s="9"/>
      <c r="Q193" s="8"/>
      <c r="R193" s="8"/>
      <c r="S193" s="12"/>
      <c r="T193" s="29"/>
      <c r="U193" s="29"/>
      <c r="V193" s="29"/>
      <c r="W193" s="29"/>
      <c r="X193" s="8"/>
      <c r="Y193" s="29"/>
      <c r="Z193" s="8"/>
      <c r="AA193" s="8"/>
    </row>
    <row r="194" spans="1:27" s="46" customFormat="1" x14ac:dyDescent="0.25">
      <c r="A194" s="8"/>
      <c r="B194" s="9"/>
      <c r="C194" s="2"/>
      <c r="D194" s="11"/>
      <c r="E194" s="9"/>
      <c r="F194" s="10"/>
      <c r="G194" s="10"/>
      <c r="H194" s="30"/>
      <c r="I194" s="30"/>
      <c r="J194" s="30"/>
      <c r="K194" s="30"/>
      <c r="L194" s="30"/>
      <c r="M194" s="30"/>
      <c r="N194" s="30"/>
      <c r="O194" s="9"/>
      <c r="P194" s="9"/>
      <c r="Q194" s="8"/>
      <c r="R194" s="8"/>
      <c r="S194" s="12"/>
      <c r="T194" s="29"/>
      <c r="U194" s="29"/>
      <c r="V194" s="29"/>
      <c r="W194" s="29"/>
      <c r="X194" s="8"/>
      <c r="Y194" s="29"/>
      <c r="Z194" s="8"/>
      <c r="AA194" s="8"/>
    </row>
    <row r="195" spans="1:27" s="46" customFormat="1" x14ac:dyDescent="0.25">
      <c r="A195" s="8"/>
      <c r="B195" s="9"/>
      <c r="C195" s="2"/>
      <c r="D195" s="11"/>
      <c r="E195" s="9"/>
      <c r="F195" s="10"/>
      <c r="G195" s="10"/>
      <c r="H195" s="30"/>
      <c r="I195" s="30"/>
      <c r="J195" s="30"/>
      <c r="K195" s="30"/>
      <c r="L195" s="30"/>
      <c r="M195" s="30"/>
      <c r="N195" s="30"/>
      <c r="O195" s="9"/>
      <c r="P195" s="9"/>
      <c r="Q195" s="8"/>
      <c r="R195" s="8"/>
      <c r="S195" s="12"/>
      <c r="T195" s="29"/>
      <c r="U195" s="29"/>
      <c r="V195" s="29"/>
      <c r="W195" s="29"/>
      <c r="X195" s="8"/>
      <c r="Y195" s="29"/>
      <c r="Z195" s="8"/>
      <c r="AA195" s="8"/>
    </row>
    <row r="196" spans="1:27" s="46" customFormat="1" x14ac:dyDescent="0.25">
      <c r="A196" s="8"/>
      <c r="B196" s="9"/>
      <c r="C196" s="2"/>
      <c r="D196" s="11"/>
      <c r="E196" s="9"/>
      <c r="F196" s="10"/>
      <c r="G196" s="10"/>
      <c r="H196" s="30"/>
      <c r="I196" s="30"/>
      <c r="J196" s="30"/>
      <c r="K196" s="30"/>
      <c r="L196" s="30"/>
      <c r="M196" s="30"/>
      <c r="N196" s="30"/>
      <c r="O196" s="9"/>
      <c r="P196" s="9"/>
      <c r="Q196" s="8"/>
      <c r="R196" s="8"/>
      <c r="S196" s="12"/>
      <c r="T196" s="29"/>
      <c r="U196" s="29"/>
      <c r="V196" s="29"/>
      <c r="W196" s="29"/>
      <c r="X196" s="8"/>
      <c r="Y196" s="29"/>
      <c r="Z196" s="8"/>
      <c r="AA196" s="8"/>
    </row>
    <row r="197" spans="1:27" s="46" customFormat="1" x14ac:dyDescent="0.25">
      <c r="A197" s="8"/>
      <c r="B197" s="9"/>
      <c r="C197" s="2"/>
      <c r="D197" s="11"/>
      <c r="E197" s="9"/>
      <c r="F197" s="10"/>
      <c r="G197" s="10"/>
      <c r="H197" s="30"/>
      <c r="I197" s="30"/>
      <c r="J197" s="30"/>
      <c r="K197" s="30"/>
      <c r="L197" s="30"/>
      <c r="M197" s="30"/>
      <c r="N197" s="30"/>
      <c r="O197" s="9"/>
      <c r="P197" s="9"/>
      <c r="Q197" s="8"/>
      <c r="R197" s="8"/>
      <c r="S197" s="12"/>
      <c r="T197" s="29"/>
      <c r="U197" s="29"/>
      <c r="V197" s="29"/>
      <c r="W197" s="29"/>
      <c r="X197" s="8"/>
      <c r="Y197" s="29"/>
      <c r="Z197" s="8"/>
      <c r="AA197" s="8"/>
    </row>
    <row r="198" spans="1:27" s="46" customFormat="1" x14ac:dyDescent="0.25">
      <c r="A198" s="8"/>
      <c r="B198" s="9"/>
      <c r="C198" s="2"/>
      <c r="D198" s="11"/>
      <c r="E198" s="9"/>
      <c r="F198" s="10"/>
      <c r="G198" s="10"/>
      <c r="H198" s="30"/>
      <c r="I198" s="30"/>
      <c r="J198" s="30"/>
      <c r="K198" s="30"/>
      <c r="L198" s="30"/>
      <c r="M198" s="30"/>
      <c r="N198" s="30"/>
      <c r="O198" s="9"/>
      <c r="P198" s="9"/>
      <c r="Q198" s="8"/>
      <c r="R198" s="8"/>
      <c r="S198" s="12"/>
      <c r="T198" s="29"/>
      <c r="U198" s="29"/>
      <c r="V198" s="29"/>
      <c r="W198" s="29"/>
      <c r="X198" s="8"/>
      <c r="Y198" s="29"/>
      <c r="Z198" s="8"/>
      <c r="AA198" s="8"/>
    </row>
    <row r="199" spans="1:27" s="46" customFormat="1" x14ac:dyDescent="0.25">
      <c r="A199" s="8"/>
      <c r="B199" s="9"/>
      <c r="C199" s="2"/>
      <c r="D199" s="11"/>
      <c r="E199" s="9"/>
      <c r="F199" s="10"/>
      <c r="G199" s="10"/>
      <c r="H199" s="30"/>
      <c r="I199" s="30"/>
      <c r="J199" s="30"/>
      <c r="K199" s="30"/>
      <c r="L199" s="30"/>
      <c r="M199" s="30"/>
      <c r="N199" s="30"/>
      <c r="O199" s="9"/>
      <c r="P199" s="9"/>
      <c r="Q199" s="8"/>
      <c r="R199" s="8"/>
      <c r="S199" s="12"/>
      <c r="T199" s="29"/>
      <c r="U199" s="29"/>
      <c r="V199" s="29"/>
      <c r="W199" s="29"/>
      <c r="X199" s="8"/>
      <c r="Y199" s="29"/>
      <c r="Z199" s="8"/>
      <c r="AA199" s="8"/>
    </row>
    <row r="200" spans="1:27" s="46" customFormat="1" x14ac:dyDescent="0.25">
      <c r="A200" s="8"/>
      <c r="B200" s="9"/>
      <c r="C200" s="2"/>
      <c r="D200" s="11"/>
      <c r="E200" s="9"/>
      <c r="F200" s="10"/>
      <c r="G200" s="10"/>
      <c r="H200" s="30"/>
      <c r="I200" s="30"/>
      <c r="J200" s="30"/>
      <c r="K200" s="30"/>
      <c r="L200" s="30"/>
      <c r="M200" s="30"/>
      <c r="N200" s="30"/>
      <c r="O200" s="9"/>
      <c r="P200" s="9"/>
      <c r="Q200" s="8"/>
      <c r="R200" s="8"/>
      <c r="S200" s="12"/>
      <c r="T200" s="29"/>
      <c r="U200" s="29"/>
      <c r="V200" s="29"/>
      <c r="W200" s="29"/>
      <c r="X200" s="8"/>
      <c r="Y200" s="29"/>
      <c r="Z200" s="8"/>
      <c r="AA200" s="8"/>
    </row>
    <row r="201" spans="1:27" s="46" customFormat="1" x14ac:dyDescent="0.25">
      <c r="A201" s="8"/>
      <c r="B201" s="9"/>
      <c r="C201" s="2"/>
      <c r="D201" s="11"/>
      <c r="E201" s="9"/>
      <c r="F201" s="10"/>
      <c r="G201" s="10"/>
      <c r="H201" s="30"/>
      <c r="I201" s="30"/>
      <c r="J201" s="30"/>
      <c r="K201" s="30"/>
      <c r="L201" s="30"/>
      <c r="M201" s="30"/>
      <c r="N201" s="30"/>
      <c r="O201" s="9"/>
      <c r="P201" s="9"/>
      <c r="Q201" s="8"/>
      <c r="R201" s="8"/>
      <c r="S201" s="12"/>
      <c r="T201" s="29"/>
      <c r="U201" s="29"/>
      <c r="V201" s="29"/>
      <c r="W201" s="29"/>
      <c r="X201" s="8"/>
      <c r="Y201" s="29"/>
      <c r="Z201" s="8"/>
      <c r="AA201" s="8"/>
    </row>
    <row r="202" spans="1:27" s="46" customFormat="1" x14ac:dyDescent="0.25">
      <c r="A202" s="8"/>
      <c r="B202" s="9"/>
      <c r="C202" s="2"/>
      <c r="D202" s="11"/>
      <c r="E202" s="9"/>
      <c r="F202" s="10"/>
      <c r="G202" s="10"/>
      <c r="H202" s="30"/>
      <c r="I202" s="30"/>
      <c r="J202" s="30"/>
      <c r="K202" s="30"/>
      <c r="L202" s="30"/>
      <c r="M202" s="30"/>
      <c r="N202" s="30"/>
      <c r="O202" s="9"/>
      <c r="P202" s="9"/>
      <c r="Q202" s="8"/>
      <c r="R202" s="8"/>
      <c r="S202" s="12"/>
      <c r="T202" s="29"/>
      <c r="U202" s="29"/>
      <c r="V202" s="29"/>
      <c r="W202" s="29"/>
      <c r="X202" s="8"/>
      <c r="Y202" s="29"/>
      <c r="Z202" s="8"/>
      <c r="AA202" s="8"/>
    </row>
    <row r="203" spans="1:27" s="14" customFormat="1" ht="14.25" customHeight="1" x14ac:dyDescent="0.25">
      <c r="A203" s="8"/>
      <c r="B203" s="9"/>
      <c r="C203" s="2"/>
      <c r="D203" s="11"/>
      <c r="E203" s="9"/>
      <c r="F203" s="10"/>
      <c r="G203" s="10"/>
      <c r="H203" s="30"/>
      <c r="I203" s="30"/>
      <c r="J203" s="30"/>
      <c r="K203" s="30"/>
      <c r="L203" s="30"/>
      <c r="M203" s="30"/>
      <c r="N203" s="30"/>
      <c r="O203" s="9"/>
      <c r="P203" s="9"/>
      <c r="Q203" s="8"/>
      <c r="R203" s="8"/>
      <c r="S203" s="12"/>
      <c r="T203" s="29"/>
      <c r="U203" s="29"/>
      <c r="V203" s="29"/>
      <c r="W203" s="29"/>
      <c r="X203" s="8"/>
      <c r="Y203" s="29"/>
      <c r="Z203" s="8"/>
      <c r="AA203" s="8"/>
    </row>
    <row r="204" spans="1:27" s="46" customFormat="1" ht="15" customHeight="1" x14ac:dyDescent="0.25">
      <c r="A204" s="8"/>
      <c r="B204" s="9"/>
      <c r="C204" s="2"/>
      <c r="D204" s="11"/>
      <c r="E204" s="9"/>
      <c r="F204" s="10"/>
      <c r="G204" s="10"/>
      <c r="H204" s="30"/>
      <c r="I204" s="30"/>
      <c r="J204" s="30"/>
      <c r="K204" s="30"/>
      <c r="L204" s="30"/>
      <c r="M204" s="30"/>
      <c r="N204" s="30"/>
      <c r="O204" s="9"/>
      <c r="P204" s="9"/>
      <c r="Q204" s="8"/>
      <c r="R204" s="8"/>
      <c r="S204" s="12"/>
      <c r="T204" s="29"/>
      <c r="U204" s="29"/>
      <c r="V204" s="29"/>
      <c r="W204" s="29"/>
      <c r="X204" s="8"/>
      <c r="Y204" s="29"/>
      <c r="Z204" s="8"/>
      <c r="AA204" s="8"/>
    </row>
    <row r="205" spans="1:27" s="46" customFormat="1" x14ac:dyDescent="0.25">
      <c r="A205" s="8"/>
      <c r="B205" s="9"/>
      <c r="C205" s="2"/>
      <c r="D205" s="11"/>
      <c r="E205" s="9"/>
      <c r="F205" s="10"/>
      <c r="G205" s="10"/>
      <c r="H205" s="30"/>
      <c r="I205" s="30"/>
      <c r="J205" s="30"/>
      <c r="K205" s="30"/>
      <c r="L205" s="30"/>
      <c r="M205" s="30"/>
      <c r="N205" s="30"/>
      <c r="O205" s="9"/>
      <c r="P205" s="9"/>
      <c r="Q205" s="8"/>
      <c r="R205" s="8"/>
      <c r="S205" s="12"/>
      <c r="T205" s="29"/>
      <c r="U205" s="29"/>
      <c r="V205" s="29"/>
      <c r="W205" s="29"/>
      <c r="X205" s="8"/>
      <c r="Y205" s="29"/>
      <c r="Z205" s="8"/>
      <c r="AA205" s="8"/>
    </row>
    <row r="206" spans="1:27" s="46" customFormat="1" x14ac:dyDescent="0.25">
      <c r="A206" s="8"/>
      <c r="B206" s="9"/>
      <c r="C206" s="2"/>
      <c r="D206" s="11"/>
      <c r="E206" s="9"/>
      <c r="F206" s="10"/>
      <c r="G206" s="10"/>
      <c r="H206" s="30"/>
      <c r="I206" s="30"/>
      <c r="J206" s="30"/>
      <c r="K206" s="30"/>
      <c r="L206" s="30"/>
      <c r="M206" s="30"/>
      <c r="N206" s="30"/>
      <c r="O206" s="9"/>
      <c r="P206" s="9"/>
      <c r="Q206" s="8"/>
      <c r="R206" s="8"/>
      <c r="S206" s="12"/>
      <c r="T206" s="29"/>
      <c r="U206" s="29"/>
      <c r="V206" s="29"/>
      <c r="W206" s="29"/>
      <c r="X206" s="8"/>
      <c r="Y206" s="29"/>
      <c r="Z206" s="8"/>
      <c r="AA206" s="8"/>
    </row>
    <row r="207" spans="1:27" s="46" customFormat="1" x14ac:dyDescent="0.25">
      <c r="A207" s="8"/>
      <c r="B207" s="9"/>
      <c r="C207" s="2"/>
      <c r="D207" s="11"/>
      <c r="E207" s="9"/>
      <c r="F207" s="10"/>
      <c r="G207" s="10"/>
      <c r="H207" s="30"/>
      <c r="I207" s="30"/>
      <c r="J207" s="30"/>
      <c r="K207" s="30"/>
      <c r="L207" s="30"/>
      <c r="M207" s="30"/>
      <c r="N207" s="30"/>
      <c r="O207" s="9"/>
      <c r="P207" s="9"/>
      <c r="Q207" s="8"/>
      <c r="R207" s="8"/>
      <c r="S207" s="12"/>
      <c r="T207" s="29"/>
      <c r="U207" s="29"/>
      <c r="V207" s="29"/>
      <c r="W207" s="29"/>
      <c r="X207" s="8"/>
      <c r="Y207" s="29"/>
      <c r="Z207" s="8"/>
      <c r="AA207" s="8"/>
    </row>
    <row r="208" spans="1:27" s="46" customFormat="1" x14ac:dyDescent="0.25">
      <c r="A208" s="8"/>
      <c r="B208" s="9"/>
      <c r="C208" s="2"/>
      <c r="D208" s="11"/>
      <c r="E208" s="9"/>
      <c r="F208" s="10"/>
      <c r="G208" s="10"/>
      <c r="H208" s="30"/>
      <c r="I208" s="30"/>
      <c r="J208" s="30"/>
      <c r="K208" s="30"/>
      <c r="L208" s="30"/>
      <c r="M208" s="30"/>
      <c r="N208" s="30"/>
      <c r="O208" s="9"/>
      <c r="P208" s="9"/>
      <c r="Q208" s="8"/>
      <c r="R208" s="8"/>
      <c r="S208" s="12"/>
      <c r="T208" s="29"/>
      <c r="U208" s="29"/>
      <c r="V208" s="29"/>
      <c r="W208" s="29"/>
      <c r="X208" s="8"/>
      <c r="Y208" s="29"/>
      <c r="Z208" s="8"/>
      <c r="AA208" s="8"/>
    </row>
    <row r="209" spans="1:27" s="46" customFormat="1" x14ac:dyDescent="0.25">
      <c r="A209" s="8"/>
      <c r="B209" s="9"/>
      <c r="C209" s="2"/>
      <c r="D209" s="11"/>
      <c r="E209" s="9"/>
      <c r="F209" s="10"/>
      <c r="G209" s="10"/>
      <c r="H209" s="30"/>
      <c r="I209" s="30"/>
      <c r="J209" s="30"/>
      <c r="K209" s="30"/>
      <c r="L209" s="30"/>
      <c r="M209" s="30"/>
      <c r="N209" s="30"/>
      <c r="O209" s="9"/>
      <c r="P209" s="9"/>
      <c r="Q209" s="8"/>
      <c r="R209" s="8"/>
      <c r="S209" s="12"/>
      <c r="T209" s="29"/>
      <c r="U209" s="29"/>
      <c r="V209" s="29"/>
      <c r="W209" s="29"/>
      <c r="X209" s="8"/>
      <c r="Y209" s="29"/>
      <c r="Z209" s="8"/>
      <c r="AA209" s="8"/>
    </row>
    <row r="210" spans="1:27" s="46" customFormat="1" x14ac:dyDescent="0.25">
      <c r="A210" s="8"/>
      <c r="B210" s="9"/>
      <c r="C210" s="2"/>
      <c r="D210" s="11"/>
      <c r="E210" s="9"/>
      <c r="F210" s="10"/>
      <c r="G210" s="10"/>
      <c r="H210" s="30"/>
      <c r="I210" s="30"/>
      <c r="J210" s="30"/>
      <c r="K210" s="30"/>
      <c r="L210" s="30"/>
      <c r="M210" s="30"/>
      <c r="N210" s="30"/>
      <c r="O210" s="9"/>
      <c r="P210" s="9"/>
      <c r="Q210" s="8"/>
      <c r="R210" s="8"/>
      <c r="S210" s="12"/>
      <c r="T210" s="29"/>
      <c r="U210" s="29"/>
      <c r="V210" s="29"/>
      <c r="W210" s="29"/>
      <c r="X210" s="8"/>
      <c r="Y210" s="29"/>
      <c r="Z210" s="8"/>
      <c r="AA210" s="8"/>
    </row>
    <row r="211" spans="1:27" s="46" customFormat="1" x14ac:dyDescent="0.25">
      <c r="A211" s="8"/>
      <c r="B211" s="9"/>
      <c r="C211" s="2"/>
      <c r="D211" s="11"/>
      <c r="E211" s="9"/>
      <c r="F211" s="10"/>
      <c r="G211" s="10"/>
      <c r="H211" s="30"/>
      <c r="I211" s="30"/>
      <c r="J211" s="30"/>
      <c r="K211" s="30"/>
      <c r="L211" s="30"/>
      <c r="M211" s="30"/>
      <c r="N211" s="30"/>
      <c r="O211" s="9"/>
      <c r="P211" s="9"/>
      <c r="Q211" s="8"/>
      <c r="R211" s="8"/>
      <c r="S211" s="12"/>
      <c r="T211" s="29"/>
      <c r="U211" s="29"/>
      <c r="V211" s="29"/>
      <c r="W211" s="29"/>
      <c r="X211" s="8"/>
      <c r="Y211" s="29"/>
      <c r="Z211" s="8"/>
      <c r="AA211" s="8"/>
    </row>
    <row r="212" spans="1:27" s="46" customFormat="1" x14ac:dyDescent="0.25">
      <c r="A212" s="8"/>
      <c r="B212" s="9"/>
      <c r="C212" s="2"/>
      <c r="D212" s="11"/>
      <c r="E212" s="9"/>
      <c r="F212" s="10"/>
      <c r="G212" s="10"/>
      <c r="H212" s="30"/>
      <c r="I212" s="30"/>
      <c r="J212" s="30"/>
      <c r="K212" s="30"/>
      <c r="L212" s="30"/>
      <c r="M212" s="30"/>
      <c r="N212" s="30"/>
      <c r="O212" s="9"/>
      <c r="P212" s="9"/>
      <c r="Q212" s="8"/>
      <c r="R212" s="8"/>
      <c r="S212" s="12"/>
      <c r="T212" s="29"/>
      <c r="U212" s="29"/>
      <c r="V212" s="29"/>
      <c r="W212" s="29"/>
      <c r="X212" s="8"/>
      <c r="Y212" s="29"/>
      <c r="Z212" s="8"/>
      <c r="AA212" s="8"/>
    </row>
    <row r="213" spans="1:27" s="46" customFormat="1" x14ac:dyDescent="0.25">
      <c r="A213" s="8"/>
      <c r="B213" s="9"/>
      <c r="C213" s="2"/>
      <c r="D213" s="11"/>
      <c r="E213" s="9"/>
      <c r="F213" s="10"/>
      <c r="G213" s="10"/>
      <c r="H213" s="30"/>
      <c r="I213" s="30"/>
      <c r="J213" s="30"/>
      <c r="K213" s="30"/>
      <c r="L213" s="30"/>
      <c r="M213" s="30"/>
      <c r="N213" s="30"/>
      <c r="O213" s="9"/>
      <c r="P213" s="9"/>
      <c r="Q213" s="8"/>
      <c r="R213" s="8"/>
      <c r="S213" s="12"/>
      <c r="T213" s="29"/>
      <c r="U213" s="29"/>
      <c r="V213" s="29"/>
      <c r="W213" s="29"/>
      <c r="X213" s="8"/>
      <c r="Y213" s="29"/>
      <c r="Z213" s="8"/>
      <c r="AA213" s="8"/>
    </row>
    <row r="214" spans="1:27" s="46" customFormat="1" x14ac:dyDescent="0.25">
      <c r="A214" s="8"/>
      <c r="B214" s="9"/>
      <c r="C214" s="2"/>
      <c r="D214" s="11"/>
      <c r="E214" s="9"/>
      <c r="F214" s="10"/>
      <c r="G214" s="10"/>
      <c r="H214" s="30"/>
      <c r="I214" s="30"/>
      <c r="J214" s="30"/>
      <c r="K214" s="30"/>
      <c r="L214" s="30"/>
      <c r="M214" s="30"/>
      <c r="N214" s="30"/>
      <c r="O214" s="9"/>
      <c r="P214" s="9"/>
      <c r="Q214" s="8"/>
      <c r="R214" s="8"/>
      <c r="S214" s="12"/>
      <c r="T214" s="29"/>
      <c r="U214" s="29"/>
      <c r="V214" s="29"/>
      <c r="W214" s="29"/>
      <c r="X214" s="8"/>
      <c r="Y214" s="29"/>
      <c r="Z214" s="8"/>
      <c r="AA214" s="8"/>
    </row>
    <row r="215" spans="1:27" s="46" customFormat="1" x14ac:dyDescent="0.25">
      <c r="A215" s="8"/>
      <c r="B215" s="9"/>
      <c r="C215" s="2"/>
      <c r="D215" s="11"/>
      <c r="E215" s="9"/>
      <c r="F215" s="10"/>
      <c r="G215" s="10"/>
      <c r="H215" s="30"/>
      <c r="I215" s="30"/>
      <c r="J215" s="30"/>
      <c r="K215" s="30"/>
      <c r="L215" s="30"/>
      <c r="M215" s="30"/>
      <c r="N215" s="30"/>
      <c r="O215" s="9"/>
      <c r="P215" s="9"/>
      <c r="Q215" s="8"/>
      <c r="R215" s="8"/>
      <c r="S215" s="12"/>
      <c r="T215" s="29"/>
      <c r="U215" s="29"/>
      <c r="V215" s="29"/>
      <c r="W215" s="29"/>
      <c r="X215" s="8"/>
      <c r="Y215" s="29"/>
      <c r="Z215" s="8"/>
      <c r="AA215" s="8"/>
    </row>
    <row r="216" spans="1:27" s="46" customFormat="1" x14ac:dyDescent="0.25">
      <c r="A216" s="8"/>
      <c r="B216" s="9"/>
      <c r="C216" s="2"/>
      <c r="D216" s="11"/>
      <c r="E216" s="9"/>
      <c r="F216" s="10"/>
      <c r="G216" s="10"/>
      <c r="H216" s="30"/>
      <c r="I216" s="30"/>
      <c r="J216" s="30"/>
      <c r="K216" s="30"/>
      <c r="L216" s="30"/>
      <c r="M216" s="30"/>
      <c r="N216" s="30"/>
      <c r="O216" s="9"/>
      <c r="P216" s="9"/>
      <c r="Q216" s="8"/>
      <c r="R216" s="8"/>
      <c r="S216" s="12"/>
      <c r="T216" s="29"/>
      <c r="U216" s="29"/>
      <c r="V216" s="29"/>
      <c r="W216" s="29"/>
      <c r="X216" s="8"/>
      <c r="Y216" s="29"/>
      <c r="Z216" s="8"/>
      <c r="AA216" s="8"/>
    </row>
    <row r="217" spans="1:27" s="46" customFormat="1" x14ac:dyDescent="0.25">
      <c r="A217" s="8"/>
      <c r="B217" s="9"/>
      <c r="C217" s="2"/>
      <c r="D217" s="11"/>
      <c r="E217" s="9"/>
      <c r="F217" s="10"/>
      <c r="G217" s="10"/>
      <c r="H217" s="30"/>
      <c r="I217" s="30"/>
      <c r="J217" s="30"/>
      <c r="K217" s="30"/>
      <c r="L217" s="30"/>
      <c r="M217" s="30"/>
      <c r="N217" s="30"/>
      <c r="O217" s="9"/>
      <c r="P217" s="9"/>
      <c r="Q217" s="8"/>
      <c r="R217" s="8"/>
      <c r="S217" s="12"/>
      <c r="T217" s="29"/>
      <c r="U217" s="29"/>
      <c r="V217" s="29"/>
      <c r="W217" s="29"/>
      <c r="X217" s="8"/>
      <c r="Y217" s="29"/>
      <c r="Z217" s="8"/>
      <c r="AA217" s="8"/>
    </row>
    <row r="218" spans="1:27" s="46" customFormat="1" x14ac:dyDescent="0.25">
      <c r="A218" s="8"/>
      <c r="B218" s="9"/>
      <c r="C218" s="2"/>
      <c r="D218" s="11"/>
      <c r="E218" s="9"/>
      <c r="F218" s="10"/>
      <c r="G218" s="10"/>
      <c r="H218" s="30"/>
      <c r="I218" s="30"/>
      <c r="J218" s="30"/>
      <c r="K218" s="30"/>
      <c r="L218" s="30"/>
      <c r="M218" s="30"/>
      <c r="N218" s="30"/>
      <c r="O218" s="9"/>
      <c r="P218" s="9"/>
      <c r="Q218" s="8"/>
      <c r="R218" s="8"/>
      <c r="S218" s="12"/>
      <c r="T218" s="29"/>
      <c r="U218" s="29"/>
      <c r="V218" s="29"/>
      <c r="W218" s="29"/>
      <c r="X218" s="8"/>
      <c r="Y218" s="29"/>
      <c r="Z218" s="8"/>
      <c r="AA218" s="8"/>
    </row>
    <row r="219" spans="1:27" s="46" customFormat="1" x14ac:dyDescent="0.25">
      <c r="A219" s="8"/>
      <c r="B219" s="9"/>
      <c r="C219" s="2"/>
      <c r="D219" s="11"/>
      <c r="E219" s="9"/>
      <c r="F219" s="10"/>
      <c r="G219" s="10"/>
      <c r="H219" s="30"/>
      <c r="I219" s="30"/>
      <c r="J219" s="30"/>
      <c r="K219" s="30"/>
      <c r="L219" s="30"/>
      <c r="M219" s="30"/>
      <c r="N219" s="30"/>
      <c r="O219" s="9"/>
      <c r="P219" s="9"/>
      <c r="Q219" s="8"/>
      <c r="R219" s="8"/>
      <c r="S219" s="12"/>
      <c r="T219" s="29"/>
      <c r="U219" s="29"/>
      <c r="V219" s="29"/>
      <c r="W219" s="29"/>
      <c r="X219" s="8"/>
      <c r="Y219" s="29"/>
      <c r="Z219" s="8"/>
      <c r="AA219" s="8"/>
    </row>
    <row r="220" spans="1:27" s="46" customFormat="1" x14ac:dyDescent="0.25">
      <c r="A220" s="8"/>
      <c r="B220" s="9"/>
      <c r="C220" s="2"/>
      <c r="D220" s="11"/>
      <c r="E220" s="9"/>
      <c r="F220" s="10"/>
      <c r="G220" s="10"/>
      <c r="H220" s="30"/>
      <c r="I220" s="30"/>
      <c r="J220" s="30"/>
      <c r="K220" s="30"/>
      <c r="L220" s="30"/>
      <c r="M220" s="30"/>
      <c r="N220" s="30"/>
      <c r="O220" s="9"/>
      <c r="P220" s="9"/>
      <c r="Q220" s="8"/>
      <c r="R220" s="8"/>
      <c r="S220" s="12"/>
      <c r="T220" s="29"/>
      <c r="U220" s="29"/>
      <c r="V220" s="29"/>
      <c r="W220" s="29"/>
      <c r="X220" s="8"/>
      <c r="Y220" s="29"/>
      <c r="Z220" s="8"/>
      <c r="AA220" s="8"/>
    </row>
    <row r="221" spans="1:27" s="46" customFormat="1" x14ac:dyDescent="0.25">
      <c r="A221" s="8"/>
      <c r="B221" s="9"/>
      <c r="C221" s="2"/>
      <c r="D221" s="11"/>
      <c r="E221" s="9"/>
      <c r="F221" s="10"/>
      <c r="G221" s="10"/>
      <c r="H221" s="30"/>
      <c r="I221" s="30"/>
      <c r="J221" s="30"/>
      <c r="K221" s="30"/>
      <c r="L221" s="30"/>
      <c r="M221" s="30"/>
      <c r="N221" s="30"/>
      <c r="O221" s="9"/>
      <c r="P221" s="9"/>
      <c r="Q221" s="8"/>
      <c r="R221" s="8"/>
      <c r="S221" s="12"/>
      <c r="T221" s="29"/>
      <c r="U221" s="29"/>
      <c r="V221" s="29"/>
      <c r="W221" s="29"/>
      <c r="X221" s="8"/>
      <c r="Y221" s="29"/>
      <c r="Z221" s="8"/>
      <c r="AA221" s="8"/>
    </row>
    <row r="222" spans="1:27" s="46" customFormat="1" x14ac:dyDescent="0.25">
      <c r="A222" s="8"/>
      <c r="B222" s="9"/>
      <c r="C222" s="2"/>
      <c r="D222" s="11"/>
      <c r="E222" s="9"/>
      <c r="F222" s="10"/>
      <c r="G222" s="10"/>
      <c r="H222" s="30"/>
      <c r="I222" s="30"/>
      <c r="J222" s="30"/>
      <c r="K222" s="30"/>
      <c r="L222" s="30"/>
      <c r="M222" s="30"/>
      <c r="N222" s="30"/>
      <c r="O222" s="9"/>
      <c r="P222" s="9"/>
      <c r="Q222" s="8"/>
      <c r="R222" s="8"/>
      <c r="S222" s="12"/>
      <c r="T222" s="29"/>
      <c r="U222" s="29"/>
      <c r="V222" s="29"/>
      <c r="W222" s="29"/>
      <c r="X222" s="8"/>
      <c r="Y222" s="29"/>
      <c r="Z222" s="8"/>
      <c r="AA222" s="8"/>
    </row>
    <row r="223" spans="1:27" s="46" customFormat="1" x14ac:dyDescent="0.25">
      <c r="A223" s="8"/>
      <c r="B223" s="9"/>
      <c r="C223" s="2"/>
      <c r="D223" s="11"/>
      <c r="E223" s="9"/>
      <c r="F223" s="10"/>
      <c r="G223" s="10"/>
      <c r="H223" s="30"/>
      <c r="I223" s="30"/>
      <c r="J223" s="30"/>
      <c r="K223" s="30"/>
      <c r="L223" s="30"/>
      <c r="M223" s="30"/>
      <c r="N223" s="30"/>
      <c r="O223" s="9"/>
      <c r="P223" s="9"/>
      <c r="Q223" s="8"/>
      <c r="R223" s="8"/>
      <c r="S223" s="12"/>
      <c r="T223" s="29"/>
      <c r="U223" s="29"/>
      <c r="V223" s="29"/>
      <c r="W223" s="29"/>
      <c r="X223" s="8"/>
      <c r="Y223" s="29"/>
      <c r="Z223" s="8"/>
      <c r="AA223" s="8"/>
    </row>
    <row r="224" spans="1:27" s="46" customFormat="1" x14ac:dyDescent="0.25">
      <c r="A224" s="8"/>
      <c r="B224" s="9"/>
      <c r="C224" s="2"/>
      <c r="D224" s="11"/>
      <c r="E224" s="9"/>
      <c r="F224" s="10"/>
      <c r="G224" s="10"/>
      <c r="H224" s="30"/>
      <c r="I224" s="30"/>
      <c r="J224" s="30"/>
      <c r="K224" s="30"/>
      <c r="L224" s="30"/>
      <c r="M224" s="30"/>
      <c r="N224" s="30"/>
      <c r="O224" s="9"/>
      <c r="P224" s="9"/>
      <c r="Q224" s="8"/>
      <c r="R224" s="8"/>
      <c r="S224" s="12"/>
      <c r="T224" s="29"/>
      <c r="U224" s="29"/>
      <c r="V224" s="29"/>
      <c r="W224" s="29"/>
      <c r="X224" s="8"/>
      <c r="Y224" s="29"/>
      <c r="Z224" s="8"/>
      <c r="AA224" s="8"/>
    </row>
    <row r="225" spans="1:27" s="46" customFormat="1" x14ac:dyDescent="0.25">
      <c r="A225" s="8"/>
      <c r="B225" s="9"/>
      <c r="C225" s="2"/>
      <c r="D225" s="11"/>
      <c r="E225" s="9"/>
      <c r="F225" s="10"/>
      <c r="G225" s="10"/>
      <c r="H225" s="30"/>
      <c r="I225" s="30"/>
      <c r="J225" s="30"/>
      <c r="K225" s="30"/>
      <c r="L225" s="30"/>
      <c r="M225" s="30"/>
      <c r="N225" s="30"/>
      <c r="O225" s="9"/>
      <c r="P225" s="9"/>
      <c r="Q225" s="8"/>
      <c r="R225" s="8"/>
      <c r="S225" s="12"/>
      <c r="T225" s="29"/>
      <c r="U225" s="29"/>
      <c r="V225" s="29"/>
      <c r="W225" s="29"/>
      <c r="X225" s="8"/>
      <c r="Y225" s="29"/>
      <c r="Z225" s="8"/>
      <c r="AA225" s="8"/>
    </row>
    <row r="226" spans="1:27" s="46" customFormat="1" x14ac:dyDescent="0.25">
      <c r="A226" s="8"/>
      <c r="B226" s="9"/>
      <c r="C226" s="2"/>
      <c r="D226" s="11"/>
      <c r="E226" s="9"/>
      <c r="F226" s="10"/>
      <c r="G226" s="10"/>
      <c r="H226" s="30"/>
      <c r="I226" s="30"/>
      <c r="J226" s="30"/>
      <c r="K226" s="30"/>
      <c r="L226" s="30"/>
      <c r="M226" s="30"/>
      <c r="N226" s="30"/>
      <c r="O226" s="9"/>
      <c r="P226" s="9"/>
      <c r="Q226" s="8"/>
      <c r="R226" s="8"/>
      <c r="S226" s="12"/>
      <c r="T226" s="29"/>
      <c r="U226" s="29"/>
      <c r="V226" s="29"/>
      <c r="W226" s="29"/>
      <c r="X226" s="8"/>
      <c r="Y226" s="29"/>
      <c r="Z226" s="8"/>
      <c r="AA226" s="8"/>
    </row>
    <row r="227" spans="1:27" s="46" customFormat="1" x14ac:dyDescent="0.25">
      <c r="A227" s="8"/>
      <c r="B227" s="9"/>
      <c r="C227" s="2"/>
      <c r="D227" s="11"/>
      <c r="E227" s="9"/>
      <c r="F227" s="10"/>
      <c r="G227" s="10"/>
      <c r="H227" s="30"/>
      <c r="I227" s="30"/>
      <c r="J227" s="30"/>
      <c r="K227" s="30"/>
      <c r="L227" s="30"/>
      <c r="M227" s="30"/>
      <c r="N227" s="30"/>
      <c r="O227" s="9"/>
      <c r="P227" s="9"/>
      <c r="Q227" s="8"/>
      <c r="R227" s="8"/>
      <c r="S227" s="12"/>
      <c r="T227" s="29"/>
      <c r="U227" s="29"/>
      <c r="V227" s="29"/>
      <c r="W227" s="29"/>
      <c r="X227" s="8"/>
      <c r="Y227" s="29"/>
      <c r="Z227" s="8"/>
      <c r="AA227" s="8"/>
    </row>
    <row r="228" spans="1:27" s="46" customFormat="1" x14ac:dyDescent="0.25">
      <c r="A228" s="8"/>
      <c r="B228" s="9"/>
      <c r="C228" s="2"/>
      <c r="D228" s="11"/>
      <c r="E228" s="9"/>
      <c r="F228" s="10"/>
      <c r="G228" s="10"/>
      <c r="H228" s="30"/>
      <c r="I228" s="30"/>
      <c r="J228" s="30"/>
      <c r="K228" s="30"/>
      <c r="L228" s="30"/>
      <c r="M228" s="30"/>
      <c r="N228" s="30"/>
      <c r="O228" s="9"/>
      <c r="P228" s="9"/>
      <c r="Q228" s="8"/>
      <c r="R228" s="8"/>
      <c r="S228" s="12"/>
      <c r="T228" s="29"/>
      <c r="U228" s="29"/>
      <c r="V228" s="29"/>
      <c r="W228" s="29"/>
      <c r="X228" s="8"/>
      <c r="Y228" s="29"/>
      <c r="Z228" s="8"/>
      <c r="AA228" s="8"/>
    </row>
    <row r="229" spans="1:27" s="46" customFormat="1" x14ac:dyDescent="0.25">
      <c r="A229" s="8"/>
      <c r="B229" s="9"/>
      <c r="C229" s="2"/>
      <c r="D229" s="11"/>
      <c r="E229" s="9"/>
      <c r="F229" s="10"/>
      <c r="G229" s="10"/>
      <c r="H229" s="30"/>
      <c r="I229" s="30"/>
      <c r="J229" s="30"/>
      <c r="K229" s="30"/>
      <c r="L229" s="30"/>
      <c r="M229" s="30"/>
      <c r="N229" s="30"/>
      <c r="O229" s="9"/>
      <c r="P229" s="9"/>
      <c r="Q229" s="8"/>
      <c r="R229" s="8"/>
      <c r="S229" s="12"/>
      <c r="T229" s="29"/>
      <c r="U229" s="29"/>
      <c r="V229" s="29"/>
      <c r="W229" s="29"/>
      <c r="X229" s="8"/>
      <c r="Y229" s="29"/>
      <c r="Z229" s="8"/>
      <c r="AA229" s="8"/>
    </row>
    <row r="230" spans="1:27" s="46" customFormat="1" x14ac:dyDescent="0.25">
      <c r="A230" s="8"/>
      <c r="B230" s="9"/>
      <c r="C230" s="2"/>
      <c r="D230" s="11"/>
      <c r="E230" s="9"/>
      <c r="F230" s="10"/>
      <c r="G230" s="10"/>
      <c r="H230" s="30"/>
      <c r="I230" s="30"/>
      <c r="J230" s="30"/>
      <c r="K230" s="30"/>
      <c r="L230" s="30"/>
      <c r="M230" s="30"/>
      <c r="N230" s="30"/>
      <c r="O230" s="9"/>
      <c r="P230" s="9"/>
      <c r="Q230" s="8"/>
      <c r="R230" s="8"/>
      <c r="S230" s="12"/>
      <c r="T230" s="29"/>
      <c r="U230" s="29"/>
      <c r="V230" s="29"/>
      <c r="W230" s="29"/>
      <c r="X230" s="8"/>
      <c r="Y230" s="29"/>
      <c r="Z230" s="8"/>
      <c r="AA230" s="8"/>
    </row>
    <row r="231" spans="1:27" s="46" customFormat="1" x14ac:dyDescent="0.25">
      <c r="A231" s="8"/>
      <c r="B231" s="9"/>
      <c r="C231" s="2"/>
      <c r="D231" s="11"/>
      <c r="E231" s="9"/>
      <c r="F231" s="10"/>
      <c r="G231" s="10"/>
      <c r="H231" s="30"/>
      <c r="I231" s="30"/>
      <c r="J231" s="30"/>
      <c r="K231" s="30"/>
      <c r="L231" s="30"/>
      <c r="M231" s="30"/>
      <c r="N231" s="30"/>
      <c r="O231" s="9"/>
      <c r="P231" s="9"/>
      <c r="Q231" s="8"/>
      <c r="R231" s="8"/>
      <c r="S231" s="12"/>
      <c r="T231" s="29"/>
      <c r="U231" s="29"/>
      <c r="V231" s="29"/>
      <c r="W231" s="29"/>
      <c r="X231" s="8"/>
      <c r="Y231" s="29"/>
      <c r="Z231" s="8"/>
      <c r="AA231" s="8"/>
    </row>
    <row r="232" spans="1:27" s="46" customFormat="1" x14ac:dyDescent="0.25">
      <c r="A232" s="8"/>
      <c r="B232" s="9"/>
      <c r="C232" s="2"/>
      <c r="D232" s="11"/>
      <c r="E232" s="9"/>
      <c r="F232" s="10"/>
      <c r="G232" s="10"/>
      <c r="H232" s="30"/>
      <c r="I232" s="30"/>
      <c r="J232" s="30"/>
      <c r="K232" s="30"/>
      <c r="L232" s="30"/>
      <c r="M232" s="30"/>
      <c r="N232" s="30"/>
      <c r="O232" s="9"/>
      <c r="P232" s="9"/>
      <c r="Q232" s="8"/>
      <c r="R232" s="8"/>
      <c r="S232" s="12"/>
      <c r="T232" s="29"/>
      <c r="U232" s="29"/>
      <c r="V232" s="29"/>
      <c r="W232" s="29"/>
      <c r="X232" s="8"/>
      <c r="Y232" s="29"/>
      <c r="Z232" s="8"/>
      <c r="AA232" s="8"/>
    </row>
    <row r="233" spans="1:27" s="46" customFormat="1" x14ac:dyDescent="0.25">
      <c r="A233" s="8"/>
      <c r="B233" s="9"/>
      <c r="C233" s="2"/>
      <c r="D233" s="11"/>
      <c r="E233" s="9"/>
      <c r="F233" s="10"/>
      <c r="G233" s="10"/>
      <c r="H233" s="30"/>
      <c r="I233" s="30"/>
      <c r="J233" s="30"/>
      <c r="K233" s="30"/>
      <c r="L233" s="30"/>
      <c r="M233" s="30"/>
      <c r="N233" s="30"/>
      <c r="O233" s="9"/>
      <c r="P233" s="9"/>
      <c r="Q233" s="8"/>
      <c r="R233" s="8"/>
      <c r="S233" s="12"/>
      <c r="T233" s="29"/>
      <c r="U233" s="29"/>
      <c r="V233" s="29"/>
      <c r="W233" s="29"/>
      <c r="X233" s="8"/>
      <c r="Y233" s="29"/>
      <c r="Z233" s="8"/>
      <c r="AA233" s="8"/>
    </row>
    <row r="234" spans="1:27" s="46" customFormat="1" x14ac:dyDescent="0.25">
      <c r="A234" s="8"/>
      <c r="B234" s="9"/>
      <c r="C234" s="2"/>
      <c r="D234" s="11"/>
      <c r="E234" s="9"/>
      <c r="F234" s="10"/>
      <c r="G234" s="10"/>
      <c r="H234" s="30"/>
      <c r="I234" s="30"/>
      <c r="J234" s="30"/>
      <c r="K234" s="30"/>
      <c r="L234" s="30"/>
      <c r="M234" s="30"/>
      <c r="N234" s="30"/>
      <c r="O234" s="9"/>
      <c r="P234" s="9"/>
      <c r="Q234" s="8"/>
      <c r="R234" s="8"/>
      <c r="S234" s="12"/>
      <c r="T234" s="29"/>
      <c r="U234" s="29"/>
      <c r="V234" s="29"/>
      <c r="W234" s="29"/>
      <c r="X234" s="8"/>
      <c r="Y234" s="29"/>
      <c r="Z234" s="8"/>
      <c r="AA234" s="8"/>
    </row>
    <row r="235" spans="1:27" s="46" customFormat="1" x14ac:dyDescent="0.25">
      <c r="A235" s="8"/>
      <c r="B235" s="9"/>
      <c r="C235" s="2"/>
      <c r="D235" s="11"/>
      <c r="E235" s="9"/>
      <c r="F235" s="10"/>
      <c r="G235" s="10"/>
      <c r="H235" s="30"/>
      <c r="I235" s="30"/>
      <c r="J235" s="30"/>
      <c r="K235" s="30"/>
      <c r="L235" s="30"/>
      <c r="M235" s="30"/>
      <c r="N235" s="30"/>
      <c r="O235" s="9"/>
      <c r="P235" s="9"/>
      <c r="Q235" s="8"/>
      <c r="R235" s="8"/>
      <c r="S235" s="12"/>
      <c r="T235" s="29"/>
      <c r="U235" s="29"/>
      <c r="V235" s="29"/>
      <c r="W235" s="29"/>
      <c r="X235" s="8"/>
      <c r="Y235" s="29"/>
      <c r="Z235" s="8"/>
      <c r="AA235" s="8"/>
    </row>
    <row r="236" spans="1:27" s="46" customFormat="1" x14ac:dyDescent="0.25">
      <c r="A236" s="8"/>
      <c r="B236" s="9"/>
      <c r="C236" s="2"/>
      <c r="D236" s="11"/>
      <c r="E236" s="9"/>
      <c r="F236" s="10"/>
      <c r="G236" s="10"/>
      <c r="H236" s="30"/>
      <c r="I236" s="30"/>
      <c r="J236" s="30"/>
      <c r="K236" s="30"/>
      <c r="L236" s="30"/>
      <c r="M236" s="30"/>
      <c r="N236" s="30"/>
      <c r="O236" s="9"/>
      <c r="P236" s="9"/>
      <c r="Q236" s="8"/>
      <c r="R236" s="8"/>
      <c r="S236" s="12"/>
      <c r="T236" s="29"/>
      <c r="U236" s="29"/>
      <c r="V236" s="29"/>
      <c r="W236" s="29"/>
      <c r="X236" s="8"/>
      <c r="Y236" s="29"/>
      <c r="Z236" s="8"/>
      <c r="AA236" s="8"/>
    </row>
    <row r="237" spans="1:27" s="46" customFormat="1" x14ac:dyDescent="0.25">
      <c r="A237" s="8"/>
      <c r="B237" s="9"/>
      <c r="C237" s="2"/>
      <c r="D237" s="11"/>
      <c r="E237" s="9"/>
      <c r="F237" s="10"/>
      <c r="G237" s="10"/>
      <c r="H237" s="30"/>
      <c r="I237" s="30"/>
      <c r="J237" s="30"/>
      <c r="K237" s="30"/>
      <c r="L237" s="30"/>
      <c r="M237" s="30"/>
      <c r="N237" s="30"/>
      <c r="O237" s="9"/>
      <c r="P237" s="9"/>
      <c r="Q237" s="8"/>
      <c r="R237" s="8"/>
      <c r="S237" s="12"/>
      <c r="T237" s="29"/>
      <c r="U237" s="29"/>
      <c r="V237" s="29"/>
      <c r="W237" s="29"/>
      <c r="X237" s="8"/>
      <c r="Y237" s="29"/>
      <c r="Z237" s="8"/>
      <c r="AA237" s="8"/>
    </row>
    <row r="238" spans="1:27" s="46" customFormat="1" x14ac:dyDescent="0.25">
      <c r="A238" s="8"/>
      <c r="B238" s="9"/>
      <c r="C238" s="2"/>
      <c r="D238" s="11"/>
      <c r="E238" s="9"/>
      <c r="F238" s="10"/>
      <c r="G238" s="10"/>
      <c r="H238" s="30"/>
      <c r="I238" s="30"/>
      <c r="J238" s="30"/>
      <c r="K238" s="30"/>
      <c r="L238" s="30"/>
      <c r="M238" s="30"/>
      <c r="N238" s="30"/>
      <c r="O238" s="9"/>
      <c r="P238" s="9"/>
      <c r="Q238" s="8"/>
      <c r="R238" s="8"/>
      <c r="S238" s="12"/>
      <c r="T238" s="29"/>
      <c r="U238" s="29"/>
      <c r="V238" s="29"/>
      <c r="W238" s="29"/>
      <c r="X238" s="8"/>
      <c r="Y238" s="29"/>
      <c r="Z238" s="8"/>
      <c r="AA238" s="8"/>
    </row>
    <row r="239" spans="1:27" s="46" customFormat="1" x14ac:dyDescent="0.25">
      <c r="A239" s="8"/>
      <c r="B239" s="9"/>
      <c r="C239" s="2"/>
      <c r="D239" s="11"/>
      <c r="E239" s="9"/>
      <c r="F239" s="10"/>
      <c r="G239" s="10"/>
      <c r="H239" s="30"/>
      <c r="I239" s="30"/>
      <c r="J239" s="30"/>
      <c r="K239" s="30"/>
      <c r="L239" s="30"/>
      <c r="M239" s="30"/>
      <c r="N239" s="30"/>
      <c r="O239" s="9"/>
      <c r="P239" s="9"/>
      <c r="Q239" s="8"/>
      <c r="R239" s="8"/>
      <c r="S239" s="12"/>
      <c r="T239" s="29"/>
      <c r="U239" s="29"/>
      <c r="V239" s="29"/>
      <c r="W239" s="29"/>
      <c r="X239" s="8"/>
      <c r="Y239" s="29"/>
      <c r="Z239" s="8"/>
      <c r="AA239" s="8"/>
    </row>
    <row r="240" spans="1:27" s="46" customFormat="1" x14ac:dyDescent="0.25">
      <c r="A240" s="8"/>
      <c r="B240" s="9"/>
      <c r="C240" s="2"/>
      <c r="D240" s="11"/>
      <c r="E240" s="9"/>
      <c r="F240" s="10"/>
      <c r="G240" s="10"/>
      <c r="H240" s="30"/>
      <c r="I240" s="30"/>
      <c r="J240" s="30"/>
      <c r="K240" s="30"/>
      <c r="L240" s="30"/>
      <c r="M240" s="30"/>
      <c r="N240" s="30"/>
      <c r="O240" s="9"/>
      <c r="P240" s="9"/>
      <c r="Q240" s="8"/>
      <c r="R240" s="8"/>
      <c r="S240" s="12"/>
      <c r="T240" s="29"/>
      <c r="U240" s="29"/>
      <c r="V240" s="29"/>
      <c r="W240" s="29"/>
      <c r="X240" s="8"/>
      <c r="Y240" s="29"/>
      <c r="Z240" s="8"/>
      <c r="AA240" s="8"/>
    </row>
    <row r="241" spans="1:27" s="46" customFormat="1" x14ac:dyDescent="0.25">
      <c r="A241" s="8"/>
      <c r="B241" s="9"/>
      <c r="C241" s="2"/>
      <c r="D241" s="11"/>
      <c r="E241" s="9"/>
      <c r="F241" s="10"/>
      <c r="G241" s="10"/>
      <c r="H241" s="30"/>
      <c r="I241" s="30"/>
      <c r="J241" s="30"/>
      <c r="K241" s="30"/>
      <c r="L241" s="30"/>
      <c r="M241" s="30"/>
      <c r="N241" s="30"/>
      <c r="O241" s="9"/>
      <c r="P241" s="9"/>
      <c r="Q241" s="8"/>
      <c r="R241" s="8"/>
      <c r="S241" s="12"/>
      <c r="T241" s="29"/>
      <c r="U241" s="29"/>
      <c r="V241" s="29"/>
      <c r="W241" s="29"/>
      <c r="X241" s="8"/>
      <c r="Y241" s="29"/>
      <c r="Z241" s="8"/>
      <c r="AA241" s="8"/>
    </row>
    <row r="242" spans="1:27" s="46" customFormat="1" x14ac:dyDescent="0.25">
      <c r="A242" s="8"/>
      <c r="B242" s="9"/>
      <c r="C242" s="2"/>
      <c r="D242" s="11"/>
      <c r="E242" s="9"/>
      <c r="F242" s="10"/>
      <c r="G242" s="10"/>
      <c r="H242" s="30"/>
      <c r="I242" s="30"/>
      <c r="J242" s="30"/>
      <c r="K242" s="30"/>
      <c r="L242" s="30"/>
      <c r="M242" s="30"/>
      <c r="N242" s="30"/>
      <c r="O242" s="9"/>
      <c r="P242" s="9"/>
      <c r="Q242" s="8"/>
      <c r="R242" s="8"/>
      <c r="S242" s="12"/>
      <c r="T242" s="29"/>
      <c r="U242" s="29"/>
      <c r="V242" s="29"/>
      <c r="W242" s="29"/>
      <c r="X242" s="8"/>
      <c r="Y242" s="29"/>
      <c r="Z242" s="8"/>
      <c r="AA242" s="8"/>
    </row>
    <row r="243" spans="1:27" s="46" customFormat="1" x14ac:dyDescent="0.25">
      <c r="A243" s="8"/>
      <c r="B243" s="9"/>
      <c r="C243" s="2"/>
      <c r="D243" s="11"/>
      <c r="E243" s="9"/>
      <c r="F243" s="10"/>
      <c r="G243" s="10"/>
      <c r="H243" s="30"/>
      <c r="I243" s="30"/>
      <c r="J243" s="30"/>
      <c r="K243" s="30"/>
      <c r="L243" s="30"/>
      <c r="M243" s="30"/>
      <c r="N243" s="30"/>
      <c r="O243" s="9"/>
      <c r="P243" s="9"/>
      <c r="Q243" s="8"/>
      <c r="R243" s="8"/>
      <c r="S243" s="12"/>
      <c r="T243" s="29"/>
      <c r="U243" s="29"/>
      <c r="V243" s="29"/>
      <c r="W243" s="29"/>
      <c r="X243" s="8"/>
      <c r="Y243" s="29"/>
      <c r="Z243" s="8"/>
      <c r="AA243" s="8"/>
    </row>
    <row r="244" spans="1:27" s="46" customFormat="1" x14ac:dyDescent="0.25">
      <c r="A244" s="8"/>
      <c r="B244" s="9"/>
      <c r="C244" s="2"/>
      <c r="D244" s="11"/>
      <c r="E244" s="9"/>
      <c r="F244" s="10"/>
      <c r="G244" s="10"/>
      <c r="H244" s="30"/>
      <c r="I244" s="30"/>
      <c r="J244" s="30"/>
      <c r="K244" s="30"/>
      <c r="L244" s="30"/>
      <c r="M244" s="30"/>
      <c r="N244" s="30"/>
      <c r="O244" s="9"/>
      <c r="P244" s="9"/>
      <c r="Q244" s="8"/>
      <c r="R244" s="8"/>
      <c r="S244" s="12"/>
      <c r="T244" s="29"/>
      <c r="U244" s="29"/>
      <c r="V244" s="29"/>
      <c r="W244" s="29"/>
      <c r="X244" s="8"/>
      <c r="Y244" s="29"/>
      <c r="Z244" s="8"/>
      <c r="AA244" s="8"/>
    </row>
    <row r="245" spans="1:27" s="46" customFormat="1" x14ac:dyDescent="0.25">
      <c r="A245" s="8"/>
      <c r="B245" s="9"/>
      <c r="C245" s="2"/>
      <c r="D245" s="11"/>
      <c r="E245" s="9"/>
      <c r="F245" s="10"/>
      <c r="G245" s="10"/>
      <c r="H245" s="30"/>
      <c r="I245" s="30"/>
      <c r="J245" s="30"/>
      <c r="K245" s="30"/>
      <c r="L245" s="30"/>
      <c r="M245" s="30"/>
      <c r="N245" s="30"/>
      <c r="O245" s="9"/>
      <c r="P245" s="9"/>
      <c r="Q245" s="8"/>
      <c r="R245" s="8"/>
      <c r="S245" s="12"/>
      <c r="T245" s="29"/>
      <c r="U245" s="29"/>
      <c r="V245" s="29"/>
      <c r="W245" s="29"/>
      <c r="X245" s="8"/>
      <c r="Y245" s="29"/>
      <c r="Z245" s="8"/>
      <c r="AA245" s="8"/>
    </row>
    <row r="246" spans="1:27" s="72" customFormat="1" x14ac:dyDescent="0.25">
      <c r="A246" s="8"/>
      <c r="B246" s="9"/>
      <c r="C246" s="2"/>
      <c r="D246" s="11"/>
      <c r="E246" s="9"/>
      <c r="F246" s="10"/>
      <c r="G246" s="10"/>
      <c r="H246" s="30"/>
      <c r="I246" s="30"/>
      <c r="J246" s="30"/>
      <c r="K246" s="30"/>
      <c r="L246" s="30"/>
      <c r="M246" s="30"/>
      <c r="N246" s="30"/>
      <c r="O246" s="9"/>
      <c r="P246" s="9"/>
      <c r="Q246" s="8"/>
      <c r="R246" s="8"/>
      <c r="S246" s="12"/>
      <c r="T246" s="29"/>
      <c r="U246" s="29"/>
      <c r="V246" s="29"/>
      <c r="W246" s="29"/>
      <c r="X246" s="8"/>
      <c r="Y246" s="29"/>
      <c r="Z246" s="8"/>
      <c r="AA246" s="8"/>
    </row>
    <row r="247" spans="1:27" s="46" customFormat="1" x14ac:dyDescent="0.25">
      <c r="A247" s="8"/>
      <c r="B247" s="9"/>
      <c r="C247" s="2"/>
      <c r="D247" s="11"/>
      <c r="E247" s="9"/>
      <c r="F247" s="10"/>
      <c r="G247" s="10"/>
      <c r="H247" s="30"/>
      <c r="I247" s="30"/>
      <c r="J247" s="30"/>
      <c r="K247" s="30"/>
      <c r="L247" s="30"/>
      <c r="M247" s="30"/>
      <c r="N247" s="30"/>
      <c r="O247" s="9"/>
      <c r="P247" s="9"/>
      <c r="Q247" s="8"/>
      <c r="R247" s="8"/>
      <c r="S247" s="12"/>
      <c r="T247" s="29"/>
      <c r="U247" s="29"/>
      <c r="V247" s="29"/>
      <c r="W247" s="29"/>
      <c r="X247" s="8"/>
      <c r="Y247" s="29"/>
      <c r="Z247" s="8"/>
      <c r="AA247" s="8"/>
    </row>
    <row r="248" spans="1:27" s="46" customFormat="1" x14ac:dyDescent="0.25">
      <c r="A248" s="8"/>
      <c r="B248" s="9"/>
      <c r="C248" s="2"/>
      <c r="D248" s="11"/>
      <c r="E248" s="9"/>
      <c r="F248" s="10"/>
      <c r="G248" s="10"/>
      <c r="H248" s="30"/>
      <c r="I248" s="30"/>
      <c r="J248" s="30"/>
      <c r="K248" s="30"/>
      <c r="L248" s="30"/>
      <c r="M248" s="30"/>
      <c r="N248" s="30"/>
      <c r="O248" s="9"/>
      <c r="P248" s="9"/>
      <c r="Q248" s="8"/>
      <c r="R248" s="8"/>
      <c r="S248" s="12"/>
      <c r="T248" s="29"/>
      <c r="U248" s="29"/>
      <c r="V248" s="29"/>
      <c r="W248" s="29"/>
      <c r="X248" s="8"/>
      <c r="Y248" s="29"/>
      <c r="Z248" s="8"/>
      <c r="AA248" s="8"/>
    </row>
    <row r="249" spans="1:27" s="46" customFormat="1" x14ac:dyDescent="0.25">
      <c r="A249" s="8"/>
      <c r="B249" s="9"/>
      <c r="C249" s="2"/>
      <c r="D249" s="11"/>
      <c r="E249" s="9"/>
      <c r="F249" s="10"/>
      <c r="G249" s="10"/>
      <c r="H249" s="30"/>
      <c r="I249" s="30"/>
      <c r="J249" s="30"/>
      <c r="K249" s="30"/>
      <c r="L249" s="30"/>
      <c r="M249" s="30"/>
      <c r="N249" s="30"/>
      <c r="O249" s="9"/>
      <c r="P249" s="9"/>
      <c r="Q249" s="8"/>
      <c r="R249" s="8"/>
      <c r="S249" s="12"/>
      <c r="T249" s="29"/>
      <c r="U249" s="29"/>
      <c r="V249" s="29"/>
      <c r="W249" s="29"/>
      <c r="X249" s="8"/>
      <c r="Y249" s="29"/>
      <c r="Z249" s="8"/>
      <c r="AA249" s="8"/>
    </row>
    <row r="250" spans="1:27" s="46" customFormat="1" x14ac:dyDescent="0.25">
      <c r="A250" s="8"/>
      <c r="B250" s="9"/>
      <c r="C250" s="2"/>
      <c r="D250" s="11"/>
      <c r="E250" s="9"/>
      <c r="F250" s="10"/>
      <c r="G250" s="10"/>
      <c r="H250" s="30"/>
      <c r="I250" s="30"/>
      <c r="J250" s="30"/>
      <c r="K250" s="30"/>
      <c r="L250" s="30"/>
      <c r="M250" s="30"/>
      <c r="N250" s="30"/>
      <c r="O250" s="9"/>
      <c r="P250" s="9"/>
      <c r="Q250" s="8"/>
      <c r="R250" s="8"/>
      <c r="S250" s="12"/>
      <c r="T250" s="29"/>
      <c r="U250" s="29"/>
      <c r="V250" s="29"/>
      <c r="W250" s="29"/>
      <c r="X250" s="8"/>
      <c r="Y250" s="29"/>
      <c r="Z250" s="8"/>
      <c r="AA250" s="8"/>
    </row>
    <row r="251" spans="1:27" s="46" customFormat="1" x14ac:dyDescent="0.25">
      <c r="A251" s="8"/>
      <c r="B251" s="9"/>
      <c r="C251" s="2"/>
      <c r="D251" s="11"/>
      <c r="E251" s="9"/>
      <c r="F251" s="10"/>
      <c r="G251" s="10"/>
      <c r="H251" s="30"/>
      <c r="I251" s="30"/>
      <c r="J251" s="30"/>
      <c r="K251" s="30"/>
      <c r="L251" s="30"/>
      <c r="M251" s="30"/>
      <c r="N251" s="30"/>
      <c r="O251" s="9"/>
      <c r="P251" s="9"/>
      <c r="Q251" s="8"/>
      <c r="R251" s="8"/>
      <c r="S251" s="12"/>
      <c r="T251" s="29"/>
      <c r="U251" s="29"/>
      <c r="V251" s="29"/>
      <c r="W251" s="29"/>
      <c r="X251" s="8"/>
      <c r="Y251" s="29"/>
      <c r="Z251" s="8"/>
      <c r="AA251" s="8"/>
    </row>
    <row r="252" spans="1:27" s="46" customFormat="1" x14ac:dyDescent="0.25">
      <c r="A252" s="8"/>
      <c r="B252" s="9"/>
      <c r="C252" s="2"/>
      <c r="D252" s="11"/>
      <c r="E252" s="9"/>
      <c r="F252" s="10"/>
      <c r="G252" s="10"/>
      <c r="H252" s="30"/>
      <c r="I252" s="30"/>
      <c r="J252" s="30"/>
      <c r="K252" s="30"/>
      <c r="L252" s="30"/>
      <c r="M252" s="30"/>
      <c r="N252" s="30"/>
      <c r="O252" s="9"/>
      <c r="P252" s="9"/>
      <c r="Q252" s="8"/>
      <c r="R252" s="8"/>
      <c r="S252" s="12"/>
      <c r="T252" s="29"/>
      <c r="U252" s="29"/>
      <c r="V252" s="29"/>
      <c r="W252" s="29"/>
      <c r="X252" s="8"/>
      <c r="Y252" s="29"/>
      <c r="Z252" s="8"/>
      <c r="AA252" s="8"/>
    </row>
    <row r="253" spans="1:27" s="46" customFormat="1" x14ac:dyDescent="0.25">
      <c r="A253" s="8"/>
      <c r="B253" s="9"/>
      <c r="C253" s="2"/>
      <c r="D253" s="11"/>
      <c r="E253" s="9"/>
      <c r="F253" s="10"/>
      <c r="G253" s="10"/>
      <c r="H253" s="30"/>
      <c r="I253" s="30"/>
      <c r="J253" s="30"/>
      <c r="K253" s="30"/>
      <c r="L253" s="30"/>
      <c r="M253" s="30"/>
      <c r="N253" s="30"/>
      <c r="O253" s="9"/>
      <c r="P253" s="9"/>
      <c r="Q253" s="8"/>
      <c r="R253" s="8"/>
      <c r="S253" s="12"/>
      <c r="T253" s="29"/>
      <c r="U253" s="29"/>
      <c r="V253" s="29"/>
      <c r="W253" s="29"/>
      <c r="X253" s="8"/>
      <c r="Y253" s="29"/>
      <c r="Z253" s="8"/>
      <c r="AA253" s="8"/>
    </row>
    <row r="254" spans="1:27" s="46" customFormat="1" x14ac:dyDescent="0.25">
      <c r="A254" s="8"/>
      <c r="B254" s="9"/>
      <c r="C254" s="2"/>
      <c r="D254" s="11"/>
      <c r="E254" s="9"/>
      <c r="F254" s="10"/>
      <c r="G254" s="10"/>
      <c r="H254" s="30"/>
      <c r="I254" s="30"/>
      <c r="J254" s="30"/>
      <c r="K254" s="30"/>
      <c r="L254" s="30"/>
      <c r="M254" s="30"/>
      <c r="N254" s="30"/>
      <c r="O254" s="9"/>
      <c r="P254" s="9"/>
      <c r="Q254" s="8"/>
      <c r="R254" s="8"/>
      <c r="S254" s="12"/>
      <c r="T254" s="29"/>
      <c r="U254" s="29"/>
      <c r="V254" s="29"/>
      <c r="W254" s="29"/>
      <c r="X254" s="8"/>
      <c r="Y254" s="29"/>
      <c r="Z254" s="8"/>
      <c r="AA254" s="8"/>
    </row>
    <row r="255" spans="1:27" s="46" customFormat="1" x14ac:dyDescent="0.25">
      <c r="A255" s="8"/>
      <c r="B255" s="9"/>
      <c r="C255" s="2"/>
      <c r="D255" s="11"/>
      <c r="E255" s="9"/>
      <c r="F255" s="10"/>
      <c r="G255" s="10"/>
      <c r="H255" s="30"/>
      <c r="I255" s="30"/>
      <c r="J255" s="30"/>
      <c r="K255" s="30"/>
      <c r="L255" s="30"/>
      <c r="M255" s="30"/>
      <c r="N255" s="30"/>
      <c r="O255" s="9"/>
      <c r="P255" s="9"/>
      <c r="Q255" s="8"/>
      <c r="R255" s="8"/>
      <c r="S255" s="12"/>
      <c r="T255" s="29"/>
      <c r="U255" s="29"/>
      <c r="V255" s="29"/>
      <c r="W255" s="29"/>
      <c r="X255" s="8"/>
      <c r="Y255" s="29"/>
      <c r="Z255" s="8"/>
      <c r="AA255" s="8"/>
    </row>
    <row r="256" spans="1:27" s="46" customFormat="1" x14ac:dyDescent="0.25">
      <c r="A256" s="8"/>
      <c r="B256" s="9"/>
      <c r="C256" s="2"/>
      <c r="D256" s="11"/>
      <c r="E256" s="9"/>
      <c r="F256" s="10"/>
      <c r="G256" s="10"/>
      <c r="H256" s="30"/>
      <c r="I256" s="30"/>
      <c r="J256" s="30"/>
      <c r="K256" s="30"/>
      <c r="L256" s="30"/>
      <c r="M256" s="30"/>
      <c r="N256" s="30"/>
      <c r="O256" s="9"/>
      <c r="P256" s="9"/>
      <c r="Q256" s="8"/>
      <c r="R256" s="8"/>
      <c r="S256" s="12"/>
      <c r="T256" s="29"/>
      <c r="U256" s="29"/>
      <c r="V256" s="29"/>
      <c r="W256" s="29"/>
      <c r="X256" s="8"/>
      <c r="Y256" s="29"/>
      <c r="Z256" s="8"/>
      <c r="AA256" s="8"/>
    </row>
    <row r="257" spans="1:27" s="46" customFormat="1" x14ac:dyDescent="0.25">
      <c r="A257" s="8"/>
      <c r="B257" s="9"/>
      <c r="C257" s="2"/>
      <c r="D257" s="11"/>
      <c r="E257" s="9"/>
      <c r="F257" s="10"/>
      <c r="G257" s="10"/>
      <c r="H257" s="30"/>
      <c r="I257" s="30"/>
      <c r="J257" s="30"/>
      <c r="K257" s="30"/>
      <c r="L257" s="30"/>
      <c r="M257" s="30"/>
      <c r="N257" s="30"/>
      <c r="O257" s="9"/>
      <c r="P257" s="9"/>
      <c r="Q257" s="8"/>
      <c r="R257" s="8"/>
      <c r="S257" s="12"/>
      <c r="T257" s="29"/>
      <c r="U257" s="29"/>
      <c r="V257" s="29"/>
      <c r="W257" s="29"/>
      <c r="X257" s="8"/>
      <c r="Y257" s="29"/>
      <c r="Z257" s="8"/>
      <c r="AA257" s="8"/>
    </row>
    <row r="258" spans="1:27" s="46" customFormat="1" x14ac:dyDescent="0.25">
      <c r="A258" s="8"/>
      <c r="B258" s="9"/>
      <c r="C258" s="2"/>
      <c r="D258" s="11"/>
      <c r="E258" s="9"/>
      <c r="F258" s="10"/>
      <c r="G258" s="10"/>
      <c r="H258" s="30"/>
      <c r="I258" s="30"/>
      <c r="J258" s="30"/>
      <c r="K258" s="30"/>
      <c r="L258" s="30"/>
      <c r="M258" s="30"/>
      <c r="N258" s="30"/>
      <c r="O258" s="9"/>
      <c r="P258" s="9"/>
      <c r="Q258" s="8"/>
      <c r="R258" s="8"/>
      <c r="S258" s="12"/>
      <c r="T258" s="29"/>
      <c r="U258" s="29"/>
      <c r="V258" s="29"/>
      <c r="W258" s="29"/>
      <c r="X258" s="8"/>
      <c r="Y258" s="29"/>
      <c r="Z258" s="8"/>
      <c r="AA258" s="8"/>
    </row>
    <row r="259" spans="1:27" s="46" customFormat="1" x14ac:dyDescent="0.25">
      <c r="A259" s="8"/>
      <c r="B259" s="9"/>
      <c r="C259" s="2"/>
      <c r="D259" s="11"/>
      <c r="E259" s="9"/>
      <c r="F259" s="10"/>
      <c r="G259" s="10"/>
      <c r="H259" s="30"/>
      <c r="I259" s="30"/>
      <c r="J259" s="30"/>
      <c r="K259" s="30"/>
      <c r="L259" s="30"/>
      <c r="M259" s="30"/>
      <c r="N259" s="30"/>
      <c r="O259" s="9"/>
      <c r="P259" s="9"/>
      <c r="Q259" s="8"/>
      <c r="R259" s="8"/>
      <c r="S259" s="12"/>
      <c r="T259" s="29"/>
      <c r="U259" s="29"/>
      <c r="V259" s="29"/>
      <c r="W259" s="29"/>
      <c r="X259" s="8"/>
      <c r="Y259" s="29"/>
      <c r="Z259" s="8"/>
      <c r="AA259" s="8"/>
    </row>
    <row r="260" spans="1:27" s="46" customFormat="1" x14ac:dyDescent="0.25">
      <c r="A260" s="8"/>
      <c r="B260" s="9"/>
      <c r="C260" s="2"/>
      <c r="D260" s="11"/>
      <c r="E260" s="9"/>
      <c r="F260" s="10"/>
      <c r="G260" s="10"/>
      <c r="H260" s="30"/>
      <c r="I260" s="30"/>
      <c r="J260" s="30"/>
      <c r="K260" s="30"/>
      <c r="L260" s="30"/>
      <c r="M260" s="30"/>
      <c r="N260" s="30"/>
      <c r="O260" s="9"/>
      <c r="P260" s="9"/>
      <c r="Q260" s="8"/>
      <c r="R260" s="8"/>
      <c r="S260" s="12"/>
      <c r="T260" s="29"/>
      <c r="U260" s="29"/>
      <c r="V260" s="29"/>
      <c r="W260" s="29"/>
      <c r="X260" s="8"/>
      <c r="Y260" s="29"/>
      <c r="Z260" s="8"/>
      <c r="AA260" s="8"/>
    </row>
    <row r="261" spans="1:27" s="46" customFormat="1" x14ac:dyDescent="0.25">
      <c r="A261" s="8"/>
      <c r="B261" s="9"/>
      <c r="C261" s="2"/>
      <c r="D261" s="11"/>
      <c r="E261" s="9"/>
      <c r="F261" s="10"/>
      <c r="G261" s="10"/>
      <c r="H261" s="30"/>
      <c r="I261" s="30"/>
      <c r="J261" s="30"/>
      <c r="K261" s="30"/>
      <c r="L261" s="30"/>
      <c r="M261" s="30"/>
      <c r="N261" s="30"/>
      <c r="O261" s="9"/>
      <c r="P261" s="9"/>
      <c r="Q261" s="8"/>
      <c r="R261" s="8"/>
      <c r="S261" s="12"/>
      <c r="T261" s="29"/>
      <c r="U261" s="29"/>
      <c r="V261" s="29"/>
      <c r="W261" s="29"/>
      <c r="X261" s="8"/>
      <c r="Y261" s="29"/>
      <c r="Z261" s="8"/>
      <c r="AA261" s="8"/>
    </row>
    <row r="262" spans="1:27" s="46" customFormat="1" x14ac:dyDescent="0.25">
      <c r="A262" s="8"/>
      <c r="B262" s="9"/>
      <c r="C262" s="2"/>
      <c r="D262" s="11"/>
      <c r="E262" s="9"/>
      <c r="F262" s="10"/>
      <c r="G262" s="10"/>
      <c r="H262" s="30"/>
      <c r="I262" s="30"/>
      <c r="J262" s="30"/>
      <c r="K262" s="30"/>
      <c r="L262" s="30"/>
      <c r="M262" s="30"/>
      <c r="N262" s="30"/>
      <c r="O262" s="9"/>
      <c r="P262" s="9"/>
      <c r="Q262" s="8"/>
      <c r="R262" s="8"/>
      <c r="S262" s="12"/>
      <c r="T262" s="29"/>
      <c r="U262" s="29"/>
      <c r="V262" s="29"/>
      <c r="W262" s="29"/>
      <c r="X262" s="8"/>
      <c r="Y262" s="29"/>
      <c r="Z262" s="8"/>
      <c r="AA262" s="8"/>
    </row>
    <row r="263" spans="1:27" s="46" customFormat="1" x14ac:dyDescent="0.25">
      <c r="A263" s="8"/>
      <c r="B263" s="9"/>
      <c r="C263" s="2"/>
      <c r="D263" s="11"/>
      <c r="E263" s="9"/>
      <c r="F263" s="10"/>
      <c r="G263" s="10"/>
      <c r="H263" s="30"/>
      <c r="I263" s="30"/>
      <c r="J263" s="30"/>
      <c r="K263" s="30"/>
      <c r="L263" s="30"/>
      <c r="M263" s="30"/>
      <c r="N263" s="30"/>
      <c r="O263" s="9"/>
      <c r="P263" s="9"/>
      <c r="Q263" s="8"/>
      <c r="R263" s="8"/>
      <c r="S263" s="12"/>
      <c r="T263" s="29"/>
      <c r="U263" s="29"/>
      <c r="V263" s="29"/>
      <c r="W263" s="29"/>
      <c r="X263" s="8"/>
      <c r="Y263" s="29"/>
      <c r="Z263" s="8"/>
      <c r="AA263" s="8"/>
    </row>
    <row r="264" spans="1:27" s="46" customFormat="1" x14ac:dyDescent="0.25">
      <c r="A264" s="8"/>
      <c r="B264" s="9"/>
      <c r="C264" s="2"/>
      <c r="D264" s="11"/>
      <c r="E264" s="9"/>
      <c r="F264" s="10"/>
      <c r="G264" s="10"/>
      <c r="H264" s="30"/>
      <c r="I264" s="30"/>
      <c r="J264" s="30"/>
      <c r="K264" s="30"/>
      <c r="L264" s="30"/>
      <c r="M264" s="30"/>
      <c r="N264" s="30"/>
      <c r="O264" s="9"/>
      <c r="P264" s="9"/>
      <c r="Q264" s="8"/>
      <c r="R264" s="8"/>
      <c r="S264" s="12"/>
      <c r="T264" s="29"/>
      <c r="U264" s="29"/>
      <c r="V264" s="29"/>
      <c r="W264" s="29"/>
      <c r="X264" s="8"/>
      <c r="Y264" s="29"/>
      <c r="Z264" s="8"/>
      <c r="AA264" s="8"/>
    </row>
    <row r="265" spans="1:27" s="46" customFormat="1" x14ac:dyDescent="0.25">
      <c r="A265" s="8"/>
      <c r="B265" s="9"/>
      <c r="C265" s="2"/>
      <c r="D265" s="11"/>
      <c r="E265" s="9"/>
      <c r="F265" s="10"/>
      <c r="G265" s="10"/>
      <c r="H265" s="30"/>
      <c r="I265" s="30"/>
      <c r="J265" s="30"/>
      <c r="K265" s="30"/>
      <c r="L265" s="30"/>
      <c r="M265" s="30"/>
      <c r="N265" s="30"/>
      <c r="O265" s="9"/>
      <c r="P265" s="9"/>
      <c r="Q265" s="8"/>
      <c r="R265" s="8"/>
      <c r="S265" s="12"/>
      <c r="T265" s="29"/>
      <c r="U265" s="29"/>
      <c r="V265" s="29"/>
      <c r="W265" s="29"/>
      <c r="X265" s="8"/>
      <c r="Y265" s="29"/>
      <c r="Z265" s="8"/>
      <c r="AA265" s="8"/>
    </row>
    <row r="266" spans="1:27" s="46" customFormat="1" x14ac:dyDescent="0.25">
      <c r="A266" s="8"/>
      <c r="B266" s="9"/>
      <c r="C266" s="2"/>
      <c r="D266" s="11"/>
      <c r="E266" s="9"/>
      <c r="F266" s="10"/>
      <c r="G266" s="10"/>
      <c r="H266" s="30"/>
      <c r="I266" s="30"/>
      <c r="J266" s="30"/>
      <c r="K266" s="30"/>
      <c r="L266" s="30"/>
      <c r="M266" s="30"/>
      <c r="N266" s="30"/>
      <c r="O266" s="9"/>
      <c r="P266" s="9"/>
      <c r="Q266" s="8"/>
      <c r="R266" s="8"/>
      <c r="S266" s="12"/>
      <c r="T266" s="29"/>
      <c r="U266" s="29"/>
      <c r="V266" s="29"/>
      <c r="W266" s="29"/>
      <c r="X266" s="8"/>
      <c r="Y266" s="29"/>
      <c r="Z266" s="8"/>
      <c r="AA266" s="8"/>
    </row>
    <row r="267" spans="1:27" s="46" customFormat="1" x14ac:dyDescent="0.25">
      <c r="A267" s="8"/>
      <c r="B267" s="9"/>
      <c r="C267" s="2"/>
      <c r="D267" s="11"/>
      <c r="E267" s="9"/>
      <c r="F267" s="10"/>
      <c r="G267" s="10"/>
      <c r="H267" s="30"/>
      <c r="I267" s="30"/>
      <c r="J267" s="30"/>
      <c r="K267" s="30"/>
      <c r="L267" s="30"/>
      <c r="M267" s="30"/>
      <c r="N267" s="30"/>
      <c r="O267" s="9"/>
      <c r="P267" s="9"/>
      <c r="Q267" s="8"/>
      <c r="R267" s="8"/>
      <c r="S267" s="12"/>
      <c r="T267" s="29"/>
      <c r="U267" s="29"/>
      <c r="V267" s="29"/>
      <c r="W267" s="29"/>
      <c r="X267" s="8"/>
      <c r="Y267" s="29"/>
      <c r="Z267" s="8"/>
      <c r="AA267" s="8"/>
    </row>
    <row r="268" spans="1:27" s="46" customFormat="1" x14ac:dyDescent="0.25">
      <c r="A268" s="8"/>
      <c r="B268" s="9"/>
      <c r="C268" s="2"/>
      <c r="D268" s="11"/>
      <c r="E268" s="9"/>
      <c r="F268" s="10"/>
      <c r="G268" s="10"/>
      <c r="H268" s="30"/>
      <c r="I268" s="30"/>
      <c r="J268" s="30"/>
      <c r="K268" s="30"/>
      <c r="L268" s="30"/>
      <c r="M268" s="30"/>
      <c r="N268" s="30"/>
      <c r="O268" s="9"/>
      <c r="P268" s="9"/>
      <c r="Q268" s="8"/>
      <c r="R268" s="8"/>
      <c r="S268" s="12"/>
      <c r="T268" s="29"/>
      <c r="U268" s="29"/>
      <c r="V268" s="29"/>
      <c r="W268" s="29"/>
      <c r="X268" s="8"/>
      <c r="Y268" s="29"/>
      <c r="Z268" s="8"/>
      <c r="AA268" s="8"/>
    </row>
    <row r="269" spans="1:27" s="46" customFormat="1" x14ac:dyDescent="0.25">
      <c r="A269" s="8"/>
      <c r="B269" s="9"/>
      <c r="C269" s="2"/>
      <c r="D269" s="11"/>
      <c r="E269" s="9"/>
      <c r="F269" s="10"/>
      <c r="G269" s="10"/>
      <c r="H269" s="30"/>
      <c r="I269" s="30"/>
      <c r="J269" s="30"/>
      <c r="K269" s="30"/>
      <c r="L269" s="30"/>
      <c r="M269" s="30"/>
      <c r="N269" s="30"/>
      <c r="O269" s="9"/>
      <c r="P269" s="9"/>
      <c r="Q269" s="8"/>
      <c r="R269" s="8"/>
      <c r="S269" s="12"/>
      <c r="T269" s="29"/>
      <c r="U269" s="29"/>
      <c r="V269" s="29"/>
      <c r="W269" s="29"/>
      <c r="X269" s="8"/>
      <c r="Y269" s="29"/>
      <c r="Z269" s="8"/>
      <c r="AA269" s="8"/>
    </row>
    <row r="270" spans="1:27" s="46" customFormat="1" x14ac:dyDescent="0.25">
      <c r="A270" s="8"/>
      <c r="B270" s="9"/>
      <c r="C270" s="2"/>
      <c r="D270" s="11"/>
      <c r="E270" s="9"/>
      <c r="F270" s="10"/>
      <c r="G270" s="10"/>
      <c r="H270" s="30"/>
      <c r="I270" s="30"/>
      <c r="J270" s="30"/>
      <c r="K270" s="30"/>
      <c r="L270" s="30"/>
      <c r="M270" s="30"/>
      <c r="N270" s="30"/>
      <c r="O270" s="9"/>
      <c r="P270" s="9"/>
      <c r="Q270" s="8"/>
      <c r="R270" s="8"/>
      <c r="S270" s="12"/>
      <c r="T270" s="29"/>
      <c r="U270" s="29"/>
      <c r="V270" s="29"/>
      <c r="W270" s="29"/>
      <c r="X270" s="8"/>
      <c r="Y270" s="29"/>
      <c r="Z270" s="8"/>
      <c r="AA270" s="8"/>
    </row>
    <row r="271" spans="1:27" s="46" customFormat="1" x14ac:dyDescent="0.25">
      <c r="A271" s="8"/>
      <c r="B271" s="9"/>
      <c r="C271" s="2"/>
      <c r="D271" s="11"/>
      <c r="E271" s="9"/>
      <c r="F271" s="10"/>
      <c r="G271" s="10"/>
      <c r="H271" s="30"/>
      <c r="I271" s="30"/>
      <c r="J271" s="30"/>
      <c r="K271" s="30"/>
      <c r="L271" s="30"/>
      <c r="M271" s="30"/>
      <c r="N271" s="30"/>
      <c r="O271" s="9"/>
      <c r="P271" s="9"/>
      <c r="Q271" s="8"/>
      <c r="R271" s="8"/>
      <c r="S271" s="12"/>
      <c r="T271" s="29"/>
      <c r="U271" s="29"/>
      <c r="V271" s="29"/>
      <c r="W271" s="29"/>
      <c r="X271" s="8"/>
      <c r="Y271" s="29"/>
      <c r="Z271" s="8"/>
      <c r="AA271" s="8"/>
    </row>
    <row r="272" spans="1:27" s="46" customFormat="1" x14ac:dyDescent="0.25">
      <c r="A272" s="8"/>
      <c r="B272" s="9"/>
      <c r="C272" s="2"/>
      <c r="D272" s="11"/>
      <c r="E272" s="9"/>
      <c r="F272" s="10"/>
      <c r="G272" s="10"/>
      <c r="H272" s="30"/>
      <c r="I272" s="30"/>
      <c r="J272" s="30"/>
      <c r="K272" s="30"/>
      <c r="L272" s="30"/>
      <c r="M272" s="30"/>
      <c r="N272" s="30"/>
      <c r="O272" s="9"/>
      <c r="P272" s="9"/>
      <c r="Q272" s="8"/>
      <c r="R272" s="8"/>
      <c r="S272" s="12"/>
      <c r="T272" s="29"/>
      <c r="U272" s="29"/>
      <c r="V272" s="29"/>
      <c r="W272" s="29"/>
      <c r="X272" s="8"/>
      <c r="Y272" s="29"/>
      <c r="Z272" s="8"/>
      <c r="AA272" s="8"/>
    </row>
    <row r="273" spans="1:27" s="46" customFormat="1" x14ac:dyDescent="0.25">
      <c r="A273" s="8"/>
      <c r="B273" s="9"/>
      <c r="C273" s="2"/>
      <c r="D273" s="11"/>
      <c r="E273" s="9"/>
      <c r="F273" s="10"/>
      <c r="G273" s="10"/>
      <c r="H273" s="30"/>
      <c r="I273" s="30"/>
      <c r="J273" s="30"/>
      <c r="K273" s="30"/>
      <c r="L273" s="30"/>
      <c r="M273" s="30"/>
      <c r="N273" s="30"/>
      <c r="O273" s="9"/>
      <c r="P273" s="9"/>
      <c r="Q273" s="8"/>
      <c r="R273" s="8"/>
      <c r="S273" s="12"/>
      <c r="T273" s="29"/>
      <c r="U273" s="29"/>
      <c r="V273" s="29"/>
      <c r="W273" s="29"/>
      <c r="X273" s="8"/>
      <c r="Y273" s="29"/>
      <c r="Z273" s="8"/>
      <c r="AA273" s="8"/>
    </row>
    <row r="274" spans="1:27" s="46" customFormat="1" x14ac:dyDescent="0.25">
      <c r="A274" s="8"/>
      <c r="B274" s="9"/>
      <c r="C274" s="2"/>
      <c r="D274" s="11"/>
      <c r="E274" s="9"/>
      <c r="F274" s="10"/>
      <c r="G274" s="10"/>
      <c r="H274" s="30"/>
      <c r="I274" s="30"/>
      <c r="J274" s="30"/>
      <c r="K274" s="30"/>
      <c r="L274" s="30"/>
      <c r="M274" s="30"/>
      <c r="N274" s="30"/>
      <c r="O274" s="9"/>
      <c r="P274" s="9"/>
      <c r="Q274" s="8"/>
      <c r="R274" s="8"/>
      <c r="S274" s="12"/>
      <c r="T274" s="29"/>
      <c r="U274" s="29"/>
      <c r="V274" s="29"/>
      <c r="W274" s="29"/>
      <c r="X274" s="8"/>
      <c r="Y274" s="29"/>
      <c r="Z274" s="8"/>
      <c r="AA274" s="8"/>
    </row>
    <row r="275" spans="1:27" s="46" customFormat="1" x14ac:dyDescent="0.25">
      <c r="A275" s="8"/>
      <c r="B275" s="9"/>
      <c r="C275" s="2"/>
      <c r="D275" s="11"/>
      <c r="E275" s="9"/>
      <c r="F275" s="10"/>
      <c r="G275" s="10"/>
      <c r="H275" s="30"/>
      <c r="I275" s="30"/>
      <c r="J275" s="30"/>
      <c r="K275" s="30"/>
      <c r="L275" s="30"/>
      <c r="M275" s="30"/>
      <c r="N275" s="30"/>
      <c r="O275" s="9"/>
      <c r="P275" s="9"/>
      <c r="Q275" s="8"/>
      <c r="R275" s="8"/>
      <c r="S275" s="12"/>
      <c r="T275" s="29"/>
      <c r="U275" s="29"/>
      <c r="V275" s="29"/>
      <c r="W275" s="29"/>
      <c r="X275" s="8"/>
      <c r="Y275" s="29"/>
      <c r="Z275" s="8"/>
      <c r="AA275" s="8"/>
    </row>
    <row r="276" spans="1:27" s="46" customFormat="1" x14ac:dyDescent="0.25">
      <c r="A276" s="8"/>
      <c r="B276" s="9"/>
      <c r="C276" s="2"/>
      <c r="D276" s="11"/>
      <c r="E276" s="9"/>
      <c r="F276" s="10"/>
      <c r="G276" s="10"/>
      <c r="H276" s="30"/>
      <c r="I276" s="30"/>
      <c r="J276" s="30"/>
      <c r="K276" s="30"/>
      <c r="L276" s="30"/>
      <c r="M276" s="30"/>
      <c r="N276" s="30"/>
      <c r="O276" s="9"/>
      <c r="P276" s="9"/>
      <c r="Q276" s="8"/>
      <c r="R276" s="8"/>
      <c r="S276" s="12"/>
      <c r="T276" s="29"/>
      <c r="U276" s="29"/>
      <c r="V276" s="29"/>
      <c r="W276" s="29"/>
      <c r="X276" s="8"/>
      <c r="Y276" s="29"/>
      <c r="Z276" s="8"/>
      <c r="AA276" s="8"/>
    </row>
    <row r="277" spans="1:27" s="46" customFormat="1" x14ac:dyDescent="0.25">
      <c r="A277" s="8"/>
      <c r="B277" s="9"/>
      <c r="C277" s="2"/>
      <c r="D277" s="11"/>
      <c r="E277" s="9"/>
      <c r="F277" s="10"/>
      <c r="G277" s="10"/>
      <c r="H277" s="30"/>
      <c r="I277" s="30"/>
      <c r="J277" s="30"/>
      <c r="K277" s="30"/>
      <c r="L277" s="30"/>
      <c r="M277" s="30"/>
      <c r="N277" s="30"/>
      <c r="O277" s="9"/>
      <c r="P277" s="9"/>
      <c r="Q277" s="8"/>
      <c r="R277" s="8"/>
      <c r="S277" s="12"/>
      <c r="T277" s="29"/>
      <c r="U277" s="29"/>
      <c r="V277" s="29"/>
      <c r="W277" s="29"/>
      <c r="X277" s="8"/>
      <c r="Y277" s="29"/>
      <c r="Z277" s="8"/>
      <c r="AA277" s="8"/>
    </row>
    <row r="278" spans="1:27" s="46" customFormat="1" x14ac:dyDescent="0.25">
      <c r="A278" s="8"/>
      <c r="B278" s="9"/>
      <c r="C278" s="2"/>
      <c r="D278" s="11"/>
      <c r="E278" s="9"/>
      <c r="F278" s="10"/>
      <c r="G278" s="10"/>
      <c r="H278" s="30"/>
      <c r="I278" s="30"/>
      <c r="J278" s="30"/>
      <c r="K278" s="30"/>
      <c r="L278" s="30"/>
      <c r="M278" s="30"/>
      <c r="N278" s="30"/>
      <c r="O278" s="9"/>
      <c r="P278" s="9"/>
      <c r="Q278" s="8"/>
      <c r="R278" s="8"/>
      <c r="S278" s="12"/>
      <c r="T278" s="29"/>
      <c r="U278" s="29"/>
      <c r="V278" s="29"/>
      <c r="W278" s="29"/>
      <c r="X278" s="8"/>
      <c r="Y278" s="29"/>
      <c r="Z278" s="8"/>
      <c r="AA278" s="8"/>
    </row>
    <row r="279" spans="1:27" s="46" customFormat="1" x14ac:dyDescent="0.25">
      <c r="A279" s="8"/>
      <c r="B279" s="9"/>
      <c r="C279" s="2"/>
      <c r="D279" s="11"/>
      <c r="E279" s="9"/>
      <c r="F279" s="10"/>
      <c r="G279" s="10"/>
      <c r="H279" s="30"/>
      <c r="I279" s="30"/>
      <c r="J279" s="30"/>
      <c r="K279" s="30"/>
      <c r="L279" s="30"/>
      <c r="M279" s="30"/>
      <c r="N279" s="30"/>
      <c r="O279" s="9"/>
      <c r="P279" s="9"/>
      <c r="Q279" s="8"/>
      <c r="R279" s="8"/>
      <c r="S279" s="12"/>
      <c r="T279" s="29"/>
      <c r="U279" s="29"/>
      <c r="V279" s="29"/>
      <c r="W279" s="29"/>
      <c r="X279" s="8"/>
      <c r="Y279" s="29"/>
      <c r="Z279" s="8"/>
      <c r="AA279" s="8"/>
    </row>
    <row r="280" spans="1:27" s="46" customFormat="1" x14ac:dyDescent="0.25">
      <c r="A280" s="8"/>
      <c r="B280" s="9"/>
      <c r="C280" s="2"/>
      <c r="D280" s="11"/>
      <c r="E280" s="9"/>
      <c r="F280" s="10"/>
      <c r="G280" s="10"/>
      <c r="H280" s="30"/>
      <c r="I280" s="30"/>
      <c r="J280" s="30"/>
      <c r="K280" s="30"/>
      <c r="L280" s="30"/>
      <c r="M280" s="30"/>
      <c r="N280" s="30"/>
      <c r="O280" s="9"/>
      <c r="P280" s="9"/>
      <c r="Q280" s="8"/>
      <c r="R280" s="8"/>
      <c r="S280" s="12"/>
      <c r="T280" s="29"/>
      <c r="U280" s="29"/>
      <c r="V280" s="29"/>
      <c r="W280" s="29"/>
      <c r="X280" s="8"/>
      <c r="Y280" s="29"/>
      <c r="Z280" s="8"/>
      <c r="AA280" s="8"/>
    </row>
    <row r="281" spans="1:27" s="46" customFormat="1" x14ac:dyDescent="0.25">
      <c r="A281" s="8"/>
      <c r="B281" s="9"/>
      <c r="C281" s="2"/>
      <c r="D281" s="11"/>
      <c r="E281" s="9"/>
      <c r="F281" s="10"/>
      <c r="G281" s="10"/>
      <c r="H281" s="30"/>
      <c r="I281" s="30"/>
      <c r="J281" s="30"/>
      <c r="K281" s="30"/>
      <c r="L281" s="30"/>
      <c r="M281" s="30"/>
      <c r="N281" s="30"/>
      <c r="O281" s="9"/>
      <c r="P281" s="9"/>
      <c r="Q281" s="8"/>
      <c r="R281" s="8"/>
      <c r="S281" s="12"/>
      <c r="T281" s="29"/>
      <c r="U281" s="29"/>
      <c r="V281" s="29"/>
      <c r="W281" s="29"/>
      <c r="X281" s="8"/>
      <c r="Y281" s="29"/>
      <c r="Z281" s="8"/>
      <c r="AA281" s="8"/>
    </row>
    <row r="282" spans="1:27" s="46" customFormat="1" x14ac:dyDescent="0.25">
      <c r="A282" s="8"/>
      <c r="B282" s="9"/>
      <c r="C282" s="2"/>
      <c r="D282" s="11"/>
      <c r="E282" s="9"/>
      <c r="F282" s="10"/>
      <c r="G282" s="10"/>
      <c r="H282" s="30"/>
      <c r="I282" s="30"/>
      <c r="J282" s="30"/>
      <c r="K282" s="30"/>
      <c r="L282" s="30"/>
      <c r="M282" s="30"/>
      <c r="N282" s="30"/>
      <c r="O282" s="9"/>
      <c r="P282" s="9"/>
      <c r="Q282" s="8"/>
      <c r="R282" s="8"/>
      <c r="S282" s="12"/>
      <c r="T282" s="29"/>
      <c r="U282" s="29"/>
      <c r="V282" s="29"/>
      <c r="W282" s="29"/>
      <c r="X282" s="8"/>
      <c r="Y282" s="29"/>
      <c r="Z282" s="8"/>
      <c r="AA282" s="8"/>
    </row>
    <row r="283" spans="1:27" s="46" customFormat="1" x14ac:dyDescent="0.25">
      <c r="A283" s="8"/>
      <c r="B283" s="9"/>
      <c r="C283" s="2"/>
      <c r="D283" s="11"/>
      <c r="E283" s="9"/>
      <c r="F283" s="10"/>
      <c r="G283" s="10"/>
      <c r="H283" s="30"/>
      <c r="I283" s="30"/>
      <c r="J283" s="30"/>
      <c r="K283" s="30"/>
      <c r="L283" s="30"/>
      <c r="M283" s="30"/>
      <c r="N283" s="30"/>
      <c r="O283" s="9"/>
      <c r="P283" s="9"/>
      <c r="Q283" s="8"/>
      <c r="R283" s="8"/>
      <c r="S283" s="12"/>
      <c r="T283" s="29"/>
      <c r="U283" s="29"/>
      <c r="V283" s="29"/>
      <c r="W283" s="29"/>
      <c r="X283" s="8"/>
      <c r="Y283" s="29"/>
      <c r="Z283" s="8"/>
      <c r="AA283" s="8"/>
    </row>
    <row r="284" spans="1:27" s="46" customFormat="1" x14ac:dyDescent="0.25">
      <c r="A284" s="8"/>
      <c r="B284" s="9"/>
      <c r="C284" s="2"/>
      <c r="D284" s="11"/>
      <c r="E284" s="9"/>
      <c r="F284" s="10"/>
      <c r="G284" s="10"/>
      <c r="H284" s="30"/>
      <c r="I284" s="30"/>
      <c r="J284" s="30"/>
      <c r="K284" s="30"/>
      <c r="L284" s="30"/>
      <c r="M284" s="30"/>
      <c r="N284" s="30"/>
      <c r="O284" s="9"/>
      <c r="P284" s="9"/>
      <c r="Q284" s="8"/>
      <c r="R284" s="8"/>
      <c r="S284" s="12"/>
      <c r="T284" s="29"/>
      <c r="U284" s="29"/>
      <c r="V284" s="29"/>
      <c r="W284" s="29"/>
      <c r="X284" s="8"/>
      <c r="Y284" s="29"/>
      <c r="Z284" s="8"/>
      <c r="AA284" s="8"/>
    </row>
    <row r="285" spans="1:27" s="46" customFormat="1" x14ac:dyDescent="0.25">
      <c r="A285" s="8"/>
      <c r="B285" s="9"/>
      <c r="C285" s="2"/>
      <c r="D285" s="11"/>
      <c r="E285" s="9"/>
      <c r="F285" s="10"/>
      <c r="G285" s="10"/>
      <c r="H285" s="30"/>
      <c r="I285" s="30"/>
      <c r="J285" s="30"/>
      <c r="K285" s="30"/>
      <c r="L285" s="30"/>
      <c r="M285" s="30"/>
      <c r="N285" s="30"/>
      <c r="O285" s="9"/>
      <c r="P285" s="9"/>
      <c r="Q285" s="8"/>
      <c r="R285" s="8"/>
      <c r="S285" s="12"/>
      <c r="T285" s="29"/>
      <c r="U285" s="29"/>
      <c r="V285" s="29"/>
      <c r="W285" s="29"/>
      <c r="X285" s="8"/>
      <c r="Y285" s="29"/>
      <c r="Z285" s="8"/>
      <c r="AA285" s="8"/>
    </row>
    <row r="286" spans="1:27" s="46" customFormat="1" x14ac:dyDescent="0.25">
      <c r="A286" s="8"/>
      <c r="B286" s="9"/>
      <c r="C286" s="2"/>
      <c r="D286" s="11"/>
      <c r="E286" s="9"/>
      <c r="F286" s="10"/>
      <c r="G286" s="10"/>
      <c r="H286" s="30"/>
      <c r="I286" s="30"/>
      <c r="J286" s="30"/>
      <c r="K286" s="30"/>
      <c r="L286" s="30"/>
      <c r="M286" s="30"/>
      <c r="N286" s="30"/>
      <c r="O286" s="9"/>
      <c r="P286" s="9"/>
      <c r="Q286" s="8"/>
      <c r="R286" s="8"/>
      <c r="S286" s="12"/>
      <c r="T286" s="29"/>
      <c r="U286" s="29"/>
      <c r="V286" s="29"/>
      <c r="W286" s="29"/>
      <c r="X286" s="8"/>
      <c r="Y286" s="29"/>
      <c r="Z286" s="8"/>
      <c r="AA286" s="8"/>
    </row>
    <row r="287" spans="1:27" s="46" customFormat="1" x14ac:dyDescent="0.25">
      <c r="A287" s="8"/>
      <c r="B287" s="9"/>
      <c r="C287" s="2"/>
      <c r="D287" s="11"/>
      <c r="E287" s="9"/>
      <c r="F287" s="10"/>
      <c r="G287" s="10"/>
      <c r="H287" s="30"/>
      <c r="I287" s="30"/>
      <c r="J287" s="30"/>
      <c r="K287" s="30"/>
      <c r="L287" s="30"/>
      <c r="M287" s="30"/>
      <c r="N287" s="30"/>
      <c r="O287" s="9"/>
      <c r="P287" s="9"/>
      <c r="Q287" s="8"/>
      <c r="R287" s="8"/>
      <c r="S287" s="12"/>
      <c r="T287" s="29"/>
      <c r="U287" s="29"/>
      <c r="V287" s="29"/>
      <c r="W287" s="29"/>
      <c r="X287" s="8"/>
      <c r="Y287" s="29"/>
      <c r="Z287" s="8"/>
      <c r="AA287" s="8"/>
    </row>
    <row r="288" spans="1:27" s="65" customFormat="1" ht="15.75" customHeight="1" x14ac:dyDescent="0.25">
      <c r="A288" s="8"/>
      <c r="B288" s="9"/>
      <c r="C288" s="2"/>
      <c r="D288" s="11"/>
      <c r="E288" s="9"/>
      <c r="F288" s="10"/>
      <c r="G288" s="10"/>
      <c r="H288" s="30"/>
      <c r="I288" s="30"/>
      <c r="J288" s="30"/>
      <c r="K288" s="30"/>
      <c r="L288" s="30"/>
      <c r="M288" s="30"/>
      <c r="N288" s="30"/>
      <c r="O288" s="9"/>
      <c r="P288" s="9"/>
      <c r="Q288" s="8"/>
      <c r="R288" s="8"/>
      <c r="S288" s="12"/>
      <c r="T288" s="29"/>
      <c r="U288" s="29"/>
      <c r="V288" s="29"/>
      <c r="W288" s="29"/>
      <c r="X288" s="8"/>
      <c r="Y288" s="29"/>
      <c r="Z288" s="8"/>
      <c r="AA288" s="8"/>
    </row>
    <row r="289" spans="1:27" s="65" customFormat="1" ht="14.65" customHeight="1" x14ac:dyDescent="0.25">
      <c r="A289" s="8"/>
      <c r="B289" s="9"/>
      <c r="C289" s="2"/>
      <c r="D289" s="11"/>
      <c r="E289" s="9"/>
      <c r="F289" s="10"/>
      <c r="G289" s="10"/>
      <c r="H289" s="30"/>
      <c r="I289" s="30"/>
      <c r="J289" s="30"/>
      <c r="K289" s="30"/>
      <c r="L289" s="30"/>
      <c r="M289" s="30"/>
      <c r="N289" s="30"/>
      <c r="O289" s="9"/>
      <c r="P289" s="9"/>
      <c r="Q289" s="8"/>
      <c r="R289" s="8"/>
      <c r="S289" s="12"/>
      <c r="T289" s="29"/>
      <c r="U289" s="29"/>
      <c r="V289" s="29"/>
      <c r="W289" s="29"/>
      <c r="X289" s="8"/>
      <c r="Y289" s="29"/>
      <c r="Z289" s="8"/>
      <c r="AA289" s="8"/>
    </row>
    <row r="290" spans="1:27" s="65" customFormat="1" ht="15.75" customHeight="1" x14ac:dyDescent="0.25">
      <c r="A290" s="8"/>
      <c r="B290" s="9"/>
      <c r="C290" s="2"/>
      <c r="D290" s="11"/>
      <c r="E290" s="9"/>
      <c r="F290" s="10"/>
      <c r="G290" s="10"/>
      <c r="H290" s="30"/>
      <c r="I290" s="30"/>
      <c r="J290" s="30"/>
      <c r="K290" s="30"/>
      <c r="L290" s="30"/>
      <c r="M290" s="30"/>
      <c r="N290" s="30"/>
      <c r="O290" s="9"/>
      <c r="P290" s="9"/>
      <c r="Q290" s="8"/>
      <c r="R290" s="8"/>
      <c r="S290" s="12"/>
      <c r="T290" s="29"/>
      <c r="U290" s="29"/>
      <c r="V290" s="29"/>
      <c r="W290" s="29"/>
      <c r="X290" s="8"/>
      <c r="Y290" s="29"/>
      <c r="Z290" s="8"/>
      <c r="AA290" s="8"/>
    </row>
    <row r="291" spans="1:27" s="65" customFormat="1" ht="15.75" customHeight="1" x14ac:dyDescent="0.25">
      <c r="A291" s="8"/>
      <c r="B291" s="9"/>
      <c r="C291" s="2"/>
      <c r="D291" s="11"/>
      <c r="E291" s="9"/>
      <c r="F291" s="10"/>
      <c r="G291" s="10"/>
      <c r="H291" s="30"/>
      <c r="I291" s="30"/>
      <c r="J291" s="30"/>
      <c r="K291" s="30"/>
      <c r="L291" s="30"/>
      <c r="M291" s="30"/>
      <c r="N291" s="30"/>
      <c r="O291" s="9"/>
      <c r="P291" s="9"/>
      <c r="Q291" s="8"/>
      <c r="R291" s="8"/>
      <c r="S291" s="12"/>
      <c r="T291" s="29"/>
      <c r="U291" s="29"/>
      <c r="V291" s="29"/>
      <c r="W291" s="29"/>
      <c r="X291" s="8"/>
      <c r="Y291" s="29"/>
      <c r="Z291" s="8"/>
      <c r="AA291" s="8"/>
    </row>
    <row r="292" spans="1:27" s="65" customFormat="1" ht="15.75" customHeight="1" x14ac:dyDescent="0.25">
      <c r="A292" s="8"/>
      <c r="B292" s="9"/>
      <c r="C292" s="2"/>
      <c r="D292" s="11"/>
      <c r="E292" s="9"/>
      <c r="F292" s="10"/>
      <c r="G292" s="10"/>
      <c r="H292" s="30"/>
      <c r="I292" s="30"/>
      <c r="J292" s="30"/>
      <c r="K292" s="30"/>
      <c r="L292" s="30"/>
      <c r="M292" s="30"/>
      <c r="N292" s="30"/>
      <c r="O292" s="9"/>
      <c r="P292" s="9"/>
      <c r="Q292" s="8"/>
      <c r="R292" s="8"/>
      <c r="S292" s="12"/>
      <c r="T292" s="29"/>
      <c r="U292" s="29"/>
      <c r="V292" s="29"/>
      <c r="W292" s="29"/>
      <c r="X292" s="8"/>
      <c r="Y292" s="29"/>
      <c r="Z292" s="8"/>
      <c r="AA292" s="8"/>
    </row>
    <row r="293" spans="1:27" s="65" customFormat="1" ht="15.75" customHeight="1" x14ac:dyDescent="0.25">
      <c r="A293" s="8"/>
      <c r="B293" s="9"/>
      <c r="C293" s="2"/>
      <c r="D293" s="11"/>
      <c r="E293" s="9"/>
      <c r="F293" s="10"/>
      <c r="G293" s="10"/>
      <c r="H293" s="30"/>
      <c r="I293" s="30"/>
      <c r="J293" s="30"/>
      <c r="K293" s="30"/>
      <c r="L293" s="30"/>
      <c r="M293" s="30"/>
      <c r="N293" s="30"/>
      <c r="O293" s="9"/>
      <c r="P293" s="9"/>
      <c r="Q293" s="8"/>
      <c r="R293" s="8"/>
      <c r="S293" s="12"/>
      <c r="T293" s="29"/>
      <c r="U293" s="29"/>
      <c r="V293" s="29"/>
      <c r="W293" s="29"/>
      <c r="X293" s="8"/>
      <c r="Y293" s="29"/>
      <c r="Z293" s="8"/>
      <c r="AA293" s="8"/>
    </row>
    <row r="294" spans="1:27" s="65" customFormat="1" ht="15.75" customHeight="1" x14ac:dyDescent="0.25">
      <c r="A294" s="8"/>
      <c r="B294" s="9"/>
      <c r="C294" s="2"/>
      <c r="D294" s="11"/>
      <c r="E294" s="9"/>
      <c r="F294" s="10"/>
      <c r="G294" s="10"/>
      <c r="H294" s="30"/>
      <c r="I294" s="30"/>
      <c r="J294" s="30"/>
      <c r="K294" s="30"/>
      <c r="L294" s="30"/>
      <c r="M294" s="30"/>
      <c r="N294" s="30"/>
      <c r="O294" s="9"/>
      <c r="P294" s="9"/>
      <c r="Q294" s="8"/>
      <c r="R294" s="8"/>
      <c r="S294" s="12"/>
      <c r="T294" s="29"/>
      <c r="U294" s="29"/>
      <c r="V294" s="29"/>
      <c r="W294" s="29"/>
      <c r="X294" s="8"/>
      <c r="Y294" s="29"/>
      <c r="Z294" s="8"/>
      <c r="AA294" s="8"/>
    </row>
    <row r="295" spans="1:27" s="65" customFormat="1" ht="15.75" customHeight="1" x14ac:dyDescent="0.25">
      <c r="A295" s="8"/>
      <c r="B295" s="9"/>
      <c r="C295" s="2"/>
      <c r="D295" s="11"/>
      <c r="E295" s="9"/>
      <c r="F295" s="10"/>
      <c r="G295" s="10"/>
      <c r="H295" s="30"/>
      <c r="I295" s="30"/>
      <c r="J295" s="30"/>
      <c r="K295" s="30"/>
      <c r="L295" s="30"/>
      <c r="M295" s="30"/>
      <c r="N295" s="30"/>
      <c r="O295" s="9"/>
      <c r="P295" s="9"/>
      <c r="Q295" s="8"/>
      <c r="R295" s="8"/>
      <c r="S295" s="12"/>
      <c r="T295" s="29"/>
      <c r="U295" s="29"/>
      <c r="V295" s="29"/>
      <c r="W295" s="29"/>
      <c r="X295" s="8"/>
      <c r="Y295" s="29"/>
      <c r="Z295" s="8"/>
      <c r="AA295" s="8"/>
    </row>
    <row r="296" spans="1:27" s="65" customFormat="1" ht="15.75" customHeight="1" x14ac:dyDescent="0.25">
      <c r="A296" s="8"/>
      <c r="B296" s="9"/>
      <c r="C296" s="2"/>
      <c r="D296" s="11"/>
      <c r="E296" s="9"/>
      <c r="F296" s="10"/>
      <c r="G296" s="10"/>
      <c r="H296" s="30"/>
      <c r="I296" s="30"/>
      <c r="J296" s="30"/>
      <c r="K296" s="30"/>
      <c r="L296" s="30"/>
      <c r="M296" s="30"/>
      <c r="N296" s="30"/>
      <c r="O296" s="9"/>
      <c r="P296" s="9"/>
      <c r="Q296" s="8"/>
      <c r="R296" s="8"/>
      <c r="S296" s="12"/>
      <c r="T296" s="29"/>
      <c r="U296" s="29"/>
      <c r="V296" s="29"/>
      <c r="W296" s="29"/>
      <c r="X296" s="8"/>
      <c r="Y296" s="29"/>
      <c r="Z296" s="8"/>
      <c r="AA296" s="8"/>
    </row>
    <row r="297" spans="1:27" s="65" customFormat="1" ht="15.75" customHeight="1" x14ac:dyDescent="0.25">
      <c r="A297" s="8"/>
      <c r="B297" s="9"/>
      <c r="C297" s="2"/>
      <c r="D297" s="11"/>
      <c r="E297" s="9"/>
      <c r="F297" s="10"/>
      <c r="G297" s="10"/>
      <c r="H297" s="30"/>
      <c r="I297" s="30"/>
      <c r="J297" s="30"/>
      <c r="K297" s="30"/>
      <c r="L297" s="30"/>
      <c r="M297" s="30"/>
      <c r="N297" s="30"/>
      <c r="O297" s="9"/>
      <c r="P297" s="9"/>
      <c r="Q297" s="8"/>
      <c r="R297" s="8"/>
      <c r="S297" s="12"/>
      <c r="T297" s="29"/>
      <c r="U297" s="29"/>
      <c r="V297" s="29"/>
      <c r="W297" s="29"/>
      <c r="X297" s="8"/>
      <c r="Y297" s="29"/>
      <c r="Z297" s="8"/>
      <c r="AA297" s="8"/>
    </row>
    <row r="298" spans="1:27" s="65" customFormat="1" ht="15.75" customHeight="1" x14ac:dyDescent="0.25">
      <c r="A298" s="8"/>
      <c r="B298" s="9"/>
      <c r="C298" s="2"/>
      <c r="D298" s="11"/>
      <c r="E298" s="9"/>
      <c r="F298" s="10"/>
      <c r="G298" s="10"/>
      <c r="H298" s="30"/>
      <c r="I298" s="30"/>
      <c r="J298" s="30"/>
      <c r="K298" s="30"/>
      <c r="L298" s="30"/>
      <c r="M298" s="30"/>
      <c r="N298" s="30"/>
      <c r="O298" s="9"/>
      <c r="P298" s="9"/>
      <c r="Q298" s="8"/>
      <c r="R298" s="8"/>
      <c r="S298" s="12"/>
      <c r="T298" s="29"/>
      <c r="U298" s="29"/>
      <c r="V298" s="29"/>
      <c r="W298" s="29"/>
      <c r="X298" s="8"/>
      <c r="Y298" s="29"/>
      <c r="Z298" s="8"/>
      <c r="AA298" s="8"/>
    </row>
    <row r="299" spans="1:27" s="65" customFormat="1" ht="15.75" customHeight="1" x14ac:dyDescent="0.25">
      <c r="A299" s="8"/>
      <c r="B299" s="9"/>
      <c r="C299" s="2"/>
      <c r="D299" s="11"/>
      <c r="E299" s="9"/>
      <c r="F299" s="10"/>
      <c r="G299" s="10"/>
      <c r="H299" s="30"/>
      <c r="I299" s="30"/>
      <c r="J299" s="30"/>
      <c r="K299" s="30"/>
      <c r="L299" s="30"/>
      <c r="M299" s="30"/>
      <c r="N299" s="30"/>
      <c r="O299" s="9"/>
      <c r="P299" s="9"/>
      <c r="Q299" s="8"/>
      <c r="R299" s="8"/>
      <c r="S299" s="12"/>
      <c r="T299" s="29"/>
      <c r="U299" s="29"/>
      <c r="V299" s="29"/>
      <c r="W299" s="29"/>
      <c r="X299" s="8"/>
      <c r="Y299" s="29"/>
      <c r="Z299" s="8"/>
      <c r="AA299" s="8"/>
    </row>
    <row r="300" spans="1:27" s="65" customFormat="1" ht="15.75" customHeight="1" x14ac:dyDescent="0.25">
      <c r="A300" s="8"/>
      <c r="B300" s="9"/>
      <c r="C300" s="2"/>
      <c r="D300" s="11"/>
      <c r="E300" s="9"/>
      <c r="F300" s="10"/>
      <c r="G300" s="10"/>
      <c r="H300" s="30"/>
      <c r="I300" s="30"/>
      <c r="J300" s="30"/>
      <c r="K300" s="30"/>
      <c r="L300" s="30"/>
      <c r="M300" s="30"/>
      <c r="N300" s="30"/>
      <c r="O300" s="9"/>
      <c r="P300" s="9"/>
      <c r="Q300" s="8"/>
      <c r="R300" s="8"/>
      <c r="S300" s="12"/>
      <c r="T300" s="29"/>
      <c r="U300" s="29"/>
      <c r="V300" s="29"/>
      <c r="W300" s="29"/>
      <c r="X300" s="8"/>
      <c r="Y300" s="29"/>
      <c r="Z300" s="8"/>
      <c r="AA300" s="8"/>
    </row>
    <row r="301" spans="1:27" s="65" customFormat="1" ht="15.75" customHeight="1" x14ac:dyDescent="0.25">
      <c r="A301" s="8"/>
      <c r="B301" s="9"/>
      <c r="C301" s="2"/>
      <c r="D301" s="11"/>
      <c r="E301" s="9"/>
      <c r="F301" s="10"/>
      <c r="G301" s="10"/>
      <c r="H301" s="30"/>
      <c r="I301" s="30"/>
      <c r="J301" s="30"/>
      <c r="K301" s="30"/>
      <c r="L301" s="30"/>
      <c r="M301" s="30"/>
      <c r="N301" s="30"/>
      <c r="O301" s="9"/>
      <c r="P301" s="9"/>
      <c r="Q301" s="8"/>
      <c r="R301" s="8"/>
      <c r="S301" s="12"/>
      <c r="T301" s="29"/>
      <c r="U301" s="29"/>
      <c r="V301" s="29"/>
      <c r="W301" s="29"/>
      <c r="X301" s="8"/>
      <c r="Y301" s="29"/>
      <c r="Z301" s="8"/>
      <c r="AA301" s="8"/>
    </row>
    <row r="302" spans="1:27" s="46" customFormat="1" x14ac:dyDescent="0.25">
      <c r="A302" s="8"/>
      <c r="B302" s="9"/>
      <c r="C302" s="2"/>
      <c r="D302" s="11"/>
      <c r="E302" s="9"/>
      <c r="F302" s="10"/>
      <c r="G302" s="10"/>
      <c r="H302" s="30"/>
      <c r="I302" s="30"/>
      <c r="J302" s="30"/>
      <c r="K302" s="30"/>
      <c r="L302" s="30"/>
      <c r="M302" s="30"/>
      <c r="N302" s="30"/>
      <c r="O302" s="9"/>
      <c r="P302" s="9"/>
      <c r="Q302" s="8"/>
      <c r="R302" s="8"/>
      <c r="S302" s="12"/>
      <c r="T302" s="29"/>
      <c r="U302" s="29"/>
      <c r="V302" s="29"/>
      <c r="W302" s="29"/>
      <c r="X302" s="8"/>
      <c r="Y302" s="29"/>
      <c r="Z302" s="8"/>
      <c r="AA302" s="8"/>
    </row>
    <row r="303" spans="1:27" s="46" customFormat="1" x14ac:dyDescent="0.25">
      <c r="A303" s="8"/>
      <c r="B303" s="9"/>
      <c r="C303" s="2"/>
      <c r="D303" s="11"/>
      <c r="E303" s="9"/>
      <c r="F303" s="10"/>
      <c r="G303" s="10"/>
      <c r="H303" s="30"/>
      <c r="I303" s="30"/>
      <c r="J303" s="30"/>
      <c r="K303" s="30"/>
      <c r="L303" s="30"/>
      <c r="M303" s="30"/>
      <c r="N303" s="30"/>
      <c r="O303" s="9"/>
      <c r="P303" s="9"/>
      <c r="Q303" s="8"/>
      <c r="R303" s="8"/>
      <c r="S303" s="12"/>
      <c r="T303" s="29"/>
      <c r="U303" s="29"/>
      <c r="V303" s="29"/>
      <c r="W303" s="29"/>
      <c r="X303" s="8"/>
      <c r="Y303" s="29"/>
      <c r="Z303" s="8"/>
      <c r="AA303" s="8"/>
    </row>
    <row r="304" spans="1:27" s="46" customFormat="1" x14ac:dyDescent="0.25">
      <c r="A304" s="8"/>
      <c r="B304" s="9"/>
      <c r="C304" s="2"/>
      <c r="D304" s="11"/>
      <c r="E304" s="9"/>
      <c r="F304" s="10"/>
      <c r="G304" s="10"/>
      <c r="H304" s="30"/>
      <c r="I304" s="30"/>
      <c r="J304" s="30"/>
      <c r="K304" s="30"/>
      <c r="L304" s="30"/>
      <c r="M304" s="30"/>
      <c r="N304" s="30"/>
      <c r="O304" s="9"/>
      <c r="P304" s="9"/>
      <c r="Q304" s="8"/>
      <c r="R304" s="8"/>
      <c r="S304" s="12"/>
      <c r="T304" s="29"/>
      <c r="U304" s="29"/>
      <c r="V304" s="29"/>
      <c r="W304" s="29"/>
      <c r="X304" s="8"/>
      <c r="Y304" s="29"/>
      <c r="Z304" s="8"/>
      <c r="AA304" s="8"/>
    </row>
    <row r="305" spans="1:27" s="46" customFormat="1" x14ac:dyDescent="0.25">
      <c r="A305" s="8"/>
      <c r="B305" s="9"/>
      <c r="C305" s="2"/>
      <c r="D305" s="11"/>
      <c r="E305" s="9"/>
      <c r="F305" s="10"/>
      <c r="G305" s="10"/>
      <c r="H305" s="30"/>
      <c r="I305" s="30"/>
      <c r="J305" s="30"/>
      <c r="K305" s="30"/>
      <c r="L305" s="30"/>
      <c r="M305" s="30"/>
      <c r="N305" s="30"/>
      <c r="O305" s="9"/>
      <c r="P305" s="9"/>
      <c r="Q305" s="8"/>
      <c r="R305" s="8"/>
      <c r="S305" s="12"/>
      <c r="T305" s="29"/>
      <c r="U305" s="29"/>
      <c r="V305" s="29"/>
      <c r="W305" s="29"/>
      <c r="X305" s="8"/>
      <c r="Y305" s="29"/>
      <c r="Z305" s="8"/>
      <c r="AA305" s="8"/>
    </row>
    <row r="306" spans="1:27" s="46" customFormat="1" x14ac:dyDescent="0.25">
      <c r="A306" s="8"/>
      <c r="B306" s="9"/>
      <c r="C306" s="2"/>
      <c r="D306" s="11"/>
      <c r="E306" s="9"/>
      <c r="F306" s="10"/>
      <c r="G306" s="10"/>
      <c r="H306" s="30"/>
      <c r="I306" s="30"/>
      <c r="J306" s="30"/>
      <c r="K306" s="30"/>
      <c r="L306" s="30"/>
      <c r="M306" s="30"/>
      <c r="N306" s="30"/>
      <c r="O306" s="9"/>
      <c r="P306" s="9"/>
      <c r="Q306" s="8"/>
      <c r="R306" s="8"/>
      <c r="S306" s="12"/>
      <c r="T306" s="29"/>
      <c r="U306" s="29"/>
      <c r="V306" s="29"/>
      <c r="W306" s="29"/>
      <c r="X306" s="8"/>
      <c r="Y306" s="29"/>
      <c r="Z306" s="8"/>
      <c r="AA306" s="8"/>
    </row>
    <row r="307" spans="1:27" s="46" customFormat="1" x14ac:dyDescent="0.25">
      <c r="A307" s="8"/>
      <c r="B307" s="9"/>
      <c r="C307" s="2"/>
      <c r="D307" s="11"/>
      <c r="E307" s="9"/>
      <c r="F307" s="10"/>
      <c r="G307" s="10"/>
      <c r="H307" s="30"/>
      <c r="I307" s="30"/>
      <c r="J307" s="30"/>
      <c r="K307" s="30"/>
      <c r="L307" s="30"/>
      <c r="M307" s="30"/>
      <c r="N307" s="30"/>
      <c r="O307" s="9"/>
      <c r="P307" s="9"/>
      <c r="Q307" s="8"/>
      <c r="R307" s="8"/>
      <c r="S307" s="12"/>
      <c r="T307" s="29"/>
      <c r="U307" s="29"/>
      <c r="V307" s="29"/>
      <c r="W307" s="29"/>
      <c r="X307" s="8"/>
      <c r="Y307" s="29"/>
      <c r="Z307" s="8"/>
      <c r="AA307" s="8"/>
    </row>
    <row r="308" spans="1:27" s="46" customFormat="1" x14ac:dyDescent="0.25">
      <c r="A308" s="8"/>
      <c r="B308" s="9"/>
      <c r="C308" s="2"/>
      <c r="D308" s="11"/>
      <c r="E308" s="9"/>
      <c r="F308" s="10"/>
      <c r="G308" s="10"/>
      <c r="H308" s="30"/>
      <c r="I308" s="30"/>
      <c r="J308" s="30"/>
      <c r="K308" s="30"/>
      <c r="L308" s="30"/>
      <c r="M308" s="30"/>
      <c r="N308" s="30"/>
      <c r="O308" s="9"/>
      <c r="P308" s="9"/>
      <c r="Q308" s="8"/>
      <c r="R308" s="8"/>
      <c r="S308" s="12"/>
      <c r="T308" s="29"/>
      <c r="U308" s="29"/>
      <c r="V308" s="29"/>
      <c r="W308" s="29"/>
      <c r="X308" s="8"/>
      <c r="Y308" s="29"/>
      <c r="Z308" s="8"/>
      <c r="AA308" s="8"/>
    </row>
    <row r="309" spans="1:27" s="46" customFormat="1" x14ac:dyDescent="0.25">
      <c r="A309" s="8"/>
      <c r="B309" s="9"/>
      <c r="C309" s="2"/>
      <c r="D309" s="11"/>
      <c r="E309" s="9"/>
      <c r="F309" s="10"/>
      <c r="G309" s="10"/>
      <c r="H309" s="30"/>
      <c r="I309" s="30"/>
      <c r="J309" s="30"/>
      <c r="K309" s="30"/>
      <c r="L309" s="30"/>
      <c r="M309" s="30"/>
      <c r="N309" s="30"/>
      <c r="O309" s="9"/>
      <c r="P309" s="9"/>
      <c r="Q309" s="8"/>
      <c r="R309" s="8"/>
      <c r="S309" s="12"/>
      <c r="T309" s="29"/>
      <c r="U309" s="29"/>
      <c r="V309" s="29"/>
      <c r="W309" s="29"/>
      <c r="X309" s="8"/>
      <c r="Y309" s="29"/>
      <c r="Z309" s="8"/>
      <c r="AA309" s="8"/>
    </row>
    <row r="310" spans="1:27" s="46" customFormat="1" x14ac:dyDescent="0.25">
      <c r="A310" s="8"/>
      <c r="B310" s="9"/>
      <c r="C310" s="2"/>
      <c r="D310" s="11"/>
      <c r="E310" s="9"/>
      <c r="F310" s="10"/>
      <c r="G310" s="10"/>
      <c r="H310" s="30"/>
      <c r="I310" s="30"/>
      <c r="J310" s="30"/>
      <c r="K310" s="30"/>
      <c r="L310" s="30"/>
      <c r="M310" s="30"/>
      <c r="N310" s="30"/>
      <c r="O310" s="9"/>
      <c r="P310" s="9"/>
      <c r="Q310" s="8"/>
      <c r="R310" s="8"/>
      <c r="S310" s="12"/>
      <c r="T310" s="29"/>
      <c r="U310" s="29"/>
      <c r="V310" s="29"/>
      <c r="W310" s="29"/>
      <c r="X310" s="8"/>
      <c r="Y310" s="29"/>
      <c r="Z310" s="8"/>
      <c r="AA310" s="8"/>
    </row>
    <row r="311" spans="1:27" s="46" customFormat="1" x14ac:dyDescent="0.25">
      <c r="A311" s="8"/>
      <c r="B311" s="9"/>
      <c r="C311" s="2"/>
      <c r="D311" s="11"/>
      <c r="E311" s="9"/>
      <c r="F311" s="10"/>
      <c r="G311" s="10"/>
      <c r="H311" s="30"/>
      <c r="I311" s="30"/>
      <c r="J311" s="30"/>
      <c r="K311" s="30"/>
      <c r="L311" s="30"/>
      <c r="M311" s="30"/>
      <c r="N311" s="30"/>
      <c r="O311" s="9"/>
      <c r="P311" s="9"/>
      <c r="Q311" s="8"/>
      <c r="R311" s="8"/>
      <c r="S311" s="12"/>
      <c r="T311" s="29"/>
      <c r="U311" s="29"/>
      <c r="V311" s="29"/>
      <c r="W311" s="29"/>
      <c r="X311" s="8"/>
      <c r="Y311" s="29"/>
      <c r="Z311" s="8"/>
      <c r="AA311" s="8"/>
    </row>
    <row r="312" spans="1:27" s="46" customFormat="1" x14ac:dyDescent="0.25">
      <c r="A312" s="8"/>
      <c r="B312" s="9"/>
      <c r="C312" s="2"/>
      <c r="D312" s="11"/>
      <c r="E312" s="9"/>
      <c r="F312" s="10"/>
      <c r="G312" s="10"/>
      <c r="H312" s="30"/>
      <c r="I312" s="30"/>
      <c r="J312" s="30"/>
      <c r="K312" s="30"/>
      <c r="L312" s="30"/>
      <c r="M312" s="30"/>
      <c r="N312" s="30"/>
      <c r="O312" s="9"/>
      <c r="P312" s="9"/>
      <c r="Q312" s="8"/>
      <c r="R312" s="8"/>
      <c r="S312" s="12"/>
      <c r="T312" s="29"/>
      <c r="U312" s="29"/>
      <c r="V312" s="29"/>
      <c r="W312" s="29"/>
      <c r="X312" s="8"/>
      <c r="Y312" s="29"/>
      <c r="Z312" s="8"/>
      <c r="AA312" s="8"/>
    </row>
    <row r="313" spans="1:27" s="46" customFormat="1" x14ac:dyDescent="0.25">
      <c r="A313" s="8"/>
      <c r="B313" s="9"/>
      <c r="C313" s="2"/>
      <c r="D313" s="11"/>
      <c r="E313" s="9"/>
      <c r="F313" s="10"/>
      <c r="G313" s="10"/>
      <c r="H313" s="30"/>
      <c r="I313" s="30"/>
      <c r="J313" s="30"/>
      <c r="K313" s="30"/>
      <c r="L313" s="30"/>
      <c r="M313" s="30"/>
      <c r="N313" s="30"/>
      <c r="O313" s="9"/>
      <c r="P313" s="9"/>
      <c r="Q313" s="8"/>
      <c r="R313" s="8"/>
      <c r="S313" s="12"/>
      <c r="T313" s="29"/>
      <c r="U313" s="29"/>
      <c r="V313" s="29"/>
      <c r="W313" s="29"/>
      <c r="X313" s="8"/>
      <c r="Y313" s="29"/>
      <c r="Z313" s="8"/>
      <c r="AA313" s="8"/>
    </row>
    <row r="314" spans="1:27" s="46" customFormat="1" x14ac:dyDescent="0.25">
      <c r="A314" s="8"/>
      <c r="B314" s="9"/>
      <c r="C314" s="2"/>
      <c r="D314" s="11"/>
      <c r="E314" s="9"/>
      <c r="F314" s="10"/>
      <c r="G314" s="10"/>
      <c r="H314" s="30"/>
      <c r="I314" s="30"/>
      <c r="J314" s="30"/>
      <c r="K314" s="30"/>
      <c r="L314" s="30"/>
      <c r="M314" s="30"/>
      <c r="N314" s="30"/>
      <c r="O314" s="9"/>
      <c r="P314" s="9"/>
      <c r="Q314" s="8"/>
      <c r="R314" s="8"/>
      <c r="S314" s="12"/>
      <c r="T314" s="29"/>
      <c r="U314" s="29"/>
      <c r="V314" s="29"/>
      <c r="W314" s="29"/>
      <c r="X314" s="8"/>
      <c r="Y314" s="29"/>
      <c r="Z314" s="8"/>
      <c r="AA314" s="8"/>
    </row>
    <row r="315" spans="1:27" s="46" customFormat="1" x14ac:dyDescent="0.25">
      <c r="A315" s="8"/>
      <c r="B315" s="9"/>
      <c r="C315" s="2"/>
      <c r="D315" s="11"/>
      <c r="E315" s="9"/>
      <c r="F315" s="10"/>
      <c r="G315" s="10"/>
      <c r="H315" s="30"/>
      <c r="I315" s="30"/>
      <c r="J315" s="30"/>
      <c r="K315" s="30"/>
      <c r="L315" s="30"/>
      <c r="M315" s="30"/>
      <c r="N315" s="30"/>
      <c r="O315" s="9"/>
      <c r="P315" s="9"/>
      <c r="Q315" s="8"/>
      <c r="R315" s="8"/>
      <c r="S315" s="12"/>
      <c r="T315" s="29"/>
      <c r="U315" s="29"/>
      <c r="V315" s="29"/>
      <c r="W315" s="29"/>
      <c r="X315" s="8"/>
      <c r="Y315" s="29"/>
      <c r="Z315" s="8"/>
      <c r="AA315" s="8"/>
    </row>
    <row r="316" spans="1:27" s="46" customFormat="1" x14ac:dyDescent="0.25">
      <c r="A316" s="8"/>
      <c r="B316" s="9"/>
      <c r="C316" s="2"/>
      <c r="D316" s="11"/>
      <c r="E316" s="9"/>
      <c r="F316" s="10"/>
      <c r="G316" s="10"/>
      <c r="H316" s="30"/>
      <c r="I316" s="30"/>
      <c r="J316" s="30"/>
      <c r="K316" s="30"/>
      <c r="L316" s="30"/>
      <c r="M316" s="30"/>
      <c r="N316" s="30"/>
      <c r="O316" s="9"/>
      <c r="P316" s="9"/>
      <c r="Q316" s="8"/>
      <c r="R316" s="8"/>
      <c r="S316" s="12"/>
      <c r="T316" s="29"/>
      <c r="U316" s="29"/>
      <c r="V316" s="29"/>
      <c r="W316" s="29"/>
      <c r="X316" s="8"/>
      <c r="Y316" s="29"/>
      <c r="Z316" s="8"/>
      <c r="AA316" s="8"/>
    </row>
    <row r="317" spans="1:27" s="46" customFormat="1" x14ac:dyDescent="0.25">
      <c r="A317" s="8"/>
      <c r="B317" s="9"/>
      <c r="C317" s="2"/>
      <c r="D317" s="11"/>
      <c r="E317" s="9"/>
      <c r="F317" s="10"/>
      <c r="G317" s="10"/>
      <c r="H317" s="30"/>
      <c r="I317" s="30"/>
      <c r="J317" s="30"/>
      <c r="K317" s="30"/>
      <c r="L317" s="30"/>
      <c r="M317" s="30"/>
      <c r="N317" s="30"/>
      <c r="O317" s="9"/>
      <c r="P317" s="9"/>
      <c r="Q317" s="8"/>
      <c r="R317" s="8"/>
      <c r="S317" s="12"/>
      <c r="T317" s="29"/>
      <c r="U317" s="29"/>
      <c r="V317" s="29"/>
      <c r="W317" s="29"/>
      <c r="X317" s="8"/>
      <c r="Y317" s="29"/>
      <c r="Z317" s="8"/>
      <c r="AA317" s="8"/>
    </row>
    <row r="318" spans="1:27" s="46" customFormat="1" x14ac:dyDescent="0.25">
      <c r="A318" s="8"/>
      <c r="B318" s="9"/>
      <c r="C318" s="2"/>
      <c r="D318" s="11"/>
      <c r="E318" s="9"/>
      <c r="F318" s="10"/>
      <c r="G318" s="10"/>
      <c r="H318" s="30"/>
      <c r="I318" s="30"/>
      <c r="J318" s="30"/>
      <c r="K318" s="30"/>
      <c r="L318" s="30"/>
      <c r="M318" s="30"/>
      <c r="N318" s="30"/>
      <c r="O318" s="9"/>
      <c r="P318" s="9"/>
      <c r="Q318" s="8"/>
      <c r="R318" s="8"/>
      <c r="S318" s="12"/>
      <c r="T318" s="29"/>
      <c r="U318" s="29"/>
      <c r="V318" s="29"/>
      <c r="W318" s="29"/>
      <c r="X318" s="8"/>
      <c r="Y318" s="29"/>
      <c r="Z318" s="8"/>
      <c r="AA318" s="8"/>
    </row>
    <row r="319" spans="1:27" s="46" customFormat="1" x14ac:dyDescent="0.25">
      <c r="A319" s="8"/>
      <c r="B319" s="9"/>
      <c r="C319" s="2"/>
      <c r="D319" s="11"/>
      <c r="E319" s="9"/>
      <c r="F319" s="10"/>
      <c r="G319" s="10"/>
      <c r="H319" s="30"/>
      <c r="I319" s="30"/>
      <c r="J319" s="30"/>
      <c r="K319" s="30"/>
      <c r="L319" s="30"/>
      <c r="M319" s="30"/>
      <c r="N319" s="30"/>
      <c r="O319" s="9"/>
      <c r="P319" s="9"/>
      <c r="Q319" s="8"/>
      <c r="R319" s="8"/>
      <c r="S319" s="12"/>
      <c r="T319" s="29"/>
      <c r="U319" s="29"/>
      <c r="V319" s="29"/>
      <c r="W319" s="29"/>
      <c r="X319" s="8"/>
      <c r="Y319" s="29"/>
      <c r="Z319" s="8"/>
      <c r="AA319" s="8"/>
    </row>
    <row r="320" spans="1:27" s="46" customFormat="1" x14ac:dyDescent="0.25">
      <c r="A320" s="8"/>
      <c r="B320" s="9"/>
      <c r="C320" s="2"/>
      <c r="D320" s="11"/>
      <c r="E320" s="9"/>
      <c r="F320" s="10"/>
      <c r="G320" s="10"/>
      <c r="H320" s="30"/>
      <c r="I320" s="30"/>
      <c r="J320" s="30"/>
      <c r="K320" s="30"/>
      <c r="L320" s="30"/>
      <c r="M320" s="30"/>
      <c r="N320" s="30"/>
      <c r="O320" s="9"/>
      <c r="P320" s="9"/>
      <c r="Q320" s="8"/>
      <c r="R320" s="8"/>
      <c r="S320" s="12"/>
      <c r="T320" s="29"/>
      <c r="U320" s="29"/>
      <c r="V320" s="29"/>
      <c r="W320" s="29"/>
      <c r="X320" s="8"/>
      <c r="Y320" s="29"/>
      <c r="Z320" s="8"/>
      <c r="AA320" s="8"/>
    </row>
    <row r="321" spans="1:27" s="46" customFormat="1" x14ac:dyDescent="0.25">
      <c r="A321" s="8"/>
      <c r="B321" s="9"/>
      <c r="C321" s="2"/>
      <c r="D321" s="11"/>
      <c r="E321" s="9"/>
      <c r="F321" s="10"/>
      <c r="G321" s="10"/>
      <c r="H321" s="30"/>
      <c r="I321" s="30"/>
      <c r="J321" s="30"/>
      <c r="K321" s="30"/>
      <c r="L321" s="30"/>
      <c r="M321" s="30"/>
      <c r="N321" s="30"/>
      <c r="O321" s="9"/>
      <c r="P321" s="9"/>
      <c r="Q321" s="8"/>
      <c r="R321" s="8"/>
      <c r="S321" s="12"/>
      <c r="T321" s="29"/>
      <c r="U321" s="29"/>
      <c r="V321" s="29"/>
      <c r="W321" s="29"/>
      <c r="X321" s="8"/>
      <c r="Y321" s="29"/>
      <c r="Z321" s="8"/>
      <c r="AA321" s="8"/>
    </row>
    <row r="322" spans="1:27" s="46" customFormat="1" x14ac:dyDescent="0.25">
      <c r="A322" s="8"/>
      <c r="B322" s="9"/>
      <c r="C322" s="2"/>
      <c r="D322" s="11"/>
      <c r="E322" s="9"/>
      <c r="F322" s="10"/>
      <c r="G322" s="10"/>
      <c r="H322" s="30"/>
      <c r="I322" s="30"/>
      <c r="J322" s="30"/>
      <c r="K322" s="30"/>
      <c r="L322" s="30"/>
      <c r="M322" s="30"/>
      <c r="N322" s="30"/>
      <c r="O322" s="9"/>
      <c r="P322" s="9"/>
      <c r="Q322" s="8"/>
      <c r="R322" s="8"/>
      <c r="S322" s="12"/>
      <c r="T322" s="29"/>
      <c r="U322" s="29"/>
      <c r="V322" s="29"/>
      <c r="W322" s="29"/>
      <c r="X322" s="8"/>
      <c r="Y322" s="29"/>
      <c r="Z322" s="8"/>
      <c r="AA322" s="8"/>
    </row>
    <row r="323" spans="1:27" s="46" customFormat="1" x14ac:dyDescent="0.25">
      <c r="A323" s="8"/>
      <c r="B323" s="9"/>
      <c r="C323" s="2"/>
      <c r="D323" s="11"/>
      <c r="E323" s="9"/>
      <c r="F323" s="10"/>
      <c r="G323" s="10"/>
      <c r="H323" s="30"/>
      <c r="I323" s="30"/>
      <c r="J323" s="30"/>
      <c r="K323" s="30"/>
      <c r="L323" s="30"/>
      <c r="M323" s="30"/>
      <c r="N323" s="30"/>
      <c r="O323" s="9"/>
      <c r="P323" s="9"/>
      <c r="Q323" s="8"/>
      <c r="R323" s="8"/>
      <c r="S323" s="12"/>
      <c r="T323" s="29"/>
      <c r="U323" s="29"/>
      <c r="V323" s="29"/>
      <c r="W323" s="29"/>
      <c r="X323" s="8"/>
      <c r="Y323" s="29"/>
      <c r="Z323" s="8"/>
      <c r="AA323" s="8"/>
    </row>
    <row r="324" spans="1:27" s="46" customFormat="1" x14ac:dyDescent="0.25">
      <c r="A324" s="8"/>
      <c r="B324" s="9"/>
      <c r="C324" s="2"/>
      <c r="D324" s="11"/>
      <c r="E324" s="9"/>
      <c r="F324" s="10"/>
      <c r="G324" s="10"/>
      <c r="H324" s="30"/>
      <c r="I324" s="30"/>
      <c r="J324" s="30"/>
      <c r="K324" s="30"/>
      <c r="L324" s="30"/>
      <c r="M324" s="30"/>
      <c r="N324" s="30"/>
      <c r="O324" s="9"/>
      <c r="P324" s="9"/>
      <c r="Q324" s="8"/>
      <c r="R324" s="8"/>
      <c r="S324" s="12"/>
      <c r="T324" s="29"/>
      <c r="U324" s="29"/>
      <c r="V324" s="29"/>
      <c r="W324" s="29"/>
      <c r="X324" s="8"/>
      <c r="Y324" s="29"/>
      <c r="Z324" s="8"/>
      <c r="AA324" s="8"/>
    </row>
    <row r="325" spans="1:27" s="46" customFormat="1" x14ac:dyDescent="0.25">
      <c r="A325" s="8"/>
      <c r="B325" s="9"/>
      <c r="C325" s="2"/>
      <c r="D325" s="11"/>
      <c r="E325" s="9"/>
      <c r="F325" s="10"/>
      <c r="G325" s="10"/>
      <c r="H325" s="30"/>
      <c r="I325" s="30"/>
      <c r="J325" s="30"/>
      <c r="K325" s="30"/>
      <c r="L325" s="30"/>
      <c r="M325" s="30"/>
      <c r="N325" s="30"/>
      <c r="O325" s="9"/>
      <c r="P325" s="9"/>
      <c r="Q325" s="8"/>
      <c r="R325" s="8"/>
      <c r="S325" s="12"/>
      <c r="T325" s="29"/>
      <c r="U325" s="29"/>
      <c r="V325" s="29"/>
      <c r="W325" s="29"/>
      <c r="X325" s="8"/>
      <c r="Y325" s="29"/>
      <c r="Z325" s="8"/>
      <c r="AA325" s="8"/>
    </row>
    <row r="326" spans="1:27" s="46" customFormat="1" x14ac:dyDescent="0.25">
      <c r="A326" s="8"/>
      <c r="B326" s="9"/>
      <c r="C326" s="2"/>
      <c r="D326" s="11"/>
      <c r="E326" s="9"/>
      <c r="F326" s="10"/>
      <c r="G326" s="10"/>
      <c r="H326" s="30"/>
      <c r="I326" s="30"/>
      <c r="J326" s="30"/>
      <c r="K326" s="30"/>
      <c r="L326" s="30"/>
      <c r="M326" s="30"/>
      <c r="N326" s="30"/>
      <c r="O326" s="9"/>
      <c r="P326" s="9"/>
      <c r="Q326" s="8"/>
      <c r="R326" s="8"/>
      <c r="S326" s="12"/>
      <c r="T326" s="29"/>
      <c r="U326" s="29"/>
      <c r="V326" s="29"/>
      <c r="W326" s="29"/>
      <c r="X326" s="8"/>
      <c r="Y326" s="29"/>
      <c r="Z326" s="8"/>
      <c r="AA326" s="8"/>
    </row>
    <row r="327" spans="1:27" s="46" customFormat="1" x14ac:dyDescent="0.25">
      <c r="A327" s="8"/>
      <c r="B327" s="9"/>
      <c r="C327" s="2"/>
      <c r="D327" s="11"/>
      <c r="E327" s="9"/>
      <c r="F327" s="10"/>
      <c r="G327" s="10"/>
      <c r="H327" s="30"/>
      <c r="I327" s="30"/>
      <c r="J327" s="30"/>
      <c r="K327" s="30"/>
      <c r="L327" s="30"/>
      <c r="M327" s="30"/>
      <c r="N327" s="30"/>
      <c r="O327" s="9"/>
      <c r="P327" s="9"/>
      <c r="Q327" s="8"/>
      <c r="R327" s="8"/>
      <c r="S327" s="12"/>
      <c r="T327" s="29"/>
      <c r="U327" s="29"/>
      <c r="V327" s="29"/>
      <c r="W327" s="29"/>
      <c r="X327" s="8"/>
      <c r="Y327" s="29"/>
      <c r="Z327" s="8"/>
      <c r="AA327" s="8"/>
    </row>
    <row r="328" spans="1:27" s="46" customFormat="1" x14ac:dyDescent="0.25">
      <c r="A328" s="8"/>
      <c r="B328" s="9"/>
      <c r="C328" s="2"/>
      <c r="D328" s="11"/>
      <c r="E328" s="9"/>
      <c r="F328" s="10"/>
      <c r="G328" s="10"/>
      <c r="H328" s="30"/>
      <c r="I328" s="30"/>
      <c r="J328" s="30"/>
      <c r="K328" s="30"/>
      <c r="L328" s="30"/>
      <c r="M328" s="30"/>
      <c r="N328" s="30"/>
      <c r="O328" s="9"/>
      <c r="P328" s="9"/>
      <c r="Q328" s="8"/>
      <c r="R328" s="8"/>
      <c r="S328" s="12"/>
      <c r="T328" s="29"/>
      <c r="U328" s="29"/>
      <c r="V328" s="29"/>
      <c r="W328" s="29"/>
      <c r="X328" s="8"/>
      <c r="Y328" s="29"/>
      <c r="Z328" s="8"/>
      <c r="AA328" s="8"/>
    </row>
    <row r="329" spans="1:27" s="46" customFormat="1" x14ac:dyDescent="0.25">
      <c r="A329" s="8"/>
      <c r="B329" s="9"/>
      <c r="C329" s="2"/>
      <c r="D329" s="11"/>
      <c r="E329" s="9"/>
      <c r="F329" s="10"/>
      <c r="G329" s="10"/>
      <c r="H329" s="30"/>
      <c r="I329" s="30"/>
      <c r="J329" s="30"/>
      <c r="K329" s="30"/>
      <c r="L329" s="30"/>
      <c r="M329" s="30"/>
      <c r="N329" s="30"/>
      <c r="O329" s="9"/>
      <c r="P329" s="9"/>
      <c r="Q329" s="8"/>
      <c r="R329" s="8"/>
      <c r="S329" s="12"/>
      <c r="T329" s="29"/>
      <c r="U329" s="29"/>
      <c r="V329" s="29"/>
      <c r="W329" s="29"/>
      <c r="X329" s="8"/>
      <c r="Y329" s="29"/>
      <c r="Z329" s="8"/>
      <c r="AA329" s="8"/>
    </row>
    <row r="330" spans="1:27" s="46" customFormat="1" x14ac:dyDescent="0.25">
      <c r="A330" s="8"/>
      <c r="B330" s="9"/>
      <c r="C330" s="2"/>
      <c r="D330" s="11"/>
      <c r="E330" s="9"/>
      <c r="F330" s="10"/>
      <c r="G330" s="10"/>
      <c r="H330" s="30"/>
      <c r="I330" s="30"/>
      <c r="J330" s="30"/>
      <c r="K330" s="30"/>
      <c r="L330" s="30"/>
      <c r="M330" s="30"/>
      <c r="N330" s="30"/>
      <c r="O330" s="9"/>
      <c r="P330" s="9"/>
      <c r="Q330" s="8"/>
      <c r="R330" s="8"/>
      <c r="S330" s="12"/>
      <c r="T330" s="29"/>
      <c r="U330" s="29"/>
      <c r="V330" s="29"/>
      <c r="W330" s="29"/>
      <c r="X330" s="8"/>
      <c r="Y330" s="29"/>
      <c r="Z330" s="8"/>
      <c r="AA330" s="8"/>
    </row>
    <row r="331" spans="1:27" s="46" customFormat="1" x14ac:dyDescent="0.25">
      <c r="A331" s="8"/>
      <c r="B331" s="9"/>
      <c r="C331" s="2"/>
      <c r="D331" s="11"/>
      <c r="E331" s="9"/>
      <c r="F331" s="10"/>
      <c r="G331" s="10"/>
      <c r="H331" s="30"/>
      <c r="I331" s="30"/>
      <c r="J331" s="30"/>
      <c r="K331" s="30"/>
      <c r="L331" s="30"/>
      <c r="M331" s="30"/>
      <c r="N331" s="30"/>
      <c r="O331" s="9"/>
      <c r="P331" s="9"/>
      <c r="Q331" s="8"/>
      <c r="R331" s="8"/>
      <c r="S331" s="12"/>
      <c r="T331" s="29"/>
      <c r="U331" s="29"/>
      <c r="V331" s="29"/>
      <c r="W331" s="29"/>
      <c r="X331" s="8"/>
      <c r="Y331" s="29"/>
      <c r="Z331" s="8"/>
      <c r="AA331" s="8"/>
    </row>
    <row r="332" spans="1:27" s="46" customFormat="1" x14ac:dyDescent="0.25">
      <c r="A332" s="8"/>
      <c r="B332" s="9"/>
      <c r="C332" s="2"/>
      <c r="D332" s="11"/>
      <c r="E332" s="9"/>
      <c r="F332" s="10"/>
      <c r="G332" s="10"/>
      <c r="H332" s="30"/>
      <c r="I332" s="30"/>
      <c r="J332" s="30"/>
      <c r="K332" s="30"/>
      <c r="L332" s="30"/>
      <c r="M332" s="30"/>
      <c r="N332" s="30"/>
      <c r="O332" s="9"/>
      <c r="P332" s="9"/>
      <c r="Q332" s="8"/>
      <c r="R332" s="8"/>
      <c r="S332" s="12"/>
      <c r="T332" s="29"/>
      <c r="U332" s="29"/>
      <c r="V332" s="29"/>
      <c r="W332" s="29"/>
      <c r="X332" s="8"/>
      <c r="Y332" s="29"/>
      <c r="Z332" s="8"/>
      <c r="AA332" s="8"/>
    </row>
    <row r="333" spans="1:27" s="46" customFormat="1" x14ac:dyDescent="0.25">
      <c r="A333" s="8"/>
      <c r="B333" s="9"/>
      <c r="C333" s="2"/>
      <c r="D333" s="11"/>
      <c r="E333" s="9"/>
      <c r="F333" s="10"/>
      <c r="G333" s="10"/>
      <c r="H333" s="30"/>
      <c r="I333" s="30"/>
      <c r="J333" s="30"/>
      <c r="K333" s="30"/>
      <c r="L333" s="30"/>
      <c r="M333" s="30"/>
      <c r="N333" s="30"/>
      <c r="O333" s="9"/>
      <c r="P333" s="9"/>
      <c r="Q333" s="8"/>
      <c r="R333" s="8"/>
      <c r="S333" s="12"/>
      <c r="T333" s="29"/>
      <c r="U333" s="29"/>
      <c r="V333" s="29"/>
      <c r="W333" s="29"/>
      <c r="X333" s="8"/>
      <c r="Y333" s="29"/>
      <c r="Z333" s="8"/>
      <c r="AA333" s="8"/>
    </row>
    <row r="334" spans="1:27" s="46" customFormat="1" x14ac:dyDescent="0.25">
      <c r="A334" s="8"/>
      <c r="B334" s="9"/>
      <c r="C334" s="2"/>
      <c r="D334" s="11"/>
      <c r="E334" s="9"/>
      <c r="F334" s="10"/>
      <c r="G334" s="10"/>
      <c r="H334" s="30"/>
      <c r="I334" s="30"/>
      <c r="J334" s="30"/>
      <c r="K334" s="30"/>
      <c r="L334" s="30"/>
      <c r="M334" s="30"/>
      <c r="N334" s="30"/>
      <c r="O334" s="9"/>
      <c r="P334" s="9"/>
      <c r="Q334" s="8"/>
      <c r="R334" s="8"/>
      <c r="S334" s="12"/>
      <c r="T334" s="29"/>
      <c r="U334" s="29"/>
      <c r="V334" s="29"/>
      <c r="W334" s="29"/>
      <c r="X334" s="8"/>
      <c r="Y334" s="29"/>
      <c r="Z334" s="8"/>
      <c r="AA334" s="8"/>
    </row>
    <row r="335" spans="1:27" s="46" customFormat="1" x14ac:dyDescent="0.25">
      <c r="A335" s="8"/>
      <c r="B335" s="9"/>
      <c r="C335" s="2"/>
      <c r="D335" s="11"/>
      <c r="E335" s="9"/>
      <c r="F335" s="10"/>
      <c r="G335" s="10"/>
      <c r="H335" s="30"/>
      <c r="I335" s="30"/>
      <c r="J335" s="30"/>
      <c r="K335" s="30"/>
      <c r="L335" s="30"/>
      <c r="M335" s="30"/>
      <c r="N335" s="30"/>
      <c r="O335" s="9"/>
      <c r="P335" s="9"/>
      <c r="Q335" s="8"/>
      <c r="R335" s="8"/>
      <c r="S335" s="12"/>
      <c r="T335" s="29"/>
      <c r="U335" s="29"/>
      <c r="V335" s="29"/>
      <c r="W335" s="29"/>
      <c r="X335" s="8"/>
      <c r="Y335" s="29"/>
      <c r="Z335" s="8"/>
      <c r="AA335" s="8"/>
    </row>
    <row r="336" spans="1:27" s="46" customFormat="1" x14ac:dyDescent="0.25">
      <c r="A336" s="8"/>
      <c r="B336" s="9"/>
      <c r="C336" s="2"/>
      <c r="D336" s="11"/>
      <c r="E336" s="9"/>
      <c r="F336" s="10"/>
      <c r="G336" s="10"/>
      <c r="H336" s="30"/>
      <c r="I336" s="30"/>
      <c r="J336" s="30"/>
      <c r="K336" s="30"/>
      <c r="L336" s="30"/>
      <c r="M336" s="30"/>
      <c r="N336" s="30"/>
      <c r="O336" s="9"/>
      <c r="P336" s="9"/>
      <c r="Q336" s="8"/>
      <c r="R336" s="8"/>
      <c r="S336" s="12"/>
      <c r="T336" s="29"/>
      <c r="U336" s="29"/>
      <c r="V336" s="29"/>
      <c r="W336" s="29"/>
      <c r="X336" s="8"/>
      <c r="Y336" s="29"/>
      <c r="Z336" s="8"/>
      <c r="AA336" s="8"/>
    </row>
    <row r="337" spans="1:27" s="46" customFormat="1" x14ac:dyDescent="0.25">
      <c r="A337" s="8"/>
      <c r="B337" s="9"/>
      <c r="C337" s="2"/>
      <c r="D337" s="11"/>
      <c r="E337" s="9"/>
      <c r="F337" s="10"/>
      <c r="G337" s="10"/>
      <c r="H337" s="30"/>
      <c r="I337" s="30"/>
      <c r="J337" s="30"/>
      <c r="K337" s="30"/>
      <c r="L337" s="30"/>
      <c r="M337" s="30"/>
      <c r="N337" s="30"/>
      <c r="O337" s="9"/>
      <c r="P337" s="9"/>
      <c r="Q337" s="8"/>
      <c r="R337" s="8"/>
      <c r="S337" s="12"/>
      <c r="T337" s="29"/>
      <c r="U337" s="29"/>
      <c r="V337" s="29"/>
      <c r="W337" s="29"/>
      <c r="X337" s="8"/>
      <c r="Y337" s="29"/>
      <c r="Z337" s="8"/>
      <c r="AA337" s="8"/>
    </row>
    <row r="338" spans="1:27" s="46" customFormat="1" x14ac:dyDescent="0.25">
      <c r="A338" s="8"/>
      <c r="B338" s="9"/>
      <c r="C338" s="2"/>
      <c r="D338" s="11"/>
      <c r="E338" s="9"/>
      <c r="F338" s="10"/>
      <c r="G338" s="10"/>
      <c r="H338" s="30"/>
      <c r="I338" s="30"/>
      <c r="J338" s="30"/>
      <c r="K338" s="30"/>
      <c r="L338" s="30"/>
      <c r="M338" s="30"/>
      <c r="N338" s="30"/>
      <c r="O338" s="9"/>
      <c r="P338" s="9"/>
      <c r="Q338" s="8"/>
      <c r="R338" s="8"/>
      <c r="S338" s="12"/>
      <c r="T338" s="29"/>
      <c r="U338" s="29"/>
      <c r="V338" s="29"/>
      <c r="W338" s="29"/>
      <c r="X338" s="8"/>
      <c r="Y338" s="29"/>
      <c r="Z338" s="8"/>
      <c r="AA338" s="8"/>
    </row>
    <row r="339" spans="1:27" s="46" customFormat="1" x14ac:dyDescent="0.25">
      <c r="A339" s="8"/>
      <c r="B339" s="9"/>
      <c r="C339" s="2"/>
      <c r="D339" s="11"/>
      <c r="E339" s="9"/>
      <c r="F339" s="10"/>
      <c r="G339" s="10"/>
      <c r="H339" s="30"/>
      <c r="I339" s="30"/>
      <c r="J339" s="30"/>
      <c r="K339" s="30"/>
      <c r="L339" s="30"/>
      <c r="M339" s="30"/>
      <c r="N339" s="30"/>
      <c r="O339" s="9"/>
      <c r="P339" s="9"/>
      <c r="Q339" s="8"/>
      <c r="R339" s="8"/>
      <c r="S339" s="12"/>
      <c r="T339" s="29"/>
      <c r="U339" s="29"/>
      <c r="V339" s="29"/>
      <c r="W339" s="29"/>
      <c r="X339" s="8"/>
      <c r="Y339" s="29"/>
      <c r="Z339" s="8"/>
      <c r="AA339" s="8"/>
    </row>
    <row r="340" spans="1:27" s="46" customFormat="1" x14ac:dyDescent="0.25">
      <c r="A340" s="8"/>
      <c r="B340" s="9"/>
      <c r="C340" s="2"/>
      <c r="D340" s="11"/>
      <c r="E340" s="9"/>
      <c r="F340" s="10"/>
      <c r="G340" s="10"/>
      <c r="H340" s="30"/>
      <c r="I340" s="30"/>
      <c r="J340" s="30"/>
      <c r="K340" s="30"/>
      <c r="L340" s="30"/>
      <c r="M340" s="30"/>
      <c r="N340" s="30"/>
      <c r="O340" s="9"/>
      <c r="P340" s="9"/>
      <c r="Q340" s="8"/>
      <c r="R340" s="8"/>
      <c r="S340" s="12"/>
      <c r="T340" s="29"/>
      <c r="U340" s="29"/>
      <c r="V340" s="29"/>
      <c r="W340" s="29"/>
      <c r="X340" s="8"/>
      <c r="Y340" s="29"/>
      <c r="Z340" s="8"/>
      <c r="AA340" s="8"/>
    </row>
    <row r="341" spans="1:27" s="46" customFormat="1" x14ac:dyDescent="0.25">
      <c r="A341" s="8"/>
      <c r="B341" s="9"/>
      <c r="C341" s="2"/>
      <c r="D341" s="11"/>
      <c r="E341" s="9"/>
      <c r="F341" s="10"/>
      <c r="G341" s="10"/>
      <c r="H341" s="30"/>
      <c r="I341" s="30"/>
      <c r="J341" s="30"/>
      <c r="K341" s="30"/>
      <c r="L341" s="30"/>
      <c r="M341" s="30"/>
      <c r="N341" s="30"/>
      <c r="O341" s="9"/>
      <c r="P341" s="9"/>
      <c r="Q341" s="8"/>
      <c r="R341" s="8"/>
      <c r="S341" s="12"/>
      <c r="T341" s="29"/>
      <c r="U341" s="29"/>
      <c r="V341" s="29"/>
      <c r="W341" s="29"/>
      <c r="X341" s="8"/>
      <c r="Y341" s="29"/>
      <c r="Z341" s="8"/>
      <c r="AA341" s="8"/>
    </row>
    <row r="342" spans="1:27" s="46" customFormat="1" x14ac:dyDescent="0.25">
      <c r="A342" s="8"/>
      <c r="B342" s="9"/>
      <c r="C342" s="2"/>
      <c r="D342" s="11"/>
      <c r="E342" s="9"/>
      <c r="F342" s="10"/>
      <c r="G342" s="10"/>
      <c r="H342" s="30"/>
      <c r="I342" s="30"/>
      <c r="J342" s="30"/>
      <c r="K342" s="30"/>
      <c r="L342" s="30"/>
      <c r="M342" s="30"/>
      <c r="N342" s="30"/>
      <c r="O342" s="9"/>
      <c r="P342" s="9"/>
      <c r="Q342" s="8"/>
      <c r="R342" s="8"/>
      <c r="S342" s="12"/>
      <c r="T342" s="29"/>
      <c r="U342" s="29"/>
      <c r="V342" s="29"/>
      <c r="W342" s="29"/>
      <c r="X342" s="8"/>
      <c r="Y342" s="29"/>
      <c r="Z342" s="8"/>
      <c r="AA342" s="8"/>
    </row>
    <row r="343" spans="1:27" s="46" customFormat="1" x14ac:dyDescent="0.25">
      <c r="A343" s="8"/>
      <c r="B343" s="9"/>
      <c r="C343" s="2"/>
      <c r="D343" s="11"/>
      <c r="E343" s="9"/>
      <c r="F343" s="10"/>
      <c r="G343" s="10"/>
      <c r="H343" s="30"/>
      <c r="I343" s="30"/>
      <c r="J343" s="30"/>
      <c r="K343" s="30"/>
      <c r="L343" s="30"/>
      <c r="M343" s="30"/>
      <c r="N343" s="30"/>
      <c r="O343" s="9"/>
      <c r="P343" s="9"/>
      <c r="Q343" s="8"/>
      <c r="R343" s="8"/>
      <c r="S343" s="12"/>
      <c r="T343" s="29"/>
      <c r="U343" s="29"/>
      <c r="V343" s="29"/>
      <c r="W343" s="29"/>
      <c r="X343" s="8"/>
      <c r="Y343" s="29"/>
      <c r="Z343" s="8"/>
      <c r="AA343" s="8"/>
    </row>
    <row r="344" spans="1:27" s="46" customFormat="1" x14ac:dyDescent="0.25">
      <c r="A344" s="8"/>
      <c r="B344" s="9"/>
      <c r="C344" s="2"/>
      <c r="D344" s="11"/>
      <c r="E344" s="9"/>
      <c r="F344" s="10"/>
      <c r="G344" s="10"/>
      <c r="H344" s="30"/>
      <c r="I344" s="30"/>
      <c r="J344" s="30"/>
      <c r="K344" s="30"/>
      <c r="L344" s="30"/>
      <c r="M344" s="30"/>
      <c r="N344" s="30"/>
      <c r="O344" s="9"/>
      <c r="P344" s="9"/>
      <c r="Q344" s="8"/>
      <c r="R344" s="8"/>
      <c r="S344" s="12"/>
      <c r="T344" s="29"/>
      <c r="U344" s="29"/>
      <c r="V344" s="29"/>
      <c r="W344" s="29"/>
      <c r="X344" s="8"/>
      <c r="Y344" s="29"/>
      <c r="Z344" s="8"/>
      <c r="AA344" s="8"/>
    </row>
    <row r="345" spans="1:27" s="46" customFormat="1" x14ac:dyDescent="0.25">
      <c r="A345" s="8"/>
      <c r="B345" s="9"/>
      <c r="C345" s="2"/>
      <c r="D345" s="11"/>
      <c r="E345" s="9"/>
      <c r="F345" s="10"/>
      <c r="G345" s="10"/>
      <c r="H345" s="30"/>
      <c r="I345" s="30"/>
      <c r="J345" s="30"/>
      <c r="K345" s="30"/>
      <c r="L345" s="30"/>
      <c r="M345" s="30"/>
      <c r="N345" s="30"/>
      <c r="O345" s="9"/>
      <c r="P345" s="9"/>
      <c r="Q345" s="8"/>
      <c r="R345" s="8"/>
      <c r="S345" s="12"/>
      <c r="T345" s="29"/>
      <c r="U345" s="29"/>
      <c r="V345" s="29"/>
      <c r="W345" s="29"/>
      <c r="X345" s="8"/>
      <c r="Y345" s="29"/>
      <c r="Z345" s="8"/>
      <c r="AA345" s="8"/>
    </row>
    <row r="346" spans="1:27" s="46" customFormat="1" x14ac:dyDescent="0.25">
      <c r="A346" s="8"/>
      <c r="B346" s="9"/>
      <c r="C346" s="2"/>
      <c r="D346" s="11"/>
      <c r="E346" s="9"/>
      <c r="F346" s="10"/>
      <c r="G346" s="10"/>
      <c r="H346" s="30"/>
      <c r="I346" s="30"/>
      <c r="J346" s="30"/>
      <c r="K346" s="30"/>
      <c r="L346" s="30"/>
      <c r="M346" s="30"/>
      <c r="N346" s="30"/>
      <c r="O346" s="9"/>
      <c r="P346" s="9"/>
      <c r="Q346" s="8"/>
      <c r="R346" s="8"/>
      <c r="S346" s="12"/>
      <c r="T346" s="29"/>
      <c r="U346" s="29"/>
      <c r="V346" s="29"/>
      <c r="W346" s="29"/>
      <c r="X346" s="8"/>
      <c r="Y346" s="29"/>
      <c r="Z346" s="8"/>
      <c r="AA346" s="8"/>
    </row>
    <row r="347" spans="1:27" s="46" customFormat="1" x14ac:dyDescent="0.25">
      <c r="A347" s="8"/>
      <c r="B347" s="9"/>
      <c r="C347" s="2"/>
      <c r="D347" s="11"/>
      <c r="E347" s="9"/>
      <c r="F347" s="10"/>
      <c r="G347" s="10"/>
      <c r="H347" s="30"/>
      <c r="I347" s="30"/>
      <c r="J347" s="30"/>
      <c r="K347" s="30"/>
      <c r="L347" s="30"/>
      <c r="M347" s="30"/>
      <c r="N347" s="30"/>
      <c r="O347" s="9"/>
      <c r="P347" s="9"/>
      <c r="Q347" s="8"/>
      <c r="R347" s="8"/>
      <c r="S347" s="12"/>
      <c r="T347" s="29"/>
      <c r="U347" s="29"/>
      <c r="V347" s="29"/>
      <c r="W347" s="29"/>
      <c r="X347" s="8"/>
      <c r="Y347" s="29"/>
      <c r="Z347" s="8"/>
      <c r="AA347" s="8"/>
    </row>
    <row r="348" spans="1:27" s="46" customFormat="1" x14ac:dyDescent="0.25">
      <c r="A348" s="8"/>
      <c r="B348" s="9"/>
      <c r="C348" s="2"/>
      <c r="D348" s="11"/>
      <c r="E348" s="9"/>
      <c r="F348" s="10"/>
      <c r="G348" s="10"/>
      <c r="H348" s="30"/>
      <c r="I348" s="30"/>
      <c r="J348" s="30"/>
      <c r="K348" s="30"/>
      <c r="L348" s="30"/>
      <c r="M348" s="30"/>
      <c r="N348" s="30"/>
      <c r="O348" s="9"/>
      <c r="P348" s="9"/>
      <c r="Q348" s="8"/>
      <c r="R348" s="8"/>
      <c r="S348" s="12"/>
      <c r="T348" s="29"/>
      <c r="U348" s="29"/>
      <c r="V348" s="29"/>
      <c r="W348" s="29"/>
      <c r="X348" s="8"/>
      <c r="Y348" s="29"/>
      <c r="Z348" s="8"/>
      <c r="AA348" s="8"/>
    </row>
    <row r="349" spans="1:27" s="46" customFormat="1" x14ac:dyDescent="0.25">
      <c r="A349" s="8"/>
      <c r="B349" s="9"/>
      <c r="C349" s="2"/>
      <c r="D349" s="11"/>
      <c r="E349" s="9"/>
      <c r="F349" s="10"/>
      <c r="G349" s="10"/>
      <c r="H349" s="30"/>
      <c r="I349" s="30"/>
      <c r="J349" s="30"/>
      <c r="K349" s="30"/>
      <c r="L349" s="30"/>
      <c r="M349" s="30"/>
      <c r="N349" s="30"/>
      <c r="O349" s="9"/>
      <c r="P349" s="9"/>
      <c r="Q349" s="8"/>
      <c r="R349" s="8"/>
      <c r="S349" s="12"/>
      <c r="T349" s="29"/>
      <c r="U349" s="29"/>
      <c r="V349" s="29"/>
      <c r="W349" s="29"/>
      <c r="X349" s="8"/>
      <c r="Y349" s="29"/>
      <c r="Z349" s="8"/>
      <c r="AA349" s="8"/>
    </row>
    <row r="350" spans="1:27" s="46" customFormat="1" x14ac:dyDescent="0.25">
      <c r="A350" s="8"/>
      <c r="B350" s="9"/>
      <c r="C350" s="2"/>
      <c r="D350" s="11"/>
      <c r="E350" s="9"/>
      <c r="F350" s="10"/>
      <c r="G350" s="10"/>
      <c r="H350" s="30"/>
      <c r="I350" s="30"/>
      <c r="J350" s="30"/>
      <c r="K350" s="30"/>
      <c r="L350" s="30"/>
      <c r="M350" s="30"/>
      <c r="N350" s="30"/>
      <c r="O350" s="9"/>
      <c r="P350" s="9"/>
      <c r="Q350" s="8"/>
      <c r="R350" s="8"/>
      <c r="S350" s="12"/>
      <c r="T350" s="29"/>
      <c r="U350" s="29"/>
      <c r="V350" s="29"/>
      <c r="W350" s="29"/>
      <c r="X350" s="8"/>
      <c r="Y350" s="29"/>
      <c r="Z350" s="8"/>
      <c r="AA350" s="8"/>
    </row>
    <row r="351" spans="1:27" s="46" customFormat="1" x14ac:dyDescent="0.25">
      <c r="A351" s="8"/>
      <c r="B351" s="9"/>
      <c r="C351" s="2"/>
      <c r="D351" s="11"/>
      <c r="E351" s="9"/>
      <c r="F351" s="10"/>
      <c r="G351" s="10"/>
      <c r="H351" s="30"/>
      <c r="I351" s="30"/>
      <c r="J351" s="30"/>
      <c r="K351" s="30"/>
      <c r="L351" s="30"/>
      <c r="M351" s="30"/>
      <c r="N351" s="30"/>
      <c r="O351" s="9"/>
      <c r="P351" s="9"/>
      <c r="Q351" s="8"/>
      <c r="R351" s="8"/>
      <c r="S351" s="12"/>
      <c r="T351" s="29"/>
      <c r="U351" s="29"/>
      <c r="V351" s="29"/>
      <c r="W351" s="29"/>
      <c r="X351" s="8"/>
      <c r="Y351" s="29"/>
      <c r="Z351" s="8"/>
      <c r="AA351" s="8"/>
    </row>
    <row r="352" spans="1:27" s="46" customFormat="1" x14ac:dyDescent="0.25">
      <c r="A352" s="8"/>
      <c r="B352" s="9"/>
      <c r="C352" s="2"/>
      <c r="D352" s="11"/>
      <c r="E352" s="9"/>
      <c r="F352" s="10"/>
      <c r="G352" s="10"/>
      <c r="H352" s="30"/>
      <c r="I352" s="30"/>
      <c r="J352" s="30"/>
      <c r="K352" s="30"/>
      <c r="L352" s="30"/>
      <c r="M352" s="30"/>
      <c r="N352" s="30"/>
      <c r="O352" s="9"/>
      <c r="P352" s="9"/>
      <c r="Q352" s="8"/>
      <c r="R352" s="8"/>
      <c r="S352" s="12"/>
      <c r="T352" s="29"/>
      <c r="U352" s="29"/>
      <c r="V352" s="29"/>
      <c r="W352" s="29"/>
      <c r="X352" s="8"/>
      <c r="Y352" s="29"/>
      <c r="Z352" s="8"/>
      <c r="AA352" s="8"/>
    </row>
    <row r="353" spans="1:27" s="46" customFormat="1" x14ac:dyDescent="0.25">
      <c r="A353" s="8"/>
      <c r="B353" s="9"/>
      <c r="C353" s="2"/>
      <c r="D353" s="11"/>
      <c r="E353" s="9"/>
      <c r="F353" s="10"/>
      <c r="G353" s="10"/>
      <c r="H353" s="30"/>
      <c r="I353" s="30"/>
      <c r="J353" s="30"/>
      <c r="K353" s="30"/>
      <c r="L353" s="30"/>
      <c r="M353" s="30"/>
      <c r="N353" s="30"/>
      <c r="O353" s="9"/>
      <c r="P353" s="9"/>
      <c r="Q353" s="8"/>
      <c r="R353" s="8"/>
      <c r="S353" s="12"/>
      <c r="T353" s="29"/>
      <c r="U353" s="29"/>
      <c r="V353" s="29"/>
      <c r="W353" s="29"/>
      <c r="X353" s="8"/>
      <c r="Y353" s="29"/>
      <c r="Z353" s="8"/>
      <c r="AA353" s="8"/>
    </row>
    <row r="354" spans="1:27" s="65" customFormat="1" ht="15.75" customHeight="1" x14ac:dyDescent="0.25">
      <c r="A354" s="8"/>
      <c r="B354" s="9"/>
      <c r="C354" s="2"/>
      <c r="D354" s="11"/>
      <c r="E354" s="9"/>
      <c r="F354" s="10"/>
      <c r="G354" s="10"/>
      <c r="H354" s="30"/>
      <c r="I354" s="30"/>
      <c r="J354" s="30"/>
      <c r="K354" s="30"/>
      <c r="L354" s="30"/>
      <c r="M354" s="30"/>
      <c r="N354" s="30"/>
      <c r="O354" s="9"/>
      <c r="P354" s="9"/>
      <c r="Q354" s="8"/>
      <c r="R354" s="8"/>
      <c r="S354" s="12"/>
      <c r="T354" s="29"/>
      <c r="U354" s="29"/>
      <c r="V354" s="29"/>
      <c r="W354" s="29"/>
      <c r="X354" s="8"/>
      <c r="Y354" s="29"/>
      <c r="Z354" s="8"/>
      <c r="AA354" s="8"/>
    </row>
    <row r="355" spans="1:27" s="65" customFormat="1" ht="15.75" customHeight="1" x14ac:dyDescent="0.25">
      <c r="A355" s="8"/>
      <c r="B355" s="9"/>
      <c r="C355" s="2"/>
      <c r="D355" s="11"/>
      <c r="E355" s="9"/>
      <c r="F355" s="10"/>
      <c r="G355" s="10"/>
      <c r="H355" s="30"/>
      <c r="I355" s="30"/>
      <c r="J355" s="30"/>
      <c r="K355" s="30"/>
      <c r="L355" s="30"/>
      <c r="M355" s="30"/>
      <c r="N355" s="30"/>
      <c r="O355" s="9"/>
      <c r="P355" s="9"/>
      <c r="Q355" s="8"/>
      <c r="R355" s="8"/>
      <c r="S355" s="12"/>
      <c r="T355" s="29"/>
      <c r="U355" s="29"/>
      <c r="V355" s="29"/>
      <c r="W355" s="29"/>
      <c r="X355" s="8"/>
      <c r="Y355" s="29"/>
      <c r="Z355" s="8"/>
      <c r="AA355" s="8"/>
    </row>
    <row r="356" spans="1:27" s="65" customFormat="1" ht="15.75" customHeight="1" x14ac:dyDescent="0.25">
      <c r="A356" s="8"/>
      <c r="B356" s="9"/>
      <c r="C356" s="2"/>
      <c r="D356" s="11"/>
      <c r="E356" s="9"/>
      <c r="F356" s="10"/>
      <c r="G356" s="10"/>
      <c r="H356" s="30"/>
      <c r="I356" s="30"/>
      <c r="J356" s="30"/>
      <c r="K356" s="30"/>
      <c r="L356" s="30"/>
      <c r="M356" s="30"/>
      <c r="N356" s="30"/>
      <c r="O356" s="9"/>
      <c r="P356" s="9"/>
      <c r="Q356" s="8"/>
      <c r="R356" s="8"/>
      <c r="S356" s="12"/>
      <c r="T356" s="29"/>
      <c r="U356" s="29"/>
      <c r="V356" s="29"/>
      <c r="W356" s="29"/>
      <c r="X356" s="8"/>
      <c r="Y356" s="29"/>
      <c r="Z356" s="8"/>
      <c r="AA356" s="8"/>
    </row>
    <row r="357" spans="1:27" s="65" customFormat="1" ht="15.75" customHeight="1" x14ac:dyDescent="0.25">
      <c r="A357" s="8"/>
      <c r="B357" s="9"/>
      <c r="C357" s="2"/>
      <c r="D357" s="11"/>
      <c r="E357" s="9"/>
      <c r="F357" s="10"/>
      <c r="G357" s="10"/>
      <c r="H357" s="30"/>
      <c r="I357" s="30"/>
      <c r="J357" s="30"/>
      <c r="K357" s="30"/>
      <c r="L357" s="30"/>
      <c r="M357" s="30"/>
      <c r="N357" s="30"/>
      <c r="O357" s="9"/>
      <c r="P357" s="9"/>
      <c r="Q357" s="8"/>
      <c r="R357" s="8"/>
      <c r="S357" s="12"/>
      <c r="T357" s="29"/>
      <c r="U357" s="29"/>
      <c r="V357" s="29"/>
      <c r="W357" s="29"/>
      <c r="X357" s="8"/>
      <c r="Y357" s="29"/>
      <c r="Z357" s="8"/>
      <c r="AA357" s="8"/>
    </row>
    <row r="358" spans="1:27" s="65" customFormat="1" ht="15.75" customHeight="1" x14ac:dyDescent="0.25">
      <c r="A358" s="8"/>
      <c r="B358" s="9"/>
      <c r="C358" s="2"/>
      <c r="D358" s="11"/>
      <c r="E358" s="9"/>
      <c r="F358" s="10"/>
      <c r="G358" s="10"/>
      <c r="H358" s="30"/>
      <c r="I358" s="30"/>
      <c r="J358" s="30"/>
      <c r="K358" s="30"/>
      <c r="L358" s="30"/>
      <c r="M358" s="30"/>
      <c r="N358" s="30"/>
      <c r="O358" s="9"/>
      <c r="P358" s="9"/>
      <c r="Q358" s="8"/>
      <c r="R358" s="8"/>
      <c r="S358" s="12"/>
      <c r="T358" s="29"/>
      <c r="U358" s="29"/>
      <c r="V358" s="29"/>
      <c r="W358" s="29"/>
      <c r="X358" s="8"/>
      <c r="Y358" s="29"/>
      <c r="Z358" s="8"/>
      <c r="AA358" s="8"/>
    </row>
    <row r="359" spans="1:27" s="65" customFormat="1" ht="15.75" customHeight="1" x14ac:dyDescent="0.25">
      <c r="A359" s="8"/>
      <c r="B359" s="9"/>
      <c r="C359" s="2"/>
      <c r="D359" s="11"/>
      <c r="E359" s="9"/>
      <c r="F359" s="10"/>
      <c r="G359" s="10"/>
      <c r="H359" s="30"/>
      <c r="I359" s="30"/>
      <c r="J359" s="30"/>
      <c r="K359" s="30"/>
      <c r="L359" s="30"/>
      <c r="M359" s="30"/>
      <c r="N359" s="30"/>
      <c r="O359" s="9"/>
      <c r="P359" s="9"/>
      <c r="Q359" s="8"/>
      <c r="R359" s="8"/>
      <c r="S359" s="12"/>
      <c r="T359" s="29"/>
      <c r="U359" s="29"/>
      <c r="V359" s="29"/>
      <c r="W359" s="29"/>
      <c r="X359" s="8"/>
      <c r="Y359" s="29"/>
      <c r="Z359" s="8"/>
      <c r="AA359" s="8"/>
    </row>
    <row r="360" spans="1:27" s="65" customFormat="1" ht="15.75" customHeight="1" x14ac:dyDescent="0.25">
      <c r="A360" s="8"/>
      <c r="B360" s="9"/>
      <c r="C360" s="2"/>
      <c r="D360" s="11"/>
      <c r="E360" s="9"/>
      <c r="F360" s="10"/>
      <c r="G360" s="10"/>
      <c r="H360" s="30"/>
      <c r="I360" s="30"/>
      <c r="J360" s="30"/>
      <c r="K360" s="30"/>
      <c r="L360" s="30"/>
      <c r="M360" s="30"/>
      <c r="N360" s="30"/>
      <c r="O360" s="9"/>
      <c r="P360" s="9"/>
      <c r="Q360" s="8"/>
      <c r="R360" s="8"/>
      <c r="S360" s="12"/>
      <c r="T360" s="29"/>
      <c r="U360" s="29"/>
      <c r="V360" s="29"/>
      <c r="W360" s="29"/>
      <c r="X360" s="8"/>
      <c r="Y360" s="29"/>
      <c r="Z360" s="8"/>
      <c r="AA360" s="8"/>
    </row>
    <row r="361" spans="1:27" s="65" customFormat="1" ht="15.75" customHeight="1" x14ac:dyDescent="0.25">
      <c r="A361" s="8"/>
      <c r="B361" s="9"/>
      <c r="C361" s="2"/>
      <c r="D361" s="11"/>
      <c r="E361" s="9"/>
      <c r="F361" s="10"/>
      <c r="G361" s="10"/>
      <c r="H361" s="30"/>
      <c r="I361" s="30"/>
      <c r="J361" s="30"/>
      <c r="K361" s="30"/>
      <c r="L361" s="30"/>
      <c r="M361" s="30"/>
      <c r="N361" s="30"/>
      <c r="O361" s="9"/>
      <c r="P361" s="9"/>
      <c r="Q361" s="8"/>
      <c r="R361" s="8"/>
      <c r="S361" s="12"/>
      <c r="T361" s="29"/>
      <c r="U361" s="29"/>
      <c r="V361" s="29"/>
      <c r="W361" s="29"/>
      <c r="X361" s="8"/>
      <c r="Y361" s="29"/>
      <c r="Z361" s="8"/>
      <c r="AA361" s="8"/>
    </row>
    <row r="362" spans="1:27" s="65" customFormat="1" ht="15.75" customHeight="1" x14ac:dyDescent="0.25">
      <c r="A362" s="8"/>
      <c r="B362" s="9"/>
      <c r="C362" s="2"/>
      <c r="D362" s="11"/>
      <c r="E362" s="9"/>
      <c r="F362" s="10"/>
      <c r="G362" s="10"/>
      <c r="H362" s="30"/>
      <c r="I362" s="30"/>
      <c r="J362" s="30"/>
      <c r="K362" s="30"/>
      <c r="L362" s="30"/>
      <c r="M362" s="30"/>
      <c r="N362" s="30"/>
      <c r="O362" s="9"/>
      <c r="P362" s="9"/>
      <c r="Q362" s="8"/>
      <c r="R362" s="8"/>
      <c r="S362" s="12"/>
      <c r="T362" s="29"/>
      <c r="U362" s="29"/>
      <c r="V362" s="29"/>
      <c r="W362" s="29"/>
      <c r="X362" s="8"/>
      <c r="Y362" s="29"/>
      <c r="Z362" s="8"/>
      <c r="AA362" s="8"/>
    </row>
    <row r="363" spans="1:27" s="65" customFormat="1" ht="15.75" customHeight="1" x14ac:dyDescent="0.25">
      <c r="A363" s="8"/>
      <c r="B363" s="9"/>
      <c r="C363" s="2"/>
      <c r="D363" s="11"/>
      <c r="E363" s="9"/>
      <c r="F363" s="10"/>
      <c r="G363" s="10"/>
      <c r="H363" s="30"/>
      <c r="I363" s="30"/>
      <c r="J363" s="30"/>
      <c r="K363" s="30"/>
      <c r="L363" s="30"/>
      <c r="M363" s="30"/>
      <c r="N363" s="30"/>
      <c r="O363" s="9"/>
      <c r="P363" s="9"/>
      <c r="Q363" s="8"/>
      <c r="R363" s="8"/>
      <c r="S363" s="12"/>
      <c r="T363" s="29"/>
      <c r="U363" s="29"/>
      <c r="V363" s="29"/>
      <c r="W363" s="29"/>
      <c r="X363" s="8"/>
      <c r="Y363" s="29"/>
      <c r="Z363" s="8"/>
      <c r="AA363" s="8"/>
    </row>
    <row r="364" spans="1:27" s="65" customFormat="1" ht="15.75" customHeight="1" x14ac:dyDescent="0.25">
      <c r="A364" s="8"/>
      <c r="B364" s="9"/>
      <c r="C364" s="2"/>
      <c r="D364" s="11"/>
      <c r="E364" s="9"/>
      <c r="F364" s="10"/>
      <c r="G364" s="10"/>
      <c r="H364" s="30"/>
      <c r="I364" s="30"/>
      <c r="J364" s="30"/>
      <c r="K364" s="30"/>
      <c r="L364" s="30"/>
      <c r="M364" s="30"/>
      <c r="N364" s="30"/>
      <c r="O364" s="9"/>
      <c r="P364" s="9"/>
      <c r="Q364" s="8"/>
      <c r="R364" s="8"/>
      <c r="S364" s="12"/>
      <c r="T364" s="29"/>
      <c r="U364" s="29"/>
      <c r="V364" s="29"/>
      <c r="W364" s="29"/>
      <c r="X364" s="8"/>
      <c r="Y364" s="29"/>
      <c r="Z364" s="8"/>
      <c r="AA364" s="8"/>
    </row>
    <row r="365" spans="1:27" s="65" customFormat="1" ht="15.75" customHeight="1" x14ac:dyDescent="0.25">
      <c r="A365" s="8"/>
      <c r="B365" s="9"/>
      <c r="C365" s="2"/>
      <c r="D365" s="11"/>
      <c r="E365" s="9"/>
      <c r="F365" s="10"/>
      <c r="G365" s="10"/>
      <c r="H365" s="30"/>
      <c r="I365" s="30"/>
      <c r="J365" s="30"/>
      <c r="K365" s="30"/>
      <c r="L365" s="30"/>
      <c r="M365" s="30"/>
      <c r="N365" s="30"/>
      <c r="O365" s="9"/>
      <c r="P365" s="9"/>
      <c r="Q365" s="8"/>
      <c r="R365" s="8"/>
      <c r="S365" s="12"/>
      <c r="T365" s="29"/>
      <c r="U365" s="29"/>
      <c r="V365" s="29"/>
      <c r="W365" s="29"/>
      <c r="X365" s="8"/>
      <c r="Y365" s="29"/>
      <c r="Z365" s="8"/>
      <c r="AA365" s="8"/>
    </row>
    <row r="366" spans="1:27" s="65" customFormat="1" ht="15.75" customHeight="1" x14ac:dyDescent="0.25">
      <c r="A366" s="8"/>
      <c r="B366" s="9"/>
      <c r="C366" s="2"/>
      <c r="D366" s="11"/>
      <c r="E366" s="9"/>
      <c r="F366" s="10"/>
      <c r="G366" s="10"/>
      <c r="H366" s="30"/>
      <c r="I366" s="30"/>
      <c r="J366" s="30"/>
      <c r="K366" s="30"/>
      <c r="L366" s="30"/>
      <c r="M366" s="30"/>
      <c r="N366" s="30"/>
      <c r="O366" s="9"/>
      <c r="P366" s="9"/>
      <c r="Q366" s="8"/>
      <c r="R366" s="8"/>
      <c r="S366" s="12"/>
      <c r="T366" s="29"/>
      <c r="U366" s="29"/>
      <c r="V366" s="29"/>
      <c r="W366" s="29"/>
      <c r="X366" s="8"/>
      <c r="Y366" s="29"/>
      <c r="Z366" s="8"/>
      <c r="AA366" s="8"/>
    </row>
    <row r="367" spans="1:27" s="65" customFormat="1" ht="15.75" customHeight="1" x14ac:dyDescent="0.25">
      <c r="A367" s="8"/>
      <c r="B367" s="9"/>
      <c r="C367" s="2"/>
      <c r="D367" s="11"/>
      <c r="E367" s="9"/>
      <c r="F367" s="10"/>
      <c r="G367" s="10"/>
      <c r="H367" s="30"/>
      <c r="I367" s="30"/>
      <c r="J367" s="30"/>
      <c r="K367" s="30"/>
      <c r="L367" s="30"/>
      <c r="M367" s="30"/>
      <c r="N367" s="30"/>
      <c r="O367" s="9"/>
      <c r="P367" s="9"/>
      <c r="Q367" s="8"/>
      <c r="R367" s="8"/>
      <c r="S367" s="12"/>
      <c r="T367" s="29"/>
      <c r="U367" s="29"/>
      <c r="V367" s="29"/>
      <c r="W367" s="29"/>
      <c r="X367" s="8"/>
      <c r="Y367" s="29"/>
      <c r="Z367" s="8"/>
      <c r="AA367" s="8"/>
    </row>
    <row r="368" spans="1:27" s="65" customFormat="1" ht="15.75" customHeight="1" x14ac:dyDescent="0.25">
      <c r="A368" s="8"/>
      <c r="B368" s="9"/>
      <c r="C368" s="2"/>
      <c r="D368" s="11"/>
      <c r="E368" s="9"/>
      <c r="F368" s="10"/>
      <c r="G368" s="10"/>
      <c r="H368" s="30"/>
      <c r="I368" s="30"/>
      <c r="J368" s="30"/>
      <c r="K368" s="30"/>
      <c r="L368" s="30"/>
      <c r="M368" s="30"/>
      <c r="N368" s="30"/>
      <c r="O368" s="9"/>
      <c r="P368" s="9"/>
      <c r="Q368" s="8"/>
      <c r="R368" s="8"/>
      <c r="S368" s="12"/>
      <c r="T368" s="29"/>
      <c r="U368" s="29"/>
      <c r="V368" s="29"/>
      <c r="W368" s="29"/>
      <c r="X368" s="8"/>
      <c r="Y368" s="29"/>
      <c r="Z368" s="8"/>
      <c r="AA368" s="8"/>
    </row>
    <row r="369" spans="1:27" s="59" customFormat="1" x14ac:dyDescent="0.25">
      <c r="A369" s="8"/>
      <c r="B369" s="9"/>
      <c r="C369" s="2"/>
      <c r="D369" s="11"/>
      <c r="E369" s="9"/>
      <c r="F369" s="10"/>
      <c r="G369" s="10"/>
      <c r="H369" s="30"/>
      <c r="I369" s="30"/>
      <c r="J369" s="30"/>
      <c r="K369" s="30"/>
      <c r="L369" s="30"/>
      <c r="M369" s="30"/>
      <c r="N369" s="30"/>
      <c r="O369" s="9"/>
      <c r="P369" s="9"/>
      <c r="Q369" s="8"/>
      <c r="R369" s="8"/>
      <c r="S369" s="12"/>
      <c r="T369" s="29"/>
      <c r="U369" s="29"/>
      <c r="V369" s="29"/>
      <c r="W369" s="29"/>
      <c r="X369" s="8"/>
      <c r="Y369" s="29"/>
      <c r="Z369" s="8"/>
      <c r="AA369" s="8"/>
    </row>
    <row r="370" spans="1:27" s="46" customFormat="1" x14ac:dyDescent="0.25">
      <c r="A370" s="8"/>
      <c r="B370" s="9"/>
      <c r="C370" s="2"/>
      <c r="D370" s="11"/>
      <c r="E370" s="9"/>
      <c r="F370" s="10"/>
      <c r="G370" s="10"/>
      <c r="H370" s="30"/>
      <c r="I370" s="30"/>
      <c r="J370" s="30"/>
      <c r="K370" s="30"/>
      <c r="L370" s="30"/>
      <c r="M370" s="30"/>
      <c r="N370" s="30"/>
      <c r="O370" s="9"/>
      <c r="P370" s="9"/>
      <c r="Q370" s="8"/>
      <c r="R370" s="8"/>
      <c r="S370" s="12"/>
      <c r="T370" s="29"/>
      <c r="U370" s="29"/>
      <c r="V370" s="29"/>
      <c r="W370" s="29"/>
      <c r="X370" s="8"/>
      <c r="Y370" s="29"/>
      <c r="Z370" s="8"/>
      <c r="AA370" s="8"/>
    </row>
    <row r="371" spans="1:27" s="46" customFormat="1" x14ac:dyDescent="0.25">
      <c r="A371" s="8"/>
      <c r="B371" s="9"/>
      <c r="C371" s="2"/>
      <c r="D371" s="11"/>
      <c r="E371" s="9"/>
      <c r="F371" s="10"/>
      <c r="G371" s="10"/>
      <c r="H371" s="30"/>
      <c r="I371" s="30"/>
      <c r="J371" s="30"/>
      <c r="K371" s="30"/>
      <c r="L371" s="30"/>
      <c r="M371" s="30"/>
      <c r="N371" s="30"/>
      <c r="O371" s="9"/>
      <c r="P371" s="9"/>
      <c r="Q371" s="8"/>
      <c r="R371" s="8"/>
      <c r="S371" s="12"/>
      <c r="T371" s="29"/>
      <c r="U371" s="29"/>
      <c r="V371" s="29"/>
      <c r="W371" s="29"/>
      <c r="X371" s="8"/>
      <c r="Y371" s="29"/>
      <c r="Z371" s="8"/>
      <c r="AA371" s="8"/>
    </row>
    <row r="372" spans="1:27" s="46" customFormat="1" x14ac:dyDescent="0.25">
      <c r="A372" s="8"/>
      <c r="B372" s="9"/>
      <c r="C372" s="2"/>
      <c r="D372" s="11"/>
      <c r="E372" s="9"/>
      <c r="F372" s="10"/>
      <c r="G372" s="10"/>
      <c r="H372" s="30"/>
      <c r="I372" s="30"/>
      <c r="J372" s="30"/>
      <c r="K372" s="30"/>
      <c r="L372" s="30"/>
      <c r="M372" s="30"/>
      <c r="N372" s="30"/>
      <c r="O372" s="9"/>
      <c r="P372" s="9"/>
      <c r="Q372" s="8"/>
      <c r="R372" s="8"/>
      <c r="S372" s="12"/>
      <c r="T372" s="29"/>
      <c r="U372" s="29"/>
      <c r="V372" s="29"/>
      <c r="W372" s="29"/>
      <c r="X372" s="8"/>
      <c r="Y372" s="29"/>
      <c r="Z372" s="8"/>
      <c r="AA372" s="8"/>
    </row>
    <row r="373" spans="1:27" s="46" customFormat="1" x14ac:dyDescent="0.25">
      <c r="A373" s="8"/>
      <c r="B373" s="9"/>
      <c r="C373" s="2"/>
      <c r="D373" s="11"/>
      <c r="E373" s="9"/>
      <c r="F373" s="10"/>
      <c r="G373" s="10"/>
      <c r="H373" s="30"/>
      <c r="I373" s="30"/>
      <c r="J373" s="30"/>
      <c r="K373" s="30"/>
      <c r="L373" s="30"/>
      <c r="M373" s="30"/>
      <c r="N373" s="30"/>
      <c r="O373" s="9"/>
      <c r="P373" s="9"/>
      <c r="Q373" s="8"/>
      <c r="R373" s="8"/>
      <c r="S373" s="12"/>
      <c r="T373" s="29"/>
      <c r="U373" s="29"/>
      <c r="V373" s="29"/>
      <c r="W373" s="29"/>
      <c r="X373" s="8"/>
      <c r="Y373" s="29"/>
      <c r="Z373" s="8"/>
      <c r="AA373" s="8"/>
    </row>
    <row r="374" spans="1:27" s="46" customFormat="1" x14ac:dyDescent="0.25">
      <c r="A374" s="8"/>
      <c r="B374" s="9"/>
      <c r="C374" s="2"/>
      <c r="D374" s="11"/>
      <c r="E374" s="9"/>
      <c r="F374" s="10"/>
      <c r="G374" s="10"/>
      <c r="H374" s="30"/>
      <c r="I374" s="30"/>
      <c r="J374" s="30"/>
      <c r="K374" s="30"/>
      <c r="L374" s="30"/>
      <c r="M374" s="30"/>
      <c r="N374" s="30"/>
      <c r="O374" s="9"/>
      <c r="P374" s="9"/>
      <c r="Q374" s="8"/>
      <c r="R374" s="8"/>
      <c r="S374" s="12"/>
      <c r="T374" s="29"/>
      <c r="U374" s="29"/>
      <c r="V374" s="29"/>
      <c r="W374" s="29"/>
      <c r="X374" s="8"/>
      <c r="Y374" s="29"/>
      <c r="Z374" s="8"/>
      <c r="AA374" s="8"/>
    </row>
    <row r="375" spans="1:27" s="46" customFormat="1" x14ac:dyDescent="0.25">
      <c r="A375" s="8"/>
      <c r="B375" s="9"/>
      <c r="C375" s="2"/>
      <c r="D375" s="11"/>
      <c r="E375" s="9"/>
      <c r="F375" s="10"/>
      <c r="G375" s="10"/>
      <c r="H375" s="30"/>
      <c r="I375" s="30"/>
      <c r="J375" s="30"/>
      <c r="K375" s="30"/>
      <c r="L375" s="30"/>
      <c r="M375" s="30"/>
      <c r="N375" s="30"/>
      <c r="O375" s="9"/>
      <c r="P375" s="9"/>
      <c r="Q375" s="8"/>
      <c r="R375" s="8"/>
      <c r="S375" s="12"/>
      <c r="T375" s="29"/>
      <c r="U375" s="29"/>
      <c r="V375" s="29"/>
      <c r="W375" s="29"/>
      <c r="X375" s="8"/>
      <c r="Y375" s="29"/>
      <c r="Z375" s="8"/>
      <c r="AA375" s="8"/>
    </row>
    <row r="376" spans="1:27" s="46" customFormat="1" x14ac:dyDescent="0.25">
      <c r="A376" s="8"/>
      <c r="B376" s="9"/>
      <c r="C376" s="2"/>
      <c r="D376" s="11"/>
      <c r="E376" s="9"/>
      <c r="F376" s="10"/>
      <c r="G376" s="10"/>
      <c r="H376" s="30"/>
      <c r="I376" s="30"/>
      <c r="J376" s="30"/>
      <c r="K376" s="30"/>
      <c r="L376" s="30"/>
      <c r="M376" s="30"/>
      <c r="N376" s="30"/>
      <c r="O376" s="9"/>
      <c r="P376" s="9"/>
      <c r="Q376" s="8"/>
      <c r="R376" s="8"/>
      <c r="S376" s="12"/>
      <c r="T376" s="29"/>
      <c r="U376" s="29"/>
      <c r="V376" s="29"/>
      <c r="W376" s="29"/>
      <c r="X376" s="8"/>
      <c r="Y376" s="29"/>
      <c r="Z376" s="8"/>
      <c r="AA376" s="8"/>
    </row>
    <row r="377" spans="1:27" s="46" customFormat="1" x14ac:dyDescent="0.25">
      <c r="A377" s="8"/>
      <c r="B377" s="9"/>
      <c r="C377" s="2"/>
      <c r="D377" s="11"/>
      <c r="E377" s="9"/>
      <c r="F377" s="10"/>
      <c r="G377" s="10"/>
      <c r="H377" s="30"/>
      <c r="I377" s="30"/>
      <c r="J377" s="30"/>
      <c r="K377" s="30"/>
      <c r="L377" s="30"/>
      <c r="M377" s="30"/>
      <c r="N377" s="30"/>
      <c r="O377" s="9"/>
      <c r="P377" s="9"/>
      <c r="Q377" s="8"/>
      <c r="R377" s="8"/>
      <c r="S377" s="12"/>
      <c r="T377" s="29"/>
      <c r="U377" s="29"/>
      <c r="V377" s="29"/>
      <c r="W377" s="29"/>
      <c r="X377" s="8"/>
      <c r="Y377" s="29"/>
      <c r="Z377" s="8"/>
      <c r="AA377" s="8"/>
    </row>
    <row r="378" spans="1:27" s="46" customFormat="1" x14ac:dyDescent="0.25">
      <c r="A378" s="8"/>
      <c r="B378" s="9"/>
      <c r="C378" s="2"/>
      <c r="D378" s="11"/>
      <c r="E378" s="9"/>
      <c r="F378" s="10"/>
      <c r="G378" s="10"/>
      <c r="H378" s="30"/>
      <c r="I378" s="30"/>
      <c r="J378" s="30"/>
      <c r="K378" s="30"/>
      <c r="L378" s="30"/>
      <c r="M378" s="30"/>
      <c r="N378" s="30"/>
      <c r="O378" s="9"/>
      <c r="P378" s="9"/>
      <c r="Q378" s="8"/>
      <c r="R378" s="8"/>
      <c r="S378" s="12"/>
      <c r="T378" s="29"/>
      <c r="U378" s="29"/>
      <c r="V378" s="29"/>
      <c r="W378" s="29"/>
      <c r="X378" s="8"/>
      <c r="Y378" s="29"/>
      <c r="Z378" s="8"/>
      <c r="AA378" s="8"/>
    </row>
    <row r="379" spans="1:27" s="46" customFormat="1" x14ac:dyDescent="0.25">
      <c r="A379" s="8"/>
      <c r="B379" s="9"/>
      <c r="C379" s="2"/>
      <c r="D379" s="11"/>
      <c r="E379" s="9"/>
      <c r="F379" s="10"/>
      <c r="G379" s="10"/>
      <c r="H379" s="30"/>
      <c r="I379" s="30"/>
      <c r="J379" s="30"/>
      <c r="K379" s="30"/>
      <c r="L379" s="30"/>
      <c r="M379" s="30"/>
      <c r="N379" s="30"/>
      <c r="O379" s="9"/>
      <c r="P379" s="9"/>
      <c r="Q379" s="8"/>
      <c r="R379" s="8"/>
      <c r="S379" s="12"/>
      <c r="T379" s="29"/>
      <c r="U379" s="29"/>
      <c r="V379" s="29"/>
      <c r="W379" s="29"/>
      <c r="X379" s="8"/>
      <c r="Y379" s="29"/>
      <c r="Z379" s="8"/>
      <c r="AA379" s="8"/>
    </row>
    <row r="380" spans="1:27" s="46" customFormat="1" x14ac:dyDescent="0.25">
      <c r="A380" s="8"/>
      <c r="B380" s="9"/>
      <c r="C380" s="2"/>
      <c r="D380" s="11"/>
      <c r="E380" s="9"/>
      <c r="F380" s="10"/>
      <c r="G380" s="10"/>
      <c r="H380" s="30"/>
      <c r="I380" s="30"/>
      <c r="J380" s="30"/>
      <c r="K380" s="30"/>
      <c r="L380" s="30"/>
      <c r="M380" s="30"/>
      <c r="N380" s="30"/>
      <c r="O380" s="9"/>
      <c r="P380" s="9"/>
      <c r="Q380" s="8"/>
      <c r="R380" s="8"/>
      <c r="S380" s="12"/>
      <c r="T380" s="29"/>
      <c r="U380" s="29"/>
      <c r="V380" s="29"/>
      <c r="W380" s="29"/>
      <c r="X380" s="8"/>
      <c r="Y380" s="29"/>
      <c r="Z380" s="8"/>
      <c r="AA380" s="8"/>
    </row>
    <row r="381" spans="1:27" s="46" customFormat="1" x14ac:dyDescent="0.25">
      <c r="A381" s="8"/>
      <c r="B381" s="9"/>
      <c r="C381" s="2"/>
      <c r="D381" s="11"/>
      <c r="E381" s="9"/>
      <c r="F381" s="10"/>
      <c r="G381" s="10"/>
      <c r="H381" s="30"/>
      <c r="I381" s="30"/>
      <c r="J381" s="30"/>
      <c r="K381" s="30"/>
      <c r="L381" s="30"/>
      <c r="M381" s="30"/>
      <c r="N381" s="30"/>
      <c r="O381" s="9"/>
      <c r="P381" s="9"/>
      <c r="Q381" s="8"/>
      <c r="R381" s="8"/>
      <c r="S381" s="12"/>
      <c r="T381" s="29"/>
      <c r="U381" s="29"/>
      <c r="V381" s="29"/>
      <c r="W381" s="29"/>
      <c r="X381" s="8"/>
      <c r="Y381" s="29"/>
      <c r="Z381" s="8"/>
      <c r="AA381" s="8"/>
    </row>
    <row r="382" spans="1:27" s="46" customFormat="1" x14ac:dyDescent="0.25">
      <c r="A382" s="8"/>
      <c r="B382" s="9"/>
      <c r="C382" s="2"/>
      <c r="D382" s="11"/>
      <c r="E382" s="9"/>
      <c r="F382" s="10"/>
      <c r="G382" s="10"/>
      <c r="H382" s="30"/>
      <c r="I382" s="30"/>
      <c r="J382" s="30"/>
      <c r="K382" s="30"/>
      <c r="L382" s="30"/>
      <c r="M382" s="30"/>
      <c r="N382" s="30"/>
      <c r="O382" s="9"/>
      <c r="P382" s="9"/>
      <c r="Q382" s="8"/>
      <c r="R382" s="8"/>
      <c r="S382" s="12"/>
      <c r="T382" s="29"/>
      <c r="U382" s="29"/>
      <c r="V382" s="29"/>
      <c r="W382" s="29"/>
      <c r="X382" s="8"/>
      <c r="Y382" s="29"/>
      <c r="Z382" s="8"/>
      <c r="AA382" s="8"/>
    </row>
    <row r="383" spans="1:27" s="46" customFormat="1" x14ac:dyDescent="0.25">
      <c r="A383" s="8"/>
      <c r="B383" s="9"/>
      <c r="C383" s="2"/>
      <c r="D383" s="11"/>
      <c r="E383" s="9"/>
      <c r="F383" s="10"/>
      <c r="G383" s="10"/>
      <c r="H383" s="30"/>
      <c r="I383" s="30"/>
      <c r="J383" s="30"/>
      <c r="K383" s="30"/>
      <c r="L383" s="30"/>
      <c r="M383" s="30"/>
      <c r="N383" s="30"/>
      <c r="O383" s="9"/>
      <c r="P383" s="9"/>
      <c r="Q383" s="8"/>
      <c r="R383" s="8"/>
      <c r="S383" s="12"/>
      <c r="T383" s="29"/>
      <c r="U383" s="29"/>
      <c r="V383" s="29"/>
      <c r="W383" s="29"/>
      <c r="X383" s="8"/>
      <c r="Y383" s="29"/>
      <c r="Z383" s="8"/>
      <c r="AA383" s="8"/>
    </row>
    <row r="384" spans="1:27" s="46" customFormat="1" x14ac:dyDescent="0.25">
      <c r="A384" s="8"/>
      <c r="B384" s="9"/>
      <c r="C384" s="2"/>
      <c r="D384" s="11"/>
      <c r="E384" s="9"/>
      <c r="F384" s="10"/>
      <c r="G384" s="10"/>
      <c r="H384" s="30"/>
      <c r="I384" s="30"/>
      <c r="J384" s="30"/>
      <c r="K384" s="30"/>
      <c r="L384" s="30"/>
      <c r="M384" s="30"/>
      <c r="N384" s="30"/>
      <c r="O384" s="9"/>
      <c r="P384" s="9"/>
      <c r="Q384" s="8"/>
      <c r="R384" s="8"/>
      <c r="S384" s="12"/>
      <c r="T384" s="29"/>
      <c r="U384" s="29"/>
      <c r="V384" s="29"/>
      <c r="W384" s="29"/>
      <c r="X384" s="8"/>
      <c r="Y384" s="29"/>
      <c r="Z384" s="8"/>
      <c r="AA384" s="8"/>
    </row>
    <row r="385" spans="1:27" s="46" customFormat="1" x14ac:dyDescent="0.25">
      <c r="A385" s="8"/>
      <c r="B385" s="9"/>
      <c r="C385" s="2"/>
      <c r="D385" s="11"/>
      <c r="E385" s="9"/>
      <c r="F385" s="10"/>
      <c r="G385" s="10"/>
      <c r="H385" s="30"/>
      <c r="I385" s="30"/>
      <c r="J385" s="30"/>
      <c r="K385" s="30"/>
      <c r="L385" s="30"/>
      <c r="M385" s="30"/>
      <c r="N385" s="30"/>
      <c r="O385" s="9"/>
      <c r="P385" s="9"/>
      <c r="Q385" s="8"/>
      <c r="R385" s="8"/>
      <c r="S385" s="12"/>
      <c r="T385" s="29"/>
      <c r="U385" s="29"/>
      <c r="V385" s="29"/>
      <c r="W385" s="29"/>
      <c r="X385" s="8"/>
      <c r="Y385" s="29"/>
      <c r="Z385" s="8"/>
      <c r="AA385" s="8"/>
    </row>
    <row r="386" spans="1:27" s="46" customFormat="1" x14ac:dyDescent="0.25">
      <c r="A386" s="8"/>
      <c r="B386" s="9"/>
      <c r="C386" s="2"/>
      <c r="D386" s="11"/>
      <c r="E386" s="9"/>
      <c r="F386" s="10"/>
      <c r="G386" s="10"/>
      <c r="H386" s="30"/>
      <c r="I386" s="30"/>
      <c r="J386" s="30"/>
      <c r="K386" s="30"/>
      <c r="L386" s="30"/>
      <c r="M386" s="30"/>
      <c r="N386" s="30"/>
      <c r="O386" s="9"/>
      <c r="P386" s="9"/>
      <c r="Q386" s="8"/>
      <c r="R386" s="8"/>
      <c r="S386" s="12"/>
      <c r="T386" s="29"/>
      <c r="U386" s="29"/>
      <c r="V386" s="29"/>
      <c r="W386" s="29"/>
      <c r="X386" s="8"/>
      <c r="Y386" s="29"/>
      <c r="Z386" s="8"/>
      <c r="AA386" s="8"/>
    </row>
    <row r="387" spans="1:27" s="46" customFormat="1" x14ac:dyDescent="0.25">
      <c r="A387" s="8"/>
      <c r="B387" s="9"/>
      <c r="C387" s="2"/>
      <c r="D387" s="11"/>
      <c r="E387" s="9"/>
      <c r="F387" s="10"/>
      <c r="G387" s="10"/>
      <c r="H387" s="30"/>
      <c r="I387" s="30"/>
      <c r="J387" s="30"/>
      <c r="K387" s="30"/>
      <c r="L387" s="30"/>
      <c r="M387" s="30"/>
      <c r="N387" s="30"/>
      <c r="O387" s="9"/>
      <c r="P387" s="9"/>
      <c r="Q387" s="8"/>
      <c r="R387" s="8"/>
      <c r="S387" s="12"/>
      <c r="T387" s="29"/>
      <c r="U387" s="29"/>
      <c r="V387" s="29"/>
      <c r="W387" s="29"/>
      <c r="X387" s="8"/>
      <c r="Y387" s="29"/>
      <c r="Z387" s="8"/>
      <c r="AA387" s="8"/>
    </row>
    <row r="388" spans="1:27" s="46" customFormat="1" x14ac:dyDescent="0.25">
      <c r="A388" s="8"/>
      <c r="B388" s="9"/>
      <c r="C388" s="2"/>
      <c r="D388" s="11"/>
      <c r="E388" s="9"/>
      <c r="F388" s="10"/>
      <c r="G388" s="10"/>
      <c r="H388" s="30"/>
      <c r="I388" s="30"/>
      <c r="J388" s="30"/>
      <c r="K388" s="30"/>
      <c r="L388" s="30"/>
      <c r="M388" s="30"/>
      <c r="N388" s="30"/>
      <c r="O388" s="9"/>
      <c r="P388" s="9"/>
      <c r="Q388" s="8"/>
      <c r="R388" s="8"/>
      <c r="S388" s="12"/>
      <c r="T388" s="29"/>
      <c r="U388" s="29"/>
      <c r="V388" s="29"/>
      <c r="W388" s="29"/>
      <c r="X388" s="8"/>
      <c r="Y388" s="29"/>
      <c r="Z388" s="8"/>
      <c r="AA388" s="8"/>
    </row>
    <row r="389" spans="1:27" s="46" customFormat="1" x14ac:dyDescent="0.25">
      <c r="A389" s="8"/>
      <c r="B389" s="9"/>
      <c r="C389" s="2"/>
      <c r="D389" s="11"/>
      <c r="E389" s="9"/>
      <c r="F389" s="10"/>
      <c r="G389" s="10"/>
      <c r="H389" s="30"/>
      <c r="I389" s="30"/>
      <c r="J389" s="30"/>
      <c r="K389" s="30"/>
      <c r="L389" s="30"/>
      <c r="M389" s="30"/>
      <c r="N389" s="30"/>
      <c r="O389" s="9"/>
      <c r="P389" s="9"/>
      <c r="Q389" s="8"/>
      <c r="R389" s="8"/>
      <c r="S389" s="12"/>
      <c r="T389" s="29"/>
      <c r="U389" s="29"/>
      <c r="V389" s="29"/>
      <c r="W389" s="29"/>
      <c r="X389" s="8"/>
      <c r="Y389" s="29"/>
      <c r="Z389" s="8"/>
      <c r="AA389" s="8"/>
    </row>
    <row r="390" spans="1:27" s="46" customFormat="1" x14ac:dyDescent="0.25">
      <c r="A390" s="8"/>
      <c r="B390" s="9"/>
      <c r="C390" s="2"/>
      <c r="D390" s="11"/>
      <c r="E390" s="9"/>
      <c r="F390" s="10"/>
      <c r="G390" s="10"/>
      <c r="H390" s="30"/>
      <c r="I390" s="30"/>
      <c r="J390" s="30"/>
      <c r="K390" s="30"/>
      <c r="L390" s="30"/>
      <c r="M390" s="30"/>
      <c r="N390" s="30"/>
      <c r="O390" s="9"/>
      <c r="P390" s="9"/>
      <c r="Q390" s="8"/>
      <c r="R390" s="8"/>
      <c r="S390" s="12"/>
      <c r="T390" s="29"/>
      <c r="U390" s="29"/>
      <c r="V390" s="29"/>
      <c r="W390" s="29"/>
      <c r="X390" s="8"/>
      <c r="Y390" s="29"/>
      <c r="Z390" s="8"/>
      <c r="AA390" s="8"/>
    </row>
    <row r="391" spans="1:27" s="46" customFormat="1" x14ac:dyDescent="0.25">
      <c r="A391" s="8"/>
      <c r="B391" s="9"/>
      <c r="C391" s="2"/>
      <c r="D391" s="11"/>
      <c r="E391" s="9"/>
      <c r="F391" s="10"/>
      <c r="G391" s="10"/>
      <c r="H391" s="30"/>
      <c r="I391" s="30"/>
      <c r="J391" s="30"/>
      <c r="K391" s="30"/>
      <c r="L391" s="30"/>
      <c r="M391" s="30"/>
      <c r="N391" s="30"/>
      <c r="O391" s="9"/>
      <c r="P391" s="9"/>
      <c r="Q391" s="8"/>
      <c r="R391" s="8"/>
      <c r="S391" s="12"/>
      <c r="T391" s="29"/>
      <c r="U391" s="29"/>
      <c r="V391" s="29"/>
      <c r="W391" s="29"/>
      <c r="X391" s="8"/>
      <c r="Y391" s="29"/>
      <c r="Z391" s="8"/>
      <c r="AA391" s="8"/>
    </row>
    <row r="392" spans="1:27" s="46" customFormat="1" x14ac:dyDescent="0.25">
      <c r="A392" s="8"/>
      <c r="B392" s="9"/>
      <c r="C392" s="2"/>
      <c r="D392" s="11"/>
      <c r="E392" s="9"/>
      <c r="F392" s="10"/>
      <c r="G392" s="10"/>
      <c r="H392" s="30"/>
      <c r="I392" s="30"/>
      <c r="J392" s="30"/>
      <c r="K392" s="30"/>
      <c r="L392" s="30"/>
      <c r="M392" s="30"/>
      <c r="N392" s="30"/>
      <c r="O392" s="9"/>
      <c r="P392" s="9"/>
      <c r="Q392" s="8"/>
      <c r="R392" s="8"/>
      <c r="S392" s="12"/>
      <c r="T392" s="29"/>
      <c r="U392" s="29"/>
      <c r="V392" s="29"/>
      <c r="W392" s="29"/>
      <c r="X392" s="8"/>
      <c r="Y392" s="29"/>
      <c r="Z392" s="8"/>
      <c r="AA392" s="8"/>
    </row>
    <row r="393" spans="1:27" s="46" customFormat="1" x14ac:dyDescent="0.25">
      <c r="A393" s="8"/>
      <c r="B393" s="9"/>
      <c r="C393" s="2"/>
      <c r="D393" s="11"/>
      <c r="E393" s="9"/>
      <c r="F393" s="10"/>
      <c r="G393" s="10"/>
      <c r="H393" s="30"/>
      <c r="I393" s="30"/>
      <c r="J393" s="30"/>
      <c r="K393" s="30"/>
      <c r="L393" s="30"/>
      <c r="M393" s="30"/>
      <c r="N393" s="30"/>
      <c r="O393" s="9"/>
      <c r="P393" s="9"/>
      <c r="Q393" s="8"/>
      <c r="R393" s="8"/>
      <c r="S393" s="12"/>
      <c r="T393" s="29"/>
      <c r="U393" s="29"/>
      <c r="V393" s="29"/>
      <c r="W393" s="29"/>
      <c r="X393" s="8"/>
      <c r="Y393" s="29"/>
      <c r="Z393" s="8"/>
      <c r="AA393" s="8"/>
    </row>
    <row r="394" spans="1:27" s="46" customFormat="1" x14ac:dyDescent="0.25">
      <c r="A394" s="8"/>
      <c r="B394" s="9"/>
      <c r="C394" s="2"/>
      <c r="D394" s="11"/>
      <c r="E394" s="9"/>
      <c r="F394" s="10"/>
      <c r="G394" s="10"/>
      <c r="H394" s="30"/>
      <c r="I394" s="30"/>
      <c r="J394" s="30"/>
      <c r="K394" s="30"/>
      <c r="L394" s="30"/>
      <c r="M394" s="30"/>
      <c r="N394" s="30"/>
      <c r="O394" s="9"/>
      <c r="P394" s="9"/>
      <c r="Q394" s="8"/>
      <c r="R394" s="8"/>
      <c r="S394" s="12"/>
      <c r="T394" s="29"/>
      <c r="U394" s="29"/>
      <c r="V394" s="29"/>
      <c r="W394" s="29"/>
      <c r="X394" s="8"/>
      <c r="Y394" s="29"/>
      <c r="Z394" s="8"/>
      <c r="AA394" s="8"/>
    </row>
    <row r="395" spans="1:27" s="46" customFormat="1" x14ac:dyDescent="0.25">
      <c r="A395" s="8"/>
      <c r="B395" s="9"/>
      <c r="C395" s="2"/>
      <c r="D395" s="11"/>
      <c r="E395" s="9"/>
      <c r="F395" s="10"/>
      <c r="G395" s="10"/>
      <c r="H395" s="30"/>
      <c r="I395" s="30"/>
      <c r="J395" s="30"/>
      <c r="K395" s="30"/>
      <c r="L395" s="30"/>
      <c r="M395" s="30"/>
      <c r="N395" s="30"/>
      <c r="O395" s="9"/>
      <c r="P395" s="9"/>
      <c r="Q395" s="8"/>
      <c r="R395" s="8"/>
      <c r="S395" s="12"/>
      <c r="T395" s="29"/>
      <c r="U395" s="29"/>
      <c r="V395" s="29"/>
      <c r="W395" s="29"/>
      <c r="X395" s="8"/>
      <c r="Y395" s="29"/>
      <c r="Z395" s="8"/>
      <c r="AA395" s="8"/>
    </row>
    <row r="396" spans="1:27" s="46" customFormat="1" x14ac:dyDescent="0.25">
      <c r="A396" s="8"/>
      <c r="B396" s="9"/>
      <c r="C396" s="2"/>
      <c r="D396" s="11"/>
      <c r="E396" s="9"/>
      <c r="F396" s="10"/>
      <c r="G396" s="10"/>
      <c r="H396" s="30"/>
      <c r="I396" s="30"/>
      <c r="J396" s="30"/>
      <c r="K396" s="30"/>
      <c r="L396" s="30"/>
      <c r="M396" s="30"/>
      <c r="N396" s="30"/>
      <c r="O396" s="9"/>
      <c r="P396" s="9"/>
      <c r="Q396" s="8"/>
      <c r="R396" s="8"/>
      <c r="S396" s="12"/>
      <c r="T396" s="29"/>
      <c r="U396" s="29"/>
      <c r="V396" s="29"/>
      <c r="W396" s="29"/>
      <c r="X396" s="8"/>
      <c r="Y396" s="29"/>
      <c r="Z396" s="8"/>
      <c r="AA396" s="8"/>
    </row>
    <row r="397" spans="1:27" s="46" customFormat="1" x14ac:dyDescent="0.25">
      <c r="A397" s="8"/>
      <c r="B397" s="9"/>
      <c r="C397" s="2"/>
      <c r="D397" s="11"/>
      <c r="E397" s="9"/>
      <c r="F397" s="10"/>
      <c r="G397" s="10"/>
      <c r="H397" s="30"/>
      <c r="I397" s="30"/>
      <c r="J397" s="30"/>
      <c r="K397" s="30"/>
      <c r="L397" s="30"/>
      <c r="M397" s="30"/>
      <c r="N397" s="30"/>
      <c r="O397" s="9"/>
      <c r="P397" s="9"/>
      <c r="Q397" s="8"/>
      <c r="R397" s="8"/>
      <c r="S397" s="12"/>
      <c r="T397" s="29"/>
      <c r="U397" s="29"/>
      <c r="V397" s="29"/>
      <c r="W397" s="29"/>
      <c r="X397" s="8"/>
      <c r="Y397" s="29"/>
      <c r="Z397" s="8"/>
      <c r="AA397" s="8"/>
    </row>
    <row r="398" spans="1:27" s="46" customFormat="1" x14ac:dyDescent="0.25">
      <c r="A398" s="8"/>
      <c r="B398" s="9"/>
      <c r="C398" s="2"/>
      <c r="D398" s="11"/>
      <c r="E398" s="9"/>
      <c r="F398" s="10"/>
      <c r="G398" s="10"/>
      <c r="H398" s="30"/>
      <c r="I398" s="30"/>
      <c r="J398" s="30"/>
      <c r="K398" s="30"/>
      <c r="L398" s="30"/>
      <c r="M398" s="30"/>
      <c r="N398" s="30"/>
      <c r="O398" s="9"/>
      <c r="P398" s="9"/>
      <c r="Q398" s="8"/>
      <c r="R398" s="8"/>
      <c r="S398" s="12"/>
      <c r="T398" s="29"/>
      <c r="U398" s="29"/>
      <c r="V398" s="29"/>
      <c r="W398" s="29"/>
      <c r="X398" s="8"/>
      <c r="Y398" s="29"/>
      <c r="Z398" s="8"/>
      <c r="AA398" s="8"/>
    </row>
    <row r="399" spans="1:27" s="46" customFormat="1" x14ac:dyDescent="0.25">
      <c r="A399" s="8"/>
      <c r="B399" s="9"/>
      <c r="C399" s="2"/>
      <c r="D399" s="11"/>
      <c r="E399" s="9"/>
      <c r="F399" s="10"/>
      <c r="G399" s="10"/>
      <c r="H399" s="30"/>
      <c r="I399" s="30"/>
      <c r="J399" s="30"/>
      <c r="K399" s="30"/>
      <c r="L399" s="30"/>
      <c r="M399" s="30"/>
      <c r="N399" s="30"/>
      <c r="O399" s="9"/>
      <c r="P399" s="9"/>
      <c r="Q399" s="8"/>
      <c r="R399" s="8"/>
      <c r="S399" s="12"/>
      <c r="T399" s="29"/>
      <c r="U399" s="29"/>
      <c r="V399" s="29"/>
      <c r="W399" s="29"/>
      <c r="X399" s="8"/>
      <c r="Y399" s="29"/>
      <c r="Z399" s="8"/>
      <c r="AA399" s="8"/>
    </row>
    <row r="400" spans="1:27" s="46" customFormat="1" x14ac:dyDescent="0.25">
      <c r="A400" s="8"/>
      <c r="B400" s="9"/>
      <c r="C400" s="2"/>
      <c r="D400" s="11"/>
      <c r="E400" s="9"/>
      <c r="F400" s="10"/>
      <c r="G400" s="10"/>
      <c r="H400" s="30"/>
      <c r="I400" s="30"/>
      <c r="J400" s="30"/>
      <c r="K400" s="30"/>
      <c r="L400" s="30"/>
      <c r="M400" s="30"/>
      <c r="N400" s="30"/>
      <c r="O400" s="9"/>
      <c r="P400" s="9"/>
      <c r="Q400" s="8"/>
      <c r="R400" s="8"/>
      <c r="S400" s="12"/>
      <c r="T400" s="29"/>
      <c r="U400" s="29"/>
      <c r="V400" s="29"/>
      <c r="W400" s="29"/>
      <c r="X400" s="8"/>
      <c r="Y400" s="29"/>
      <c r="Z400" s="8"/>
      <c r="AA400" s="8"/>
    </row>
    <row r="401" spans="1:27" s="46" customFormat="1" x14ac:dyDescent="0.25">
      <c r="A401" s="8"/>
      <c r="B401" s="9"/>
      <c r="C401" s="2"/>
      <c r="D401" s="11"/>
      <c r="E401" s="9"/>
      <c r="F401" s="10"/>
      <c r="G401" s="10"/>
      <c r="H401" s="30"/>
      <c r="I401" s="30"/>
      <c r="J401" s="30"/>
      <c r="K401" s="30"/>
      <c r="L401" s="30"/>
      <c r="M401" s="30"/>
      <c r="N401" s="30"/>
      <c r="O401" s="9"/>
      <c r="P401" s="9"/>
      <c r="Q401" s="8"/>
      <c r="R401" s="8"/>
      <c r="S401" s="12"/>
      <c r="T401" s="29"/>
      <c r="U401" s="29"/>
      <c r="V401" s="29"/>
      <c r="W401" s="29"/>
      <c r="X401" s="8"/>
      <c r="Y401" s="29"/>
      <c r="Z401" s="8"/>
      <c r="AA401" s="8"/>
    </row>
    <row r="402" spans="1:27" s="46" customFormat="1" x14ac:dyDescent="0.25">
      <c r="A402" s="8"/>
      <c r="B402" s="9"/>
      <c r="C402" s="2"/>
      <c r="D402" s="11"/>
      <c r="E402" s="9"/>
      <c r="F402" s="10"/>
      <c r="G402" s="10"/>
      <c r="H402" s="30"/>
      <c r="I402" s="30"/>
      <c r="J402" s="30"/>
      <c r="K402" s="30"/>
      <c r="L402" s="30"/>
      <c r="M402" s="30"/>
      <c r="N402" s="30"/>
      <c r="O402" s="9"/>
      <c r="P402" s="9"/>
      <c r="Q402" s="8"/>
      <c r="R402" s="8"/>
      <c r="S402" s="12"/>
      <c r="T402" s="29"/>
      <c r="U402" s="29"/>
      <c r="V402" s="29"/>
      <c r="W402" s="29"/>
      <c r="X402" s="8"/>
      <c r="Y402" s="29"/>
      <c r="Z402" s="8"/>
      <c r="AA402" s="8"/>
    </row>
    <row r="403" spans="1:27" s="46" customFormat="1" x14ac:dyDescent="0.25">
      <c r="A403" s="8"/>
      <c r="B403" s="9"/>
      <c r="C403" s="2"/>
      <c r="D403" s="11"/>
      <c r="E403" s="9"/>
      <c r="F403" s="10"/>
      <c r="G403" s="10"/>
      <c r="H403" s="30"/>
      <c r="I403" s="30"/>
      <c r="J403" s="30"/>
      <c r="K403" s="30"/>
      <c r="L403" s="30"/>
      <c r="M403" s="30"/>
      <c r="N403" s="30"/>
      <c r="O403" s="9"/>
      <c r="P403" s="9"/>
      <c r="Q403" s="8"/>
      <c r="R403" s="8"/>
      <c r="S403" s="12"/>
      <c r="T403" s="29"/>
      <c r="U403" s="29"/>
      <c r="V403" s="29"/>
      <c r="W403" s="29"/>
      <c r="X403" s="8"/>
      <c r="Y403" s="29"/>
      <c r="Z403" s="8"/>
      <c r="AA403" s="8"/>
    </row>
    <row r="404" spans="1:27" s="46" customFormat="1" x14ac:dyDescent="0.25">
      <c r="A404" s="8"/>
      <c r="B404" s="9"/>
      <c r="C404" s="2"/>
      <c r="D404" s="11"/>
      <c r="E404" s="9"/>
      <c r="F404" s="10"/>
      <c r="G404" s="10"/>
      <c r="H404" s="30"/>
      <c r="I404" s="30"/>
      <c r="J404" s="30"/>
      <c r="K404" s="30"/>
      <c r="L404" s="30"/>
      <c r="M404" s="30"/>
      <c r="N404" s="30"/>
      <c r="O404" s="9"/>
      <c r="P404" s="9"/>
      <c r="Q404" s="8"/>
      <c r="R404" s="8"/>
      <c r="S404" s="12"/>
      <c r="T404" s="29"/>
      <c r="U404" s="29"/>
      <c r="V404" s="29"/>
      <c r="W404" s="29"/>
      <c r="X404" s="8"/>
      <c r="Y404" s="29"/>
      <c r="Z404" s="8"/>
      <c r="AA404" s="8"/>
    </row>
    <row r="405" spans="1:27" s="46" customFormat="1" x14ac:dyDescent="0.25">
      <c r="A405" s="8"/>
      <c r="B405" s="9"/>
      <c r="C405" s="2"/>
      <c r="D405" s="11"/>
      <c r="E405" s="9"/>
      <c r="F405" s="10"/>
      <c r="G405" s="10"/>
      <c r="H405" s="30"/>
      <c r="I405" s="30"/>
      <c r="J405" s="30"/>
      <c r="K405" s="30"/>
      <c r="L405" s="30"/>
      <c r="M405" s="30"/>
      <c r="N405" s="30"/>
      <c r="O405" s="9"/>
      <c r="P405" s="9"/>
      <c r="Q405" s="8"/>
      <c r="R405" s="8"/>
      <c r="S405" s="12"/>
      <c r="T405" s="29"/>
      <c r="U405" s="29"/>
      <c r="V405" s="29"/>
      <c r="W405" s="29"/>
      <c r="X405" s="8"/>
      <c r="Y405" s="29"/>
      <c r="Z405" s="8"/>
      <c r="AA405" s="8"/>
    </row>
    <row r="406" spans="1:27" s="46" customFormat="1" x14ac:dyDescent="0.25">
      <c r="A406" s="8"/>
      <c r="B406" s="9"/>
      <c r="C406" s="2"/>
      <c r="D406" s="11"/>
      <c r="E406" s="9"/>
      <c r="F406" s="10"/>
      <c r="G406" s="10"/>
      <c r="H406" s="30"/>
      <c r="I406" s="30"/>
      <c r="J406" s="30"/>
      <c r="K406" s="30"/>
      <c r="L406" s="30"/>
      <c r="M406" s="30"/>
      <c r="N406" s="30"/>
      <c r="O406" s="9"/>
      <c r="P406" s="9"/>
      <c r="Q406" s="8"/>
      <c r="R406" s="8"/>
      <c r="S406" s="12"/>
      <c r="T406" s="29"/>
      <c r="U406" s="29"/>
      <c r="V406" s="29"/>
      <c r="W406" s="29"/>
      <c r="X406" s="8"/>
      <c r="Y406" s="29"/>
      <c r="Z406" s="8"/>
      <c r="AA406" s="8"/>
    </row>
    <row r="407" spans="1:27" s="46" customFormat="1" x14ac:dyDescent="0.25">
      <c r="A407" s="8"/>
      <c r="B407" s="9"/>
      <c r="C407" s="2"/>
      <c r="D407" s="11"/>
      <c r="E407" s="9"/>
      <c r="F407" s="10"/>
      <c r="G407" s="10"/>
      <c r="H407" s="30"/>
      <c r="I407" s="30"/>
      <c r="J407" s="30"/>
      <c r="K407" s="30"/>
      <c r="L407" s="30"/>
      <c r="M407" s="30"/>
      <c r="N407" s="30"/>
      <c r="O407" s="9"/>
      <c r="P407" s="9"/>
      <c r="Q407" s="8"/>
      <c r="R407" s="8"/>
      <c r="S407" s="12"/>
      <c r="T407" s="29"/>
      <c r="U407" s="29"/>
      <c r="V407" s="29"/>
      <c r="W407" s="29"/>
      <c r="X407" s="8"/>
      <c r="Y407" s="29"/>
      <c r="Z407" s="8"/>
      <c r="AA407" s="8"/>
    </row>
    <row r="408" spans="1:27" s="46" customFormat="1" x14ac:dyDescent="0.25">
      <c r="A408" s="8"/>
      <c r="B408" s="9"/>
      <c r="C408" s="2"/>
      <c r="D408" s="11"/>
      <c r="E408" s="9"/>
      <c r="F408" s="10"/>
      <c r="G408" s="10"/>
      <c r="H408" s="30"/>
      <c r="I408" s="30"/>
      <c r="J408" s="30"/>
      <c r="K408" s="30"/>
      <c r="L408" s="30"/>
      <c r="M408" s="30"/>
      <c r="N408" s="30"/>
      <c r="O408" s="9"/>
      <c r="P408" s="9"/>
      <c r="Q408" s="8"/>
      <c r="R408" s="8"/>
      <c r="S408" s="12"/>
      <c r="T408" s="29"/>
      <c r="U408" s="29"/>
      <c r="V408" s="29"/>
      <c r="W408" s="29"/>
      <c r="X408" s="8"/>
      <c r="Y408" s="29"/>
      <c r="Z408" s="8"/>
      <c r="AA408" s="8"/>
    </row>
    <row r="409" spans="1:27" s="46" customFormat="1" x14ac:dyDescent="0.25">
      <c r="A409" s="8"/>
      <c r="B409" s="9"/>
      <c r="C409" s="2"/>
      <c r="D409" s="11"/>
      <c r="E409" s="9"/>
      <c r="F409" s="10"/>
      <c r="G409" s="10"/>
      <c r="H409" s="30"/>
      <c r="I409" s="30"/>
      <c r="J409" s="30"/>
      <c r="K409" s="30"/>
      <c r="L409" s="30"/>
      <c r="M409" s="30"/>
      <c r="N409" s="30"/>
      <c r="O409" s="9"/>
      <c r="P409" s="9"/>
      <c r="Q409" s="8"/>
      <c r="R409" s="8"/>
      <c r="S409" s="12"/>
      <c r="T409" s="29"/>
      <c r="U409" s="29"/>
      <c r="V409" s="29"/>
      <c r="W409" s="29"/>
      <c r="X409" s="8"/>
      <c r="Y409" s="29"/>
      <c r="Z409" s="8"/>
      <c r="AA409" s="8"/>
    </row>
    <row r="410" spans="1:27" s="46" customFormat="1" x14ac:dyDescent="0.25">
      <c r="A410" s="8"/>
      <c r="B410" s="9"/>
      <c r="C410" s="2"/>
      <c r="D410" s="11"/>
      <c r="E410" s="9"/>
      <c r="F410" s="10"/>
      <c r="G410" s="10"/>
      <c r="H410" s="30"/>
      <c r="I410" s="30"/>
      <c r="J410" s="30"/>
      <c r="K410" s="30"/>
      <c r="L410" s="30"/>
      <c r="M410" s="30"/>
      <c r="N410" s="30"/>
      <c r="O410" s="9"/>
      <c r="P410" s="9"/>
      <c r="Q410" s="8"/>
      <c r="R410" s="8"/>
      <c r="S410" s="12"/>
      <c r="T410" s="29"/>
      <c r="U410" s="29"/>
      <c r="V410" s="29"/>
      <c r="W410" s="29"/>
      <c r="X410" s="8"/>
      <c r="Y410" s="29"/>
      <c r="Z410" s="8"/>
      <c r="AA410" s="8"/>
    </row>
    <row r="411" spans="1:27" s="46" customFormat="1" x14ac:dyDescent="0.25">
      <c r="A411" s="8"/>
      <c r="B411" s="9"/>
      <c r="C411" s="2"/>
      <c r="D411" s="11"/>
      <c r="E411" s="9"/>
      <c r="F411" s="10"/>
      <c r="G411" s="10"/>
      <c r="H411" s="30"/>
      <c r="I411" s="30"/>
      <c r="J411" s="30"/>
      <c r="K411" s="30"/>
      <c r="L411" s="30"/>
      <c r="M411" s="30"/>
      <c r="N411" s="30"/>
      <c r="O411" s="9"/>
      <c r="P411" s="9"/>
      <c r="Q411" s="8"/>
      <c r="R411" s="8"/>
      <c r="S411" s="12"/>
      <c r="T411" s="29"/>
      <c r="U411" s="29"/>
      <c r="V411" s="29"/>
      <c r="W411" s="29"/>
      <c r="X411" s="8"/>
      <c r="Y411" s="29"/>
      <c r="Z411" s="8"/>
      <c r="AA411" s="8"/>
    </row>
    <row r="412" spans="1:27" s="46" customFormat="1" x14ac:dyDescent="0.25">
      <c r="A412" s="8"/>
      <c r="B412" s="9"/>
      <c r="C412" s="2"/>
      <c r="D412" s="11"/>
      <c r="E412" s="9"/>
      <c r="F412" s="10"/>
      <c r="G412" s="10"/>
      <c r="H412" s="30"/>
      <c r="I412" s="30"/>
      <c r="J412" s="30"/>
      <c r="K412" s="30"/>
      <c r="L412" s="30"/>
      <c r="M412" s="30"/>
      <c r="N412" s="30"/>
      <c r="O412" s="9"/>
      <c r="P412" s="9"/>
      <c r="Q412" s="8"/>
      <c r="R412" s="8"/>
      <c r="S412" s="12"/>
      <c r="T412" s="29"/>
      <c r="U412" s="29"/>
      <c r="V412" s="29"/>
      <c r="W412" s="29"/>
      <c r="X412" s="8"/>
      <c r="Y412" s="29"/>
      <c r="Z412" s="8"/>
      <c r="AA412" s="8"/>
    </row>
    <row r="413" spans="1:27" s="46" customFormat="1" x14ac:dyDescent="0.25">
      <c r="A413" s="8"/>
      <c r="B413" s="9"/>
      <c r="C413" s="2"/>
      <c r="D413" s="11"/>
      <c r="E413" s="9"/>
      <c r="F413" s="10"/>
      <c r="G413" s="10"/>
      <c r="H413" s="30"/>
      <c r="I413" s="30"/>
      <c r="J413" s="30"/>
      <c r="K413" s="30"/>
      <c r="L413" s="30"/>
      <c r="M413" s="30"/>
      <c r="N413" s="30"/>
      <c r="O413" s="9"/>
      <c r="P413" s="9"/>
      <c r="Q413" s="8"/>
      <c r="R413" s="8"/>
      <c r="S413" s="12"/>
      <c r="T413" s="29"/>
      <c r="U413" s="29"/>
      <c r="V413" s="29"/>
      <c r="W413" s="29"/>
      <c r="X413" s="8"/>
      <c r="Y413" s="29"/>
      <c r="Z413" s="8"/>
      <c r="AA413" s="8"/>
    </row>
    <row r="414" spans="1:27" s="46" customFormat="1" x14ac:dyDescent="0.25">
      <c r="A414" s="8"/>
      <c r="B414" s="9"/>
      <c r="C414" s="2"/>
      <c r="D414" s="11"/>
      <c r="E414" s="9"/>
      <c r="F414" s="10"/>
      <c r="G414" s="10"/>
      <c r="H414" s="30"/>
      <c r="I414" s="30"/>
      <c r="J414" s="30"/>
      <c r="K414" s="30"/>
      <c r="L414" s="30"/>
      <c r="M414" s="30"/>
      <c r="N414" s="30"/>
      <c r="O414" s="9"/>
      <c r="P414" s="9"/>
      <c r="Q414" s="8"/>
      <c r="R414" s="8"/>
      <c r="S414" s="12"/>
      <c r="T414" s="29"/>
      <c r="U414" s="29"/>
      <c r="V414" s="29"/>
      <c r="W414" s="29"/>
      <c r="X414" s="8"/>
      <c r="Y414" s="29"/>
      <c r="Z414" s="8"/>
      <c r="AA414" s="8"/>
    </row>
    <row r="415" spans="1:27" s="46" customFormat="1" x14ac:dyDescent="0.25">
      <c r="A415" s="8"/>
      <c r="B415" s="9"/>
      <c r="C415" s="2"/>
      <c r="D415" s="11"/>
      <c r="E415" s="9"/>
      <c r="F415" s="10"/>
      <c r="G415" s="10"/>
      <c r="H415" s="30"/>
      <c r="I415" s="30"/>
      <c r="J415" s="30"/>
      <c r="K415" s="30"/>
      <c r="L415" s="30"/>
      <c r="M415" s="30"/>
      <c r="N415" s="30"/>
      <c r="O415" s="9"/>
      <c r="P415" s="9"/>
      <c r="Q415" s="8"/>
      <c r="R415" s="8"/>
      <c r="S415" s="12"/>
      <c r="T415" s="29"/>
      <c r="U415" s="29"/>
      <c r="V415" s="29"/>
      <c r="W415" s="29"/>
      <c r="X415" s="8"/>
      <c r="Y415" s="29"/>
      <c r="Z415" s="8"/>
      <c r="AA415" s="8"/>
    </row>
    <row r="416" spans="1:27" s="46" customFormat="1" x14ac:dyDescent="0.25">
      <c r="A416" s="8"/>
      <c r="B416" s="9"/>
      <c r="C416" s="2"/>
      <c r="D416" s="11"/>
      <c r="E416" s="9"/>
      <c r="F416" s="10"/>
      <c r="G416" s="10"/>
      <c r="H416" s="30"/>
      <c r="I416" s="30"/>
      <c r="J416" s="30"/>
      <c r="K416" s="30"/>
      <c r="L416" s="30"/>
      <c r="M416" s="30"/>
      <c r="N416" s="30"/>
      <c r="O416" s="9"/>
      <c r="P416" s="9"/>
      <c r="Q416" s="8"/>
      <c r="R416" s="8"/>
      <c r="S416" s="12"/>
      <c r="T416" s="29"/>
      <c r="U416" s="29"/>
      <c r="V416" s="29"/>
      <c r="W416" s="29"/>
      <c r="X416" s="8"/>
      <c r="Y416" s="29"/>
      <c r="Z416" s="8"/>
      <c r="AA416" s="8"/>
    </row>
    <row r="417" spans="1:27" s="46" customFormat="1" x14ac:dyDescent="0.25">
      <c r="A417" s="8"/>
      <c r="B417" s="9"/>
      <c r="C417" s="2"/>
      <c r="D417" s="11"/>
      <c r="E417" s="9"/>
      <c r="F417" s="10"/>
      <c r="G417" s="10"/>
      <c r="H417" s="30"/>
      <c r="I417" s="30"/>
      <c r="J417" s="30"/>
      <c r="K417" s="30"/>
      <c r="L417" s="30"/>
      <c r="M417" s="30"/>
      <c r="N417" s="30"/>
      <c r="O417" s="9"/>
      <c r="P417" s="9"/>
      <c r="Q417" s="8"/>
      <c r="R417" s="8"/>
      <c r="S417" s="12"/>
      <c r="T417" s="29"/>
      <c r="U417" s="29"/>
      <c r="V417" s="29"/>
      <c r="W417" s="29"/>
      <c r="X417" s="8"/>
      <c r="Y417" s="29"/>
      <c r="Z417" s="8"/>
      <c r="AA417" s="8"/>
    </row>
    <row r="418" spans="1:27" s="46" customFormat="1" x14ac:dyDescent="0.25">
      <c r="A418" s="8"/>
      <c r="B418" s="9"/>
      <c r="C418" s="2"/>
      <c r="D418" s="11"/>
      <c r="E418" s="9"/>
      <c r="F418" s="10"/>
      <c r="G418" s="10"/>
      <c r="H418" s="30"/>
      <c r="I418" s="30"/>
      <c r="J418" s="30"/>
      <c r="K418" s="30"/>
      <c r="L418" s="30"/>
      <c r="M418" s="30"/>
      <c r="N418" s="30"/>
      <c r="O418" s="9"/>
      <c r="P418" s="9"/>
      <c r="Q418" s="8"/>
      <c r="R418" s="8"/>
      <c r="S418" s="12"/>
      <c r="T418" s="29"/>
      <c r="U418" s="29"/>
      <c r="V418" s="29"/>
      <c r="W418" s="29"/>
      <c r="X418" s="8"/>
      <c r="Y418" s="29"/>
      <c r="Z418" s="8"/>
      <c r="AA418" s="8"/>
    </row>
    <row r="419" spans="1:27" s="46" customFormat="1" x14ac:dyDescent="0.25">
      <c r="A419" s="8"/>
      <c r="B419" s="9"/>
      <c r="C419" s="2"/>
      <c r="D419" s="11"/>
      <c r="E419" s="9"/>
      <c r="F419" s="10"/>
      <c r="G419" s="10"/>
      <c r="H419" s="30"/>
      <c r="I419" s="30"/>
      <c r="J419" s="30"/>
      <c r="K419" s="30"/>
      <c r="L419" s="30"/>
      <c r="M419" s="30"/>
      <c r="N419" s="30"/>
      <c r="O419" s="9"/>
      <c r="P419" s="9"/>
      <c r="Q419" s="8"/>
      <c r="R419" s="8"/>
      <c r="S419" s="12"/>
      <c r="T419" s="29"/>
      <c r="U419" s="29"/>
      <c r="V419" s="29"/>
      <c r="W419" s="29"/>
      <c r="X419" s="8"/>
      <c r="Y419" s="29"/>
      <c r="Z419" s="8"/>
      <c r="AA419" s="8"/>
    </row>
    <row r="420" spans="1:27" s="46" customFormat="1" x14ac:dyDescent="0.25">
      <c r="A420" s="8"/>
      <c r="B420" s="9"/>
      <c r="C420" s="2"/>
      <c r="D420" s="11"/>
      <c r="E420" s="9"/>
      <c r="F420" s="10"/>
      <c r="G420" s="10"/>
      <c r="H420" s="30"/>
      <c r="I420" s="30"/>
      <c r="J420" s="30"/>
      <c r="K420" s="30"/>
      <c r="L420" s="30"/>
      <c r="M420" s="30"/>
      <c r="N420" s="30"/>
      <c r="O420" s="9"/>
      <c r="P420" s="9"/>
      <c r="Q420" s="8"/>
      <c r="R420" s="8"/>
      <c r="S420" s="12"/>
      <c r="T420" s="29"/>
      <c r="U420" s="29"/>
      <c r="V420" s="29"/>
      <c r="W420" s="29"/>
      <c r="X420" s="8"/>
      <c r="Y420" s="29"/>
      <c r="Z420" s="8"/>
      <c r="AA420" s="8"/>
    </row>
    <row r="421" spans="1:27" s="46" customFormat="1" x14ac:dyDescent="0.25">
      <c r="A421" s="8"/>
      <c r="B421" s="9"/>
      <c r="C421" s="2"/>
      <c r="D421" s="11"/>
      <c r="E421" s="9"/>
      <c r="F421" s="10"/>
      <c r="G421" s="10"/>
      <c r="H421" s="30"/>
      <c r="I421" s="30"/>
      <c r="J421" s="30"/>
      <c r="K421" s="30"/>
      <c r="L421" s="30"/>
      <c r="M421" s="30"/>
      <c r="N421" s="30"/>
      <c r="O421" s="9"/>
      <c r="P421" s="9"/>
      <c r="Q421" s="8"/>
      <c r="R421" s="8"/>
      <c r="S421" s="12"/>
      <c r="T421" s="29"/>
      <c r="U421" s="29"/>
      <c r="V421" s="29"/>
      <c r="W421" s="29"/>
      <c r="X421" s="8"/>
      <c r="Y421" s="29"/>
      <c r="Z421" s="8"/>
      <c r="AA421" s="8"/>
    </row>
    <row r="422" spans="1:27" s="46" customFormat="1" x14ac:dyDescent="0.25">
      <c r="A422" s="8"/>
      <c r="B422" s="9"/>
      <c r="C422" s="2"/>
      <c r="D422" s="11"/>
      <c r="E422" s="9"/>
      <c r="F422" s="10"/>
      <c r="G422" s="10"/>
      <c r="H422" s="30"/>
      <c r="I422" s="30"/>
      <c r="J422" s="30"/>
      <c r="K422" s="30"/>
      <c r="L422" s="30"/>
      <c r="M422" s="30"/>
      <c r="N422" s="30"/>
      <c r="O422" s="9"/>
      <c r="P422" s="9"/>
      <c r="Q422" s="8"/>
      <c r="R422" s="8"/>
      <c r="S422" s="12"/>
      <c r="T422" s="29"/>
      <c r="U422" s="29"/>
      <c r="V422" s="29"/>
      <c r="W422" s="29"/>
      <c r="X422" s="8"/>
      <c r="Y422" s="29"/>
      <c r="Z422" s="8"/>
      <c r="AA422" s="8"/>
    </row>
    <row r="423" spans="1:27" s="46" customFormat="1" x14ac:dyDescent="0.25">
      <c r="A423" s="8"/>
      <c r="B423" s="9"/>
      <c r="C423" s="2"/>
      <c r="D423" s="11"/>
      <c r="E423" s="9"/>
      <c r="F423" s="10"/>
      <c r="G423" s="10"/>
      <c r="H423" s="30"/>
      <c r="I423" s="30"/>
      <c r="J423" s="30"/>
      <c r="K423" s="30"/>
      <c r="L423" s="30"/>
      <c r="M423" s="30"/>
      <c r="N423" s="30"/>
      <c r="O423" s="9"/>
      <c r="P423" s="9"/>
      <c r="Q423" s="8"/>
      <c r="R423" s="8"/>
      <c r="S423" s="12"/>
      <c r="T423" s="29"/>
      <c r="U423" s="29"/>
      <c r="V423" s="29"/>
      <c r="W423" s="29"/>
      <c r="X423" s="8"/>
      <c r="Y423" s="29"/>
      <c r="Z423" s="8"/>
      <c r="AA423" s="8"/>
    </row>
    <row r="424" spans="1:27" s="46" customFormat="1" x14ac:dyDescent="0.25">
      <c r="A424" s="8"/>
      <c r="B424" s="9"/>
      <c r="C424" s="2"/>
      <c r="D424" s="11"/>
      <c r="E424" s="9"/>
      <c r="F424" s="10"/>
      <c r="G424" s="10"/>
      <c r="H424" s="30"/>
      <c r="I424" s="30"/>
      <c r="J424" s="30"/>
      <c r="K424" s="30"/>
      <c r="L424" s="30"/>
      <c r="M424" s="30"/>
      <c r="N424" s="30"/>
      <c r="O424" s="9"/>
      <c r="P424" s="9"/>
      <c r="Q424" s="8"/>
      <c r="R424" s="8"/>
      <c r="S424" s="12"/>
      <c r="T424" s="29"/>
      <c r="U424" s="29"/>
      <c r="V424" s="29"/>
      <c r="W424" s="29"/>
      <c r="X424" s="8"/>
      <c r="Y424" s="29"/>
      <c r="Z424" s="8"/>
      <c r="AA424" s="8"/>
    </row>
    <row r="425" spans="1:27" s="46" customFormat="1" x14ac:dyDescent="0.25">
      <c r="A425" s="8"/>
      <c r="B425" s="9"/>
      <c r="C425" s="2"/>
      <c r="D425" s="11"/>
      <c r="E425" s="9"/>
      <c r="F425" s="10"/>
      <c r="G425" s="10"/>
      <c r="H425" s="30"/>
      <c r="I425" s="30"/>
      <c r="J425" s="30"/>
      <c r="K425" s="30"/>
      <c r="L425" s="30"/>
      <c r="M425" s="30"/>
      <c r="N425" s="30"/>
      <c r="O425" s="9"/>
      <c r="P425" s="9"/>
      <c r="Q425" s="8"/>
      <c r="R425" s="8"/>
      <c r="S425" s="12"/>
      <c r="T425" s="29"/>
      <c r="U425" s="29"/>
      <c r="V425" s="29"/>
      <c r="W425" s="29"/>
      <c r="X425" s="8"/>
      <c r="Y425" s="29"/>
      <c r="Z425" s="8"/>
      <c r="AA425" s="8"/>
    </row>
    <row r="426" spans="1:27" s="46" customFormat="1" x14ac:dyDescent="0.25">
      <c r="A426" s="8"/>
      <c r="B426" s="9"/>
      <c r="C426" s="2"/>
      <c r="D426" s="11"/>
      <c r="E426" s="9"/>
      <c r="F426" s="10"/>
      <c r="G426" s="10"/>
      <c r="H426" s="30"/>
      <c r="I426" s="30"/>
      <c r="J426" s="30"/>
      <c r="K426" s="30"/>
      <c r="L426" s="30"/>
      <c r="M426" s="30"/>
      <c r="N426" s="30"/>
      <c r="O426" s="9"/>
      <c r="P426" s="9"/>
      <c r="Q426" s="8"/>
      <c r="R426" s="8"/>
      <c r="S426" s="12"/>
      <c r="T426" s="29"/>
      <c r="U426" s="29"/>
      <c r="V426" s="29"/>
      <c r="W426" s="29"/>
      <c r="X426" s="8"/>
      <c r="Y426" s="29"/>
      <c r="Z426" s="8"/>
      <c r="AA426" s="8"/>
    </row>
    <row r="427" spans="1:27" s="46" customFormat="1" x14ac:dyDescent="0.25">
      <c r="A427" s="8"/>
      <c r="B427" s="9"/>
      <c r="C427" s="2"/>
      <c r="D427" s="11"/>
      <c r="E427" s="9"/>
      <c r="F427" s="10"/>
      <c r="G427" s="10"/>
      <c r="H427" s="30"/>
      <c r="I427" s="30"/>
      <c r="J427" s="30"/>
      <c r="K427" s="30"/>
      <c r="L427" s="30"/>
      <c r="M427" s="30"/>
      <c r="N427" s="30"/>
      <c r="O427" s="9"/>
      <c r="P427" s="9"/>
      <c r="Q427" s="8"/>
      <c r="R427" s="8"/>
      <c r="S427" s="12"/>
      <c r="T427" s="29"/>
      <c r="U427" s="29"/>
      <c r="V427" s="29"/>
      <c r="W427" s="29"/>
      <c r="X427" s="8"/>
      <c r="Y427" s="29"/>
      <c r="Z427" s="8"/>
      <c r="AA427" s="8"/>
    </row>
    <row r="428" spans="1:27" s="46" customFormat="1" x14ac:dyDescent="0.25">
      <c r="A428" s="8"/>
      <c r="B428" s="9"/>
      <c r="C428" s="2"/>
      <c r="D428" s="11"/>
      <c r="E428" s="9"/>
      <c r="F428" s="10"/>
      <c r="G428" s="10"/>
      <c r="H428" s="30"/>
      <c r="I428" s="30"/>
      <c r="J428" s="30"/>
      <c r="K428" s="30"/>
      <c r="L428" s="30"/>
      <c r="M428" s="30"/>
      <c r="N428" s="30"/>
      <c r="O428" s="9"/>
      <c r="P428" s="9"/>
      <c r="Q428" s="8"/>
      <c r="R428" s="8"/>
      <c r="S428" s="12"/>
      <c r="T428" s="29"/>
      <c r="U428" s="29"/>
      <c r="V428" s="29"/>
      <c r="W428" s="29"/>
      <c r="X428" s="8"/>
      <c r="Y428" s="29"/>
      <c r="Z428" s="8"/>
      <c r="AA428" s="8"/>
    </row>
    <row r="429" spans="1:27" s="46" customFormat="1" x14ac:dyDescent="0.25">
      <c r="A429" s="8"/>
      <c r="B429" s="9"/>
      <c r="C429" s="2"/>
      <c r="D429" s="11"/>
      <c r="E429" s="9"/>
      <c r="F429" s="10"/>
      <c r="G429" s="10"/>
      <c r="H429" s="30"/>
      <c r="I429" s="30"/>
      <c r="J429" s="30"/>
      <c r="K429" s="30"/>
      <c r="L429" s="30"/>
      <c r="M429" s="30"/>
      <c r="N429" s="30"/>
      <c r="O429" s="9"/>
      <c r="P429" s="9"/>
      <c r="Q429" s="8"/>
      <c r="R429" s="8"/>
      <c r="S429" s="12"/>
      <c r="T429" s="29"/>
      <c r="U429" s="29"/>
      <c r="V429" s="29"/>
      <c r="W429" s="29"/>
      <c r="X429" s="8"/>
      <c r="Y429" s="29"/>
      <c r="Z429" s="8"/>
      <c r="AA429" s="8"/>
    </row>
    <row r="430" spans="1:27" s="46" customFormat="1" x14ac:dyDescent="0.25">
      <c r="A430" s="8"/>
      <c r="B430" s="9"/>
      <c r="C430" s="2"/>
      <c r="D430" s="11"/>
      <c r="E430" s="9"/>
      <c r="F430" s="10"/>
      <c r="G430" s="10"/>
      <c r="H430" s="30"/>
      <c r="I430" s="30"/>
      <c r="J430" s="30"/>
      <c r="K430" s="30"/>
      <c r="L430" s="30"/>
      <c r="M430" s="30"/>
      <c r="N430" s="30"/>
      <c r="O430" s="9"/>
      <c r="P430" s="9"/>
      <c r="Q430" s="8"/>
      <c r="R430" s="8"/>
      <c r="S430" s="12"/>
      <c r="T430" s="29"/>
      <c r="U430" s="29"/>
      <c r="V430" s="29"/>
      <c r="W430" s="29"/>
      <c r="X430" s="8"/>
      <c r="Y430" s="29"/>
      <c r="Z430" s="8"/>
      <c r="AA430" s="8"/>
    </row>
    <row r="431" spans="1:27" s="46" customFormat="1" x14ac:dyDescent="0.25">
      <c r="A431" s="8"/>
      <c r="B431" s="9"/>
      <c r="C431" s="2"/>
      <c r="D431" s="11"/>
      <c r="E431" s="9"/>
      <c r="F431" s="10"/>
      <c r="G431" s="10"/>
      <c r="H431" s="30"/>
      <c r="I431" s="30"/>
      <c r="J431" s="30"/>
      <c r="K431" s="30"/>
      <c r="L431" s="30"/>
      <c r="M431" s="30"/>
      <c r="N431" s="30"/>
      <c r="O431" s="9"/>
      <c r="P431" s="9"/>
      <c r="Q431" s="8"/>
      <c r="R431" s="8"/>
      <c r="S431" s="12"/>
      <c r="T431" s="29"/>
      <c r="U431" s="29"/>
      <c r="V431" s="29"/>
      <c r="W431" s="29"/>
      <c r="X431" s="8"/>
      <c r="Y431" s="29"/>
      <c r="Z431" s="8"/>
      <c r="AA431" s="8"/>
    </row>
    <row r="432" spans="1:27" s="46" customFormat="1" x14ac:dyDescent="0.25">
      <c r="A432" s="8"/>
      <c r="B432" s="9"/>
      <c r="C432" s="2"/>
      <c r="D432" s="11"/>
      <c r="E432" s="9"/>
      <c r="F432" s="10"/>
      <c r="G432" s="10"/>
      <c r="H432" s="30"/>
      <c r="I432" s="30"/>
      <c r="J432" s="30"/>
      <c r="K432" s="30"/>
      <c r="L432" s="30"/>
      <c r="M432" s="30"/>
      <c r="N432" s="30"/>
      <c r="O432" s="9"/>
      <c r="P432" s="9"/>
      <c r="Q432" s="8"/>
      <c r="R432" s="8"/>
      <c r="S432" s="12"/>
      <c r="T432" s="29"/>
      <c r="U432" s="29"/>
      <c r="V432" s="29"/>
      <c r="W432" s="29"/>
      <c r="X432" s="8"/>
      <c r="Y432" s="29"/>
      <c r="Z432" s="8"/>
      <c r="AA432" s="8"/>
    </row>
    <row r="433" spans="1:27" s="46" customFormat="1" x14ac:dyDescent="0.25">
      <c r="A433" s="8"/>
      <c r="B433" s="9"/>
      <c r="C433" s="2"/>
      <c r="D433" s="11"/>
      <c r="E433" s="9"/>
      <c r="F433" s="10"/>
      <c r="G433" s="10"/>
      <c r="H433" s="30"/>
      <c r="I433" s="30"/>
      <c r="J433" s="30"/>
      <c r="K433" s="30"/>
      <c r="L433" s="30"/>
      <c r="M433" s="30"/>
      <c r="N433" s="30"/>
      <c r="O433" s="9"/>
      <c r="P433" s="9"/>
      <c r="Q433" s="8"/>
      <c r="R433" s="8"/>
      <c r="S433" s="12"/>
      <c r="T433" s="29"/>
      <c r="U433" s="29"/>
      <c r="V433" s="29"/>
      <c r="W433" s="29"/>
      <c r="X433" s="8"/>
      <c r="Y433" s="29"/>
      <c r="Z433" s="8"/>
      <c r="AA433" s="8"/>
    </row>
    <row r="434" spans="1:27" s="46" customFormat="1" x14ac:dyDescent="0.25">
      <c r="A434" s="8"/>
      <c r="B434" s="9"/>
      <c r="C434" s="2"/>
      <c r="D434" s="11"/>
      <c r="E434" s="9"/>
      <c r="F434" s="10"/>
      <c r="G434" s="10"/>
      <c r="H434" s="30"/>
      <c r="I434" s="30"/>
      <c r="J434" s="30"/>
      <c r="K434" s="30"/>
      <c r="L434" s="30"/>
      <c r="M434" s="30"/>
      <c r="N434" s="30"/>
      <c r="O434" s="9"/>
      <c r="P434" s="9"/>
      <c r="Q434" s="8"/>
      <c r="R434" s="8"/>
      <c r="S434" s="12"/>
      <c r="T434" s="29"/>
      <c r="U434" s="29"/>
      <c r="V434" s="29"/>
      <c r="W434" s="29"/>
      <c r="X434" s="8"/>
      <c r="Y434" s="29"/>
      <c r="Z434" s="8"/>
      <c r="AA434" s="8"/>
    </row>
    <row r="435" spans="1:27" s="46" customFormat="1" x14ac:dyDescent="0.25">
      <c r="A435" s="8"/>
      <c r="B435" s="9"/>
      <c r="C435" s="2"/>
      <c r="D435" s="11"/>
      <c r="E435" s="9"/>
      <c r="F435" s="10"/>
      <c r="G435" s="10"/>
      <c r="H435" s="30"/>
      <c r="I435" s="30"/>
      <c r="J435" s="30"/>
      <c r="K435" s="30"/>
      <c r="L435" s="30"/>
      <c r="M435" s="30"/>
      <c r="N435" s="30"/>
      <c r="O435" s="9"/>
      <c r="P435" s="9"/>
      <c r="Q435" s="8"/>
      <c r="R435" s="8"/>
      <c r="S435" s="12"/>
      <c r="T435" s="29"/>
      <c r="U435" s="29"/>
      <c r="V435" s="29"/>
      <c r="W435" s="29"/>
      <c r="X435" s="8"/>
      <c r="Y435" s="29"/>
      <c r="Z435" s="8"/>
      <c r="AA435" s="8"/>
    </row>
    <row r="436" spans="1:27" s="46" customFormat="1" x14ac:dyDescent="0.25">
      <c r="A436" s="8"/>
      <c r="B436" s="9"/>
      <c r="C436" s="2"/>
      <c r="D436" s="11"/>
      <c r="E436" s="9"/>
      <c r="F436" s="10"/>
      <c r="G436" s="10"/>
      <c r="H436" s="30"/>
      <c r="I436" s="30"/>
      <c r="J436" s="30"/>
      <c r="K436" s="30"/>
      <c r="L436" s="30"/>
      <c r="M436" s="30"/>
      <c r="N436" s="30"/>
      <c r="O436" s="9"/>
      <c r="P436" s="9"/>
      <c r="Q436" s="8"/>
      <c r="R436" s="8"/>
      <c r="S436" s="12"/>
      <c r="T436" s="29"/>
      <c r="U436" s="29"/>
      <c r="V436" s="29"/>
      <c r="W436" s="29"/>
      <c r="X436" s="8"/>
      <c r="Y436" s="29"/>
      <c r="Z436" s="8"/>
      <c r="AA436" s="8"/>
    </row>
    <row r="437" spans="1:27" s="46" customFormat="1" x14ac:dyDescent="0.25">
      <c r="A437" s="8"/>
      <c r="B437" s="9"/>
      <c r="C437" s="2"/>
      <c r="D437" s="11"/>
      <c r="E437" s="9"/>
      <c r="F437" s="10"/>
      <c r="G437" s="10"/>
      <c r="H437" s="30"/>
      <c r="I437" s="30"/>
      <c r="J437" s="30"/>
      <c r="K437" s="30"/>
      <c r="L437" s="30"/>
      <c r="M437" s="30"/>
      <c r="N437" s="30"/>
      <c r="O437" s="9"/>
      <c r="P437" s="9"/>
      <c r="Q437" s="8"/>
      <c r="R437" s="8"/>
      <c r="S437" s="12"/>
      <c r="T437" s="29"/>
      <c r="U437" s="29"/>
      <c r="V437" s="29"/>
      <c r="W437" s="29"/>
      <c r="X437" s="8"/>
      <c r="Y437" s="29"/>
      <c r="Z437" s="8"/>
      <c r="AA437" s="8"/>
    </row>
    <row r="438" spans="1:27" s="46" customFormat="1" x14ac:dyDescent="0.25">
      <c r="A438" s="8"/>
      <c r="B438" s="9"/>
      <c r="C438" s="2"/>
      <c r="D438" s="11"/>
      <c r="E438" s="9"/>
      <c r="F438" s="10"/>
      <c r="G438" s="10"/>
      <c r="H438" s="30"/>
      <c r="I438" s="30"/>
      <c r="J438" s="30"/>
      <c r="K438" s="30"/>
      <c r="L438" s="30"/>
      <c r="M438" s="30"/>
      <c r="N438" s="30"/>
      <c r="O438" s="9"/>
      <c r="P438" s="9"/>
      <c r="Q438" s="8"/>
      <c r="R438" s="8"/>
      <c r="S438" s="12"/>
      <c r="T438" s="29"/>
      <c r="U438" s="29"/>
      <c r="V438" s="29"/>
      <c r="W438" s="29"/>
      <c r="X438" s="8"/>
      <c r="Y438" s="29"/>
      <c r="Z438" s="8"/>
      <c r="AA438" s="8"/>
    </row>
    <row r="439" spans="1:27" s="46" customFormat="1" x14ac:dyDescent="0.25">
      <c r="A439" s="8"/>
      <c r="B439" s="9"/>
      <c r="C439" s="2"/>
      <c r="D439" s="11"/>
      <c r="E439" s="9"/>
      <c r="F439" s="10"/>
      <c r="G439" s="10"/>
      <c r="H439" s="30"/>
      <c r="I439" s="30"/>
      <c r="J439" s="30"/>
      <c r="K439" s="30"/>
      <c r="L439" s="30"/>
      <c r="M439" s="30"/>
      <c r="N439" s="30"/>
      <c r="O439" s="9"/>
      <c r="P439" s="9"/>
      <c r="Q439" s="8"/>
      <c r="R439" s="8"/>
      <c r="S439" s="12"/>
      <c r="T439" s="29"/>
      <c r="U439" s="29"/>
      <c r="V439" s="29"/>
      <c r="W439" s="29"/>
      <c r="X439" s="8"/>
      <c r="Y439" s="29"/>
      <c r="Z439" s="8"/>
      <c r="AA439" s="8"/>
    </row>
    <row r="440" spans="1:27" s="46" customFormat="1" x14ac:dyDescent="0.25">
      <c r="A440" s="8"/>
      <c r="B440" s="9"/>
      <c r="C440" s="2"/>
      <c r="D440" s="11"/>
      <c r="E440" s="9"/>
      <c r="F440" s="10"/>
      <c r="G440" s="10"/>
      <c r="H440" s="30"/>
      <c r="I440" s="30"/>
      <c r="J440" s="30"/>
      <c r="K440" s="30"/>
      <c r="L440" s="30"/>
      <c r="M440" s="30"/>
      <c r="N440" s="30"/>
      <c r="O440" s="9"/>
      <c r="P440" s="9"/>
      <c r="Q440" s="8"/>
      <c r="R440" s="8"/>
      <c r="S440" s="12"/>
      <c r="T440" s="29"/>
      <c r="U440" s="29"/>
      <c r="V440" s="29"/>
      <c r="W440" s="29"/>
      <c r="X440" s="8"/>
      <c r="Y440" s="29"/>
      <c r="Z440" s="8"/>
      <c r="AA440" s="8"/>
    </row>
    <row r="441" spans="1:27" s="46" customFormat="1" x14ac:dyDescent="0.25">
      <c r="A441" s="8"/>
      <c r="B441" s="9"/>
      <c r="C441" s="2"/>
      <c r="D441" s="11"/>
      <c r="E441" s="9"/>
      <c r="F441" s="10"/>
      <c r="G441" s="10"/>
      <c r="H441" s="30"/>
      <c r="I441" s="30"/>
      <c r="J441" s="30"/>
      <c r="K441" s="30"/>
      <c r="L441" s="30"/>
      <c r="M441" s="30"/>
      <c r="N441" s="30"/>
      <c r="O441" s="9"/>
      <c r="P441" s="9"/>
      <c r="Q441" s="8"/>
      <c r="R441" s="8"/>
      <c r="S441" s="12"/>
      <c r="T441" s="29"/>
      <c r="U441" s="29"/>
      <c r="V441" s="29"/>
      <c r="W441" s="29"/>
      <c r="X441" s="8"/>
      <c r="Y441" s="29"/>
      <c r="Z441" s="8"/>
      <c r="AA441" s="8"/>
    </row>
    <row r="442" spans="1:27" s="46" customFormat="1" x14ac:dyDescent="0.25">
      <c r="A442" s="8"/>
      <c r="B442" s="9"/>
      <c r="C442" s="2"/>
      <c r="D442" s="11"/>
      <c r="E442" s="9"/>
      <c r="F442" s="10"/>
      <c r="G442" s="10"/>
      <c r="H442" s="30"/>
      <c r="I442" s="30"/>
      <c r="J442" s="30"/>
      <c r="K442" s="30"/>
      <c r="L442" s="30"/>
      <c r="M442" s="30"/>
      <c r="N442" s="30"/>
      <c r="O442" s="9"/>
      <c r="P442" s="9"/>
      <c r="Q442" s="8"/>
      <c r="R442" s="8"/>
      <c r="S442" s="12"/>
      <c r="T442" s="29"/>
      <c r="U442" s="29"/>
      <c r="V442" s="29"/>
      <c r="W442" s="29"/>
      <c r="X442" s="8"/>
      <c r="Y442" s="29"/>
      <c r="Z442" s="8"/>
      <c r="AA442" s="8"/>
    </row>
    <row r="443" spans="1:27" s="46" customFormat="1" x14ac:dyDescent="0.25">
      <c r="A443" s="8"/>
      <c r="B443" s="9"/>
      <c r="C443" s="2"/>
      <c r="D443" s="11"/>
      <c r="E443" s="9"/>
      <c r="F443" s="10"/>
      <c r="G443" s="10"/>
      <c r="H443" s="30"/>
      <c r="I443" s="30"/>
      <c r="J443" s="30"/>
      <c r="K443" s="30"/>
      <c r="L443" s="30"/>
      <c r="M443" s="30"/>
      <c r="N443" s="30"/>
      <c r="O443" s="9"/>
      <c r="P443" s="9"/>
      <c r="Q443" s="8"/>
      <c r="R443" s="8"/>
      <c r="S443" s="12"/>
      <c r="T443" s="29"/>
      <c r="U443" s="29"/>
      <c r="V443" s="29"/>
      <c r="W443" s="29"/>
      <c r="X443" s="8"/>
      <c r="Y443" s="29"/>
      <c r="Z443" s="8"/>
      <c r="AA443" s="8"/>
    </row>
    <row r="444" spans="1:27" s="46" customFormat="1" x14ac:dyDescent="0.25">
      <c r="A444" s="8"/>
      <c r="B444" s="9"/>
      <c r="C444" s="2"/>
      <c r="D444" s="11"/>
      <c r="E444" s="9"/>
      <c r="F444" s="10"/>
      <c r="G444" s="10"/>
      <c r="H444" s="30"/>
      <c r="I444" s="30"/>
      <c r="J444" s="30"/>
      <c r="K444" s="30"/>
      <c r="L444" s="30"/>
      <c r="M444" s="30"/>
      <c r="N444" s="30"/>
      <c r="O444" s="9"/>
      <c r="P444" s="9"/>
      <c r="Q444" s="8"/>
      <c r="R444" s="8"/>
      <c r="S444" s="12"/>
      <c r="T444" s="29"/>
      <c r="U444" s="29"/>
      <c r="V444" s="29"/>
      <c r="W444" s="29"/>
      <c r="X444" s="8"/>
      <c r="Y444" s="29"/>
      <c r="Z444" s="8"/>
      <c r="AA444" s="8"/>
    </row>
    <row r="445" spans="1:27" s="46" customFormat="1" x14ac:dyDescent="0.25">
      <c r="A445" s="8"/>
      <c r="B445" s="9"/>
      <c r="C445" s="2"/>
      <c r="D445" s="11"/>
      <c r="E445" s="9"/>
      <c r="F445" s="10"/>
      <c r="G445" s="10"/>
      <c r="H445" s="30"/>
      <c r="I445" s="30"/>
      <c r="J445" s="30"/>
      <c r="K445" s="30"/>
      <c r="L445" s="30"/>
      <c r="M445" s="30"/>
      <c r="N445" s="30"/>
      <c r="O445" s="9"/>
      <c r="P445" s="9"/>
      <c r="Q445" s="8"/>
      <c r="R445" s="8"/>
      <c r="S445" s="12"/>
      <c r="T445" s="29"/>
      <c r="U445" s="29"/>
      <c r="V445" s="29"/>
      <c r="W445" s="29"/>
      <c r="X445" s="8"/>
      <c r="Y445" s="29"/>
      <c r="Z445" s="8"/>
      <c r="AA445" s="8"/>
    </row>
    <row r="446" spans="1:27" s="46" customFormat="1" x14ac:dyDescent="0.25">
      <c r="A446" s="8"/>
      <c r="B446" s="9"/>
      <c r="C446" s="2"/>
      <c r="D446" s="11"/>
      <c r="E446" s="9"/>
      <c r="F446" s="10"/>
      <c r="G446" s="10"/>
      <c r="H446" s="30"/>
      <c r="I446" s="30"/>
      <c r="J446" s="30"/>
      <c r="K446" s="30"/>
      <c r="L446" s="30"/>
      <c r="M446" s="30"/>
      <c r="N446" s="30"/>
      <c r="O446" s="9"/>
      <c r="P446" s="9"/>
      <c r="Q446" s="8"/>
      <c r="R446" s="8"/>
      <c r="S446" s="12"/>
      <c r="T446" s="29"/>
      <c r="U446" s="29"/>
      <c r="V446" s="29"/>
      <c r="W446" s="29"/>
      <c r="X446" s="8"/>
      <c r="Y446" s="29"/>
      <c r="Z446" s="8"/>
      <c r="AA446" s="8"/>
    </row>
    <row r="447" spans="1:27" s="46" customFormat="1" x14ac:dyDescent="0.25">
      <c r="A447" s="8"/>
      <c r="B447" s="9"/>
      <c r="C447" s="2"/>
      <c r="D447" s="11"/>
      <c r="E447" s="9"/>
      <c r="F447" s="10"/>
      <c r="G447" s="10"/>
      <c r="H447" s="30"/>
      <c r="I447" s="30"/>
      <c r="J447" s="30"/>
      <c r="K447" s="30"/>
      <c r="L447" s="30"/>
      <c r="M447" s="30"/>
      <c r="N447" s="30"/>
      <c r="O447" s="9"/>
      <c r="P447" s="9"/>
      <c r="Q447" s="8"/>
      <c r="R447" s="8"/>
      <c r="S447" s="12"/>
      <c r="T447" s="29"/>
      <c r="U447" s="29"/>
      <c r="V447" s="29"/>
      <c r="W447" s="29"/>
      <c r="X447" s="8"/>
      <c r="Y447" s="29"/>
      <c r="Z447" s="8"/>
      <c r="AA447" s="8"/>
    </row>
    <row r="448" spans="1:27" s="46" customFormat="1" x14ac:dyDescent="0.25">
      <c r="A448" s="8"/>
      <c r="B448" s="9"/>
      <c r="C448" s="2"/>
      <c r="D448" s="11"/>
      <c r="E448" s="9"/>
      <c r="F448" s="10"/>
      <c r="G448" s="10"/>
      <c r="H448" s="30"/>
      <c r="I448" s="30"/>
      <c r="J448" s="30"/>
      <c r="K448" s="30"/>
      <c r="L448" s="30"/>
      <c r="M448" s="30"/>
      <c r="N448" s="30"/>
      <c r="O448" s="9"/>
      <c r="P448" s="9"/>
      <c r="Q448" s="8"/>
      <c r="R448" s="8"/>
      <c r="S448" s="12"/>
      <c r="T448" s="29"/>
      <c r="U448" s="29"/>
      <c r="V448" s="29"/>
      <c r="W448" s="29"/>
      <c r="X448" s="8"/>
      <c r="Y448" s="29"/>
      <c r="Z448" s="8"/>
      <c r="AA448" s="8"/>
    </row>
    <row r="449" spans="1:27" s="46" customFormat="1" x14ac:dyDescent="0.25">
      <c r="A449" s="8"/>
      <c r="B449" s="9"/>
      <c r="C449" s="2"/>
      <c r="D449" s="11"/>
      <c r="E449" s="9"/>
      <c r="F449" s="10"/>
      <c r="G449" s="10"/>
      <c r="H449" s="30"/>
      <c r="I449" s="30"/>
      <c r="J449" s="30"/>
      <c r="K449" s="30"/>
      <c r="L449" s="30"/>
      <c r="M449" s="30"/>
      <c r="N449" s="30"/>
      <c r="O449" s="9"/>
      <c r="P449" s="9"/>
      <c r="Q449" s="8"/>
      <c r="R449" s="8"/>
      <c r="S449" s="12"/>
      <c r="T449" s="29"/>
      <c r="U449" s="29"/>
      <c r="V449" s="29"/>
      <c r="W449" s="29"/>
      <c r="X449" s="8"/>
      <c r="Y449" s="29"/>
      <c r="Z449" s="8"/>
      <c r="AA449" s="8"/>
    </row>
    <row r="450" spans="1:27" s="46" customFormat="1" x14ac:dyDescent="0.25">
      <c r="A450" s="8"/>
      <c r="B450" s="9"/>
      <c r="C450" s="2"/>
      <c r="D450" s="11"/>
      <c r="E450" s="9"/>
      <c r="F450" s="10"/>
      <c r="G450" s="10"/>
      <c r="H450" s="30"/>
      <c r="I450" s="30"/>
      <c r="J450" s="30"/>
      <c r="K450" s="30"/>
      <c r="L450" s="30"/>
      <c r="M450" s="30"/>
      <c r="N450" s="30"/>
      <c r="O450" s="9"/>
      <c r="P450" s="9"/>
      <c r="Q450" s="8"/>
      <c r="R450" s="8"/>
      <c r="S450" s="12"/>
      <c r="T450" s="29"/>
      <c r="U450" s="29"/>
      <c r="V450" s="29"/>
      <c r="W450" s="29"/>
      <c r="X450" s="8"/>
      <c r="Y450" s="29"/>
      <c r="Z450" s="8"/>
      <c r="AA450" s="8"/>
    </row>
    <row r="451" spans="1:27" s="46" customFormat="1" x14ac:dyDescent="0.25">
      <c r="A451" s="8"/>
      <c r="B451" s="9"/>
      <c r="C451" s="2"/>
      <c r="D451" s="11"/>
      <c r="E451" s="9"/>
      <c r="F451" s="10"/>
      <c r="G451" s="10"/>
      <c r="H451" s="30"/>
      <c r="I451" s="30"/>
      <c r="J451" s="30"/>
      <c r="K451" s="30"/>
      <c r="L451" s="30"/>
      <c r="M451" s="30"/>
      <c r="N451" s="30"/>
      <c r="O451" s="9"/>
      <c r="P451" s="9"/>
      <c r="Q451" s="8"/>
      <c r="R451" s="8"/>
      <c r="S451" s="12"/>
      <c r="T451" s="29"/>
      <c r="U451" s="29"/>
      <c r="V451" s="29"/>
      <c r="W451" s="29"/>
      <c r="X451" s="8"/>
      <c r="Y451" s="29"/>
      <c r="Z451" s="8"/>
      <c r="AA451" s="8"/>
    </row>
    <row r="452" spans="1:27" s="46" customFormat="1" x14ac:dyDescent="0.25">
      <c r="A452" s="8"/>
      <c r="B452" s="9"/>
      <c r="C452" s="2"/>
      <c r="D452" s="11"/>
      <c r="E452" s="9"/>
      <c r="F452" s="10"/>
      <c r="G452" s="10"/>
      <c r="H452" s="30"/>
      <c r="I452" s="30"/>
      <c r="J452" s="30"/>
      <c r="K452" s="30"/>
      <c r="L452" s="30"/>
      <c r="M452" s="30"/>
      <c r="N452" s="30"/>
      <c r="O452" s="9"/>
      <c r="P452" s="9"/>
      <c r="Q452" s="8"/>
      <c r="R452" s="8"/>
      <c r="S452" s="12"/>
      <c r="T452" s="29"/>
      <c r="U452" s="29"/>
      <c r="V452" s="29"/>
      <c r="W452" s="29"/>
      <c r="X452" s="8"/>
      <c r="Y452" s="29"/>
      <c r="Z452" s="8"/>
      <c r="AA452" s="8"/>
    </row>
    <row r="453" spans="1:27" s="46" customFormat="1" x14ac:dyDescent="0.25">
      <c r="A453" s="8"/>
      <c r="B453" s="9"/>
      <c r="C453" s="2"/>
      <c r="D453" s="11"/>
      <c r="E453" s="9"/>
      <c r="F453" s="10"/>
      <c r="G453" s="10"/>
      <c r="H453" s="30"/>
      <c r="I453" s="30"/>
      <c r="J453" s="30"/>
      <c r="K453" s="30"/>
      <c r="L453" s="30"/>
      <c r="M453" s="30"/>
      <c r="N453" s="30"/>
      <c r="O453" s="9"/>
      <c r="P453" s="9"/>
      <c r="Q453" s="8"/>
      <c r="R453" s="8"/>
      <c r="S453" s="12"/>
      <c r="T453" s="29"/>
      <c r="U453" s="29"/>
      <c r="V453" s="29"/>
      <c r="W453" s="29"/>
      <c r="X453" s="8"/>
      <c r="Y453" s="29"/>
      <c r="Z453" s="8"/>
      <c r="AA453" s="8"/>
    </row>
    <row r="454" spans="1:27" s="46" customFormat="1" x14ac:dyDescent="0.25">
      <c r="A454" s="8"/>
      <c r="B454" s="9"/>
      <c r="C454" s="2"/>
      <c r="D454" s="11"/>
      <c r="E454" s="9"/>
      <c r="F454" s="10"/>
      <c r="G454" s="10"/>
      <c r="H454" s="30"/>
      <c r="I454" s="30"/>
      <c r="J454" s="30"/>
      <c r="K454" s="30"/>
      <c r="L454" s="30"/>
      <c r="M454" s="30"/>
      <c r="N454" s="30"/>
      <c r="O454" s="9"/>
      <c r="P454" s="9"/>
      <c r="Q454" s="8"/>
      <c r="R454" s="8"/>
      <c r="S454" s="12"/>
      <c r="T454" s="29"/>
      <c r="U454" s="29"/>
      <c r="V454" s="29"/>
      <c r="W454" s="29"/>
      <c r="X454" s="8"/>
      <c r="Y454" s="29"/>
      <c r="Z454" s="8"/>
      <c r="AA454" s="8"/>
    </row>
    <row r="455" spans="1:27" s="46" customFormat="1" x14ac:dyDescent="0.25">
      <c r="A455" s="8"/>
      <c r="B455" s="9"/>
      <c r="C455" s="2"/>
      <c r="D455" s="11"/>
      <c r="E455" s="9"/>
      <c r="F455" s="10"/>
      <c r="G455" s="10"/>
      <c r="H455" s="30"/>
      <c r="I455" s="30"/>
      <c r="J455" s="30"/>
      <c r="K455" s="30"/>
      <c r="L455" s="30"/>
      <c r="M455" s="30"/>
      <c r="N455" s="30"/>
      <c r="O455" s="9"/>
      <c r="P455" s="9"/>
      <c r="Q455" s="8"/>
      <c r="R455" s="8"/>
      <c r="S455" s="12"/>
      <c r="T455" s="29"/>
      <c r="U455" s="29"/>
      <c r="V455" s="29"/>
      <c r="W455" s="29"/>
      <c r="X455" s="8"/>
      <c r="Y455" s="29"/>
      <c r="Z455" s="8"/>
      <c r="AA455" s="8"/>
    </row>
    <row r="456" spans="1:27" s="46" customFormat="1" x14ac:dyDescent="0.25">
      <c r="A456" s="8"/>
      <c r="B456" s="9"/>
      <c r="C456" s="2"/>
      <c r="D456" s="11"/>
      <c r="E456" s="9"/>
      <c r="F456" s="10"/>
      <c r="G456" s="10"/>
      <c r="H456" s="30"/>
      <c r="I456" s="30"/>
      <c r="J456" s="30"/>
      <c r="K456" s="30"/>
      <c r="L456" s="30"/>
      <c r="M456" s="30"/>
      <c r="N456" s="30"/>
      <c r="O456" s="9"/>
      <c r="P456" s="9"/>
      <c r="Q456" s="8"/>
      <c r="R456" s="8"/>
      <c r="S456" s="12"/>
      <c r="T456" s="29"/>
      <c r="U456" s="29"/>
      <c r="V456" s="29"/>
      <c r="W456" s="29"/>
      <c r="X456" s="8"/>
      <c r="Y456" s="29"/>
      <c r="Z456" s="8"/>
      <c r="AA456" s="8"/>
    </row>
    <row r="457" spans="1:27" s="46" customFormat="1" x14ac:dyDescent="0.25">
      <c r="A457" s="8"/>
      <c r="B457" s="9"/>
      <c r="C457" s="2"/>
      <c r="D457" s="11"/>
      <c r="E457" s="9"/>
      <c r="F457" s="10"/>
      <c r="G457" s="10"/>
      <c r="H457" s="30"/>
      <c r="I457" s="30"/>
      <c r="J457" s="30"/>
      <c r="K457" s="30"/>
      <c r="L457" s="30"/>
      <c r="M457" s="30"/>
      <c r="N457" s="30"/>
      <c r="O457" s="9"/>
      <c r="P457" s="9"/>
      <c r="Q457" s="8"/>
      <c r="R457" s="8"/>
      <c r="S457" s="12"/>
      <c r="T457" s="29"/>
      <c r="U457" s="29"/>
      <c r="V457" s="29"/>
      <c r="W457" s="29"/>
      <c r="X457" s="8"/>
      <c r="Y457" s="29"/>
      <c r="Z457" s="8"/>
      <c r="AA457" s="8"/>
    </row>
    <row r="458" spans="1:27" s="46" customFormat="1" x14ac:dyDescent="0.25">
      <c r="A458" s="8"/>
      <c r="B458" s="9"/>
      <c r="C458" s="2"/>
      <c r="D458" s="11"/>
      <c r="E458" s="9"/>
      <c r="F458" s="10"/>
      <c r="G458" s="10"/>
      <c r="H458" s="30"/>
      <c r="I458" s="30"/>
      <c r="J458" s="30"/>
      <c r="K458" s="30"/>
      <c r="L458" s="30"/>
      <c r="M458" s="30"/>
      <c r="N458" s="30"/>
      <c r="O458" s="9"/>
      <c r="P458" s="9"/>
      <c r="Q458" s="8"/>
      <c r="R458" s="8"/>
      <c r="S458" s="12"/>
      <c r="T458" s="29"/>
      <c r="U458" s="29"/>
      <c r="V458" s="29"/>
      <c r="W458" s="29"/>
      <c r="X458" s="8"/>
      <c r="Y458" s="29"/>
      <c r="Z458" s="8"/>
      <c r="AA458" s="8"/>
    </row>
    <row r="459" spans="1:27" s="46" customFormat="1" x14ac:dyDescent="0.25">
      <c r="A459" s="8"/>
      <c r="B459" s="9"/>
      <c r="C459" s="2"/>
      <c r="D459" s="11"/>
      <c r="E459" s="9"/>
      <c r="F459" s="10"/>
      <c r="G459" s="10"/>
      <c r="H459" s="30"/>
      <c r="I459" s="30"/>
      <c r="J459" s="30"/>
      <c r="K459" s="30"/>
      <c r="L459" s="30"/>
      <c r="M459" s="30"/>
      <c r="N459" s="30"/>
      <c r="O459" s="9"/>
      <c r="P459" s="9"/>
      <c r="Q459" s="8"/>
      <c r="R459" s="8"/>
      <c r="S459" s="12"/>
      <c r="T459" s="29"/>
      <c r="U459" s="29"/>
      <c r="V459" s="29"/>
      <c r="W459" s="29"/>
      <c r="X459" s="8"/>
      <c r="Y459" s="29"/>
      <c r="Z459" s="8"/>
      <c r="AA459" s="8"/>
    </row>
    <row r="460" spans="1:27" s="46" customFormat="1" x14ac:dyDescent="0.25">
      <c r="A460" s="8"/>
      <c r="B460" s="9"/>
      <c r="C460" s="2"/>
      <c r="D460" s="11"/>
      <c r="E460" s="9"/>
      <c r="F460" s="10"/>
      <c r="G460" s="10"/>
      <c r="H460" s="30"/>
      <c r="I460" s="30"/>
      <c r="J460" s="30"/>
      <c r="K460" s="30"/>
      <c r="L460" s="30"/>
      <c r="M460" s="30"/>
      <c r="N460" s="30"/>
      <c r="O460" s="9"/>
      <c r="P460" s="9"/>
      <c r="Q460" s="8"/>
      <c r="R460" s="8"/>
      <c r="S460" s="12"/>
      <c r="T460" s="29"/>
      <c r="U460" s="29"/>
      <c r="V460" s="29"/>
      <c r="W460" s="29"/>
      <c r="X460" s="8"/>
      <c r="Y460" s="29"/>
      <c r="Z460" s="8"/>
      <c r="AA460" s="8"/>
    </row>
    <row r="461" spans="1:27" s="46" customFormat="1" x14ac:dyDescent="0.25">
      <c r="A461" s="8"/>
      <c r="B461" s="9"/>
      <c r="C461" s="2"/>
      <c r="D461" s="11"/>
      <c r="E461" s="9"/>
      <c r="F461" s="10"/>
      <c r="G461" s="10"/>
      <c r="H461" s="30"/>
      <c r="I461" s="30"/>
      <c r="J461" s="30"/>
      <c r="K461" s="30"/>
      <c r="L461" s="30"/>
      <c r="M461" s="30"/>
      <c r="N461" s="30"/>
      <c r="O461" s="9"/>
      <c r="P461" s="9"/>
      <c r="Q461" s="8"/>
      <c r="R461" s="8"/>
      <c r="S461" s="12"/>
      <c r="T461" s="29"/>
      <c r="U461" s="29"/>
      <c r="V461" s="29"/>
      <c r="W461" s="29"/>
      <c r="X461" s="8"/>
      <c r="Y461" s="29"/>
      <c r="Z461" s="8"/>
      <c r="AA461" s="8"/>
    </row>
    <row r="462" spans="1:27" s="46" customFormat="1" x14ac:dyDescent="0.25">
      <c r="A462" s="8"/>
      <c r="B462" s="9"/>
      <c r="C462" s="2"/>
      <c r="D462" s="11"/>
      <c r="E462" s="9"/>
      <c r="F462" s="10"/>
      <c r="G462" s="10"/>
      <c r="H462" s="30"/>
      <c r="I462" s="30"/>
      <c r="J462" s="30"/>
      <c r="K462" s="30"/>
      <c r="L462" s="30"/>
      <c r="M462" s="30"/>
      <c r="N462" s="30"/>
      <c r="O462" s="9"/>
      <c r="P462" s="9"/>
      <c r="Q462" s="8"/>
      <c r="R462" s="8"/>
      <c r="S462" s="12"/>
      <c r="T462" s="29"/>
      <c r="U462" s="29"/>
      <c r="V462" s="29"/>
      <c r="W462" s="29"/>
      <c r="X462" s="8"/>
      <c r="Y462" s="29"/>
      <c r="Z462" s="8"/>
      <c r="AA462" s="8"/>
    </row>
    <row r="463" spans="1:27" s="46" customFormat="1" x14ac:dyDescent="0.25">
      <c r="A463" s="8"/>
      <c r="B463" s="9"/>
      <c r="C463" s="2"/>
      <c r="D463" s="11"/>
      <c r="E463" s="9"/>
      <c r="F463" s="10"/>
      <c r="G463" s="10"/>
      <c r="H463" s="30"/>
      <c r="I463" s="30"/>
      <c r="J463" s="30"/>
      <c r="K463" s="30"/>
      <c r="L463" s="30"/>
      <c r="M463" s="30"/>
      <c r="N463" s="30"/>
      <c r="O463" s="9"/>
      <c r="P463" s="9"/>
      <c r="Q463" s="8"/>
      <c r="R463" s="8"/>
      <c r="S463" s="12"/>
      <c r="T463" s="29"/>
      <c r="U463" s="29"/>
      <c r="V463" s="29"/>
      <c r="W463" s="29"/>
      <c r="X463" s="8"/>
      <c r="Y463" s="29"/>
      <c r="Z463" s="8"/>
      <c r="AA463" s="8"/>
    </row>
    <row r="464" spans="1:27" s="46" customFormat="1" x14ac:dyDescent="0.25">
      <c r="A464" s="8"/>
      <c r="B464" s="9"/>
      <c r="C464" s="2"/>
      <c r="D464" s="11"/>
      <c r="E464" s="9"/>
      <c r="F464" s="10"/>
      <c r="G464" s="10"/>
      <c r="H464" s="30"/>
      <c r="I464" s="30"/>
      <c r="J464" s="30"/>
      <c r="K464" s="30"/>
      <c r="L464" s="30"/>
      <c r="M464" s="30"/>
      <c r="N464" s="30"/>
      <c r="O464" s="9"/>
      <c r="P464" s="9"/>
      <c r="Q464" s="8"/>
      <c r="R464" s="8"/>
      <c r="S464" s="12"/>
      <c r="T464" s="29"/>
      <c r="U464" s="29"/>
      <c r="V464" s="29"/>
      <c r="W464" s="29"/>
      <c r="X464" s="8"/>
      <c r="Y464" s="29"/>
      <c r="Z464" s="8"/>
      <c r="AA464" s="8"/>
    </row>
    <row r="465" spans="1:27" s="46" customFormat="1" x14ac:dyDescent="0.25">
      <c r="A465" s="8"/>
      <c r="B465" s="9"/>
      <c r="C465" s="2"/>
      <c r="D465" s="11"/>
      <c r="E465" s="9"/>
      <c r="F465" s="10"/>
      <c r="G465" s="10"/>
      <c r="H465" s="30"/>
      <c r="I465" s="30"/>
      <c r="J465" s="30"/>
      <c r="K465" s="30"/>
      <c r="L465" s="30"/>
      <c r="M465" s="30"/>
      <c r="N465" s="30"/>
      <c r="O465" s="9"/>
      <c r="P465" s="9"/>
      <c r="Q465" s="8"/>
      <c r="R465" s="8"/>
      <c r="S465" s="12"/>
      <c r="T465" s="29"/>
      <c r="U465" s="29"/>
      <c r="V465" s="29"/>
      <c r="W465" s="29"/>
      <c r="X465" s="8"/>
      <c r="Y465" s="29"/>
      <c r="Z465" s="8"/>
      <c r="AA465" s="8"/>
    </row>
    <row r="466" spans="1:27" s="46" customFormat="1" x14ac:dyDescent="0.25">
      <c r="A466" s="8"/>
      <c r="B466" s="9"/>
      <c r="C466" s="2"/>
      <c r="D466" s="11"/>
      <c r="E466" s="9"/>
      <c r="F466" s="10"/>
      <c r="G466" s="10"/>
      <c r="H466" s="30"/>
      <c r="I466" s="30"/>
      <c r="J466" s="30"/>
      <c r="K466" s="30"/>
      <c r="L466" s="30"/>
      <c r="M466" s="30"/>
      <c r="N466" s="30"/>
      <c r="O466" s="9"/>
      <c r="P466" s="9"/>
      <c r="Q466" s="8"/>
      <c r="R466" s="8"/>
      <c r="S466" s="12"/>
      <c r="T466" s="29"/>
      <c r="U466" s="29"/>
      <c r="V466" s="29"/>
      <c r="W466" s="29"/>
      <c r="X466" s="8"/>
      <c r="Y466" s="29"/>
      <c r="Z466" s="8"/>
      <c r="AA466" s="8"/>
    </row>
    <row r="467" spans="1:27" s="46" customFormat="1" x14ac:dyDescent="0.25">
      <c r="A467" s="8"/>
      <c r="B467" s="9"/>
      <c r="C467" s="2"/>
      <c r="D467" s="11"/>
      <c r="E467" s="9"/>
      <c r="F467" s="10"/>
      <c r="G467" s="10"/>
      <c r="H467" s="30"/>
      <c r="I467" s="30"/>
      <c r="J467" s="30"/>
      <c r="K467" s="30"/>
      <c r="L467" s="30"/>
      <c r="M467" s="30"/>
      <c r="N467" s="30"/>
      <c r="O467" s="9"/>
      <c r="P467" s="9"/>
      <c r="Q467" s="8"/>
      <c r="R467" s="8"/>
      <c r="S467" s="12"/>
      <c r="T467" s="29"/>
      <c r="U467" s="29"/>
      <c r="V467" s="29"/>
      <c r="W467" s="29"/>
      <c r="X467" s="8"/>
      <c r="Y467" s="29"/>
      <c r="Z467" s="8"/>
      <c r="AA467" s="8"/>
    </row>
    <row r="468" spans="1:27" s="46" customFormat="1" x14ac:dyDescent="0.25">
      <c r="A468" s="8"/>
      <c r="B468" s="9"/>
      <c r="C468" s="2"/>
      <c r="D468" s="11"/>
      <c r="E468" s="9"/>
      <c r="F468" s="10"/>
      <c r="G468" s="10"/>
      <c r="H468" s="30"/>
      <c r="I468" s="30"/>
      <c r="J468" s="30"/>
      <c r="K468" s="30"/>
      <c r="L468" s="30"/>
      <c r="M468" s="30"/>
      <c r="N468" s="30"/>
      <c r="O468" s="9"/>
      <c r="P468" s="9"/>
      <c r="Q468" s="8"/>
      <c r="R468" s="8"/>
      <c r="S468" s="12"/>
      <c r="T468" s="29"/>
      <c r="U468" s="29"/>
      <c r="V468" s="29"/>
      <c r="W468" s="29"/>
      <c r="X468" s="8"/>
      <c r="Y468" s="29"/>
      <c r="Z468" s="8"/>
      <c r="AA468" s="8"/>
    </row>
    <row r="469" spans="1:27" s="46" customFormat="1" x14ac:dyDescent="0.25">
      <c r="A469" s="8"/>
      <c r="B469" s="9"/>
      <c r="C469" s="2"/>
      <c r="D469" s="11"/>
      <c r="E469" s="9"/>
      <c r="F469" s="10"/>
      <c r="G469" s="10"/>
      <c r="H469" s="30"/>
      <c r="I469" s="30"/>
      <c r="J469" s="30"/>
      <c r="K469" s="30"/>
      <c r="L469" s="30"/>
      <c r="M469" s="30"/>
      <c r="N469" s="30"/>
      <c r="O469" s="9"/>
      <c r="P469" s="9"/>
      <c r="Q469" s="8"/>
      <c r="R469" s="8"/>
      <c r="S469" s="12"/>
      <c r="T469" s="29"/>
      <c r="U469" s="29"/>
      <c r="V469" s="29"/>
      <c r="W469" s="29"/>
      <c r="X469" s="8"/>
      <c r="Y469" s="29"/>
      <c r="Z469" s="8"/>
      <c r="AA469" s="8"/>
    </row>
    <row r="470" spans="1:27" s="46" customFormat="1" x14ac:dyDescent="0.25">
      <c r="A470" s="8"/>
      <c r="B470" s="9"/>
      <c r="C470" s="2"/>
      <c r="D470" s="11"/>
      <c r="E470" s="9"/>
      <c r="F470" s="10"/>
      <c r="G470" s="10"/>
      <c r="H470" s="30"/>
      <c r="I470" s="30"/>
      <c r="J470" s="30"/>
      <c r="K470" s="30"/>
      <c r="L470" s="30"/>
      <c r="M470" s="30"/>
      <c r="N470" s="30"/>
      <c r="O470" s="9"/>
      <c r="P470" s="9"/>
      <c r="Q470" s="8"/>
      <c r="R470" s="8"/>
      <c r="S470" s="12"/>
      <c r="T470" s="29"/>
      <c r="U470" s="29"/>
      <c r="V470" s="29"/>
      <c r="W470" s="29"/>
      <c r="X470" s="8"/>
      <c r="Y470" s="29"/>
      <c r="Z470" s="8"/>
      <c r="AA470" s="8"/>
    </row>
    <row r="471" spans="1:27" s="46" customFormat="1" x14ac:dyDescent="0.25">
      <c r="A471" s="8"/>
      <c r="B471" s="9"/>
      <c r="C471" s="2"/>
      <c r="D471" s="11"/>
      <c r="E471" s="9"/>
      <c r="F471" s="10"/>
      <c r="G471" s="10"/>
      <c r="H471" s="30"/>
      <c r="I471" s="30"/>
      <c r="J471" s="30"/>
      <c r="K471" s="30"/>
      <c r="L471" s="30"/>
      <c r="M471" s="30"/>
      <c r="N471" s="30"/>
      <c r="O471" s="9"/>
      <c r="P471" s="9"/>
      <c r="Q471" s="8"/>
      <c r="R471" s="8"/>
      <c r="S471" s="12"/>
      <c r="T471" s="29"/>
      <c r="U471" s="29"/>
      <c r="V471" s="29"/>
      <c r="W471" s="29"/>
      <c r="X471" s="8"/>
      <c r="Y471" s="29"/>
      <c r="Z471" s="8"/>
      <c r="AA471" s="8"/>
    </row>
    <row r="472" spans="1:27" s="46" customFormat="1" x14ac:dyDescent="0.25">
      <c r="A472" s="8"/>
      <c r="B472" s="9"/>
      <c r="C472" s="2"/>
      <c r="D472" s="11"/>
      <c r="E472" s="9"/>
      <c r="F472" s="10"/>
      <c r="G472" s="10"/>
      <c r="H472" s="30"/>
      <c r="I472" s="30"/>
      <c r="J472" s="30"/>
      <c r="K472" s="30"/>
      <c r="L472" s="30"/>
      <c r="M472" s="30"/>
      <c r="N472" s="30"/>
      <c r="O472" s="9"/>
      <c r="P472" s="9"/>
      <c r="Q472" s="8"/>
      <c r="R472" s="8"/>
      <c r="S472" s="12"/>
      <c r="T472" s="29"/>
      <c r="U472" s="29"/>
      <c r="V472" s="29"/>
      <c r="W472" s="29"/>
      <c r="X472" s="8"/>
      <c r="Y472" s="29"/>
      <c r="Z472" s="8"/>
      <c r="AA472" s="8"/>
    </row>
    <row r="473" spans="1:27" s="46" customFormat="1" x14ac:dyDescent="0.25">
      <c r="A473" s="8"/>
      <c r="B473" s="9"/>
      <c r="C473" s="2"/>
      <c r="D473" s="11"/>
      <c r="E473" s="9"/>
      <c r="F473" s="10"/>
      <c r="G473" s="10"/>
      <c r="H473" s="30"/>
      <c r="I473" s="30"/>
      <c r="J473" s="30"/>
      <c r="K473" s="30"/>
      <c r="L473" s="30"/>
      <c r="M473" s="30"/>
      <c r="N473" s="30"/>
      <c r="O473" s="9"/>
      <c r="P473" s="9"/>
      <c r="Q473" s="8"/>
      <c r="R473" s="8"/>
      <c r="S473" s="12"/>
      <c r="T473" s="29"/>
      <c r="U473" s="29"/>
      <c r="V473" s="29"/>
      <c r="W473" s="29"/>
      <c r="X473" s="8"/>
      <c r="Y473" s="29"/>
      <c r="Z473" s="8"/>
      <c r="AA473" s="8"/>
    </row>
    <row r="474" spans="1:27" s="46" customFormat="1" x14ac:dyDescent="0.25">
      <c r="A474" s="8"/>
      <c r="B474" s="9"/>
      <c r="C474" s="2"/>
      <c r="D474" s="11"/>
      <c r="E474" s="9"/>
      <c r="F474" s="10"/>
      <c r="G474" s="10"/>
      <c r="H474" s="30"/>
      <c r="I474" s="30"/>
      <c r="J474" s="30"/>
      <c r="K474" s="30"/>
      <c r="L474" s="30"/>
      <c r="M474" s="30"/>
      <c r="N474" s="30"/>
      <c r="O474" s="9"/>
      <c r="P474" s="9"/>
      <c r="Q474" s="8"/>
      <c r="R474" s="8"/>
      <c r="S474" s="12"/>
      <c r="T474" s="29"/>
      <c r="U474" s="29"/>
      <c r="V474" s="29"/>
      <c r="W474" s="29"/>
      <c r="X474" s="8"/>
      <c r="Y474" s="29"/>
      <c r="Z474" s="8"/>
      <c r="AA474" s="8"/>
    </row>
    <row r="475" spans="1:27" s="46" customFormat="1" x14ac:dyDescent="0.25">
      <c r="A475" s="8"/>
      <c r="B475" s="9"/>
      <c r="C475" s="2"/>
      <c r="D475" s="11"/>
      <c r="E475" s="9"/>
      <c r="F475" s="10"/>
      <c r="G475" s="10"/>
      <c r="H475" s="30"/>
      <c r="I475" s="30"/>
      <c r="J475" s="30"/>
      <c r="K475" s="30"/>
      <c r="L475" s="30"/>
      <c r="M475" s="30"/>
      <c r="N475" s="30"/>
      <c r="O475" s="9"/>
      <c r="P475" s="9"/>
      <c r="Q475" s="8"/>
      <c r="R475" s="8"/>
      <c r="S475" s="12"/>
      <c r="T475" s="29"/>
      <c r="U475" s="29"/>
      <c r="V475" s="29"/>
      <c r="W475" s="29"/>
      <c r="X475" s="8"/>
      <c r="Y475" s="29"/>
      <c r="Z475" s="8"/>
      <c r="AA475" s="8"/>
    </row>
    <row r="476" spans="1:27" s="46" customFormat="1" x14ac:dyDescent="0.25">
      <c r="A476" s="8"/>
      <c r="B476" s="9"/>
      <c r="C476" s="2"/>
      <c r="D476" s="11"/>
      <c r="E476" s="9"/>
      <c r="F476" s="10"/>
      <c r="G476" s="10"/>
      <c r="H476" s="30"/>
      <c r="I476" s="30"/>
      <c r="J476" s="30"/>
      <c r="K476" s="30"/>
      <c r="L476" s="30"/>
      <c r="M476" s="30"/>
      <c r="N476" s="30"/>
      <c r="O476" s="9"/>
      <c r="P476" s="9"/>
      <c r="Q476" s="8"/>
      <c r="R476" s="8"/>
      <c r="S476" s="12"/>
      <c r="T476" s="29"/>
      <c r="U476" s="29"/>
      <c r="V476" s="29"/>
      <c r="W476" s="29"/>
      <c r="X476" s="8"/>
      <c r="Y476" s="29"/>
      <c r="Z476" s="8"/>
      <c r="AA476" s="8"/>
    </row>
    <row r="477" spans="1:27" s="46" customFormat="1" x14ac:dyDescent="0.25">
      <c r="A477" s="8"/>
      <c r="B477" s="9"/>
      <c r="C477" s="2"/>
      <c r="D477" s="11"/>
      <c r="E477" s="9"/>
      <c r="F477" s="10"/>
      <c r="G477" s="10"/>
      <c r="H477" s="30"/>
      <c r="I477" s="30"/>
      <c r="J477" s="30"/>
      <c r="K477" s="30"/>
      <c r="L477" s="30"/>
      <c r="M477" s="30"/>
      <c r="N477" s="30"/>
      <c r="O477" s="9"/>
      <c r="P477" s="9"/>
      <c r="Q477" s="8"/>
      <c r="R477" s="8"/>
      <c r="S477" s="12"/>
      <c r="T477" s="29"/>
      <c r="U477" s="29"/>
      <c r="V477" s="29"/>
      <c r="W477" s="29"/>
      <c r="X477" s="8"/>
      <c r="Y477" s="29"/>
      <c r="Z477" s="8"/>
      <c r="AA477" s="8"/>
    </row>
    <row r="478" spans="1:27" s="46" customFormat="1" x14ac:dyDescent="0.25">
      <c r="A478" s="8"/>
      <c r="B478" s="9"/>
      <c r="C478" s="2"/>
      <c r="D478" s="11"/>
      <c r="E478" s="9"/>
      <c r="F478" s="10"/>
      <c r="G478" s="10"/>
      <c r="H478" s="30"/>
      <c r="I478" s="30"/>
      <c r="J478" s="30"/>
      <c r="K478" s="30"/>
      <c r="L478" s="30"/>
      <c r="M478" s="30"/>
      <c r="N478" s="30"/>
      <c r="O478" s="9"/>
      <c r="P478" s="9"/>
      <c r="Q478" s="8"/>
      <c r="R478" s="8"/>
      <c r="S478" s="12"/>
      <c r="T478" s="29"/>
      <c r="U478" s="29"/>
      <c r="V478" s="29"/>
      <c r="W478" s="29"/>
      <c r="X478" s="8"/>
      <c r="Y478" s="29"/>
      <c r="Z478" s="8"/>
      <c r="AA478" s="8"/>
    </row>
    <row r="479" spans="1:27" s="46" customFormat="1" x14ac:dyDescent="0.25">
      <c r="A479" s="8"/>
      <c r="B479" s="9"/>
      <c r="C479" s="2"/>
      <c r="D479" s="11"/>
      <c r="E479" s="9"/>
      <c r="F479" s="10"/>
      <c r="G479" s="10"/>
      <c r="H479" s="30"/>
      <c r="I479" s="30"/>
      <c r="J479" s="30"/>
      <c r="K479" s="30"/>
      <c r="L479" s="30"/>
      <c r="M479" s="30"/>
      <c r="N479" s="30"/>
      <c r="O479" s="9"/>
      <c r="P479" s="9"/>
      <c r="Q479" s="8"/>
      <c r="R479" s="8"/>
      <c r="S479" s="12"/>
      <c r="T479" s="29"/>
      <c r="U479" s="29"/>
      <c r="V479" s="29"/>
      <c r="W479" s="29"/>
      <c r="X479" s="8"/>
      <c r="Y479" s="29"/>
      <c r="Z479" s="8"/>
      <c r="AA479" s="8"/>
    </row>
  </sheetData>
  <protectedRanges>
    <protectedRange algorithmName="SHA-512" hashValue="n6K25g9uzAcpntxjqTQaPVdKX1eij75CLB1gBuUNBybVL5B3VaxVW/Tcen54TXijIel0fCN9KO3xZiLZCJMSZw==" saltValue="89UdTK4UUElaUoKBccfOYw==" spinCount="100000" sqref="C3:D6" name="CIN CDP"/>
    <protectedRange algorithmName="SHA-512" hashValue="n6K25g9uzAcpntxjqTQaPVdKX1eij75CLB1gBuUNBybVL5B3VaxVW/Tcen54TXijIel0fCN9KO3xZiLZCJMSZw==" saltValue="89UdTK4UUElaUoKBccfOYw==" spinCount="100000" sqref="C7:D97" name="CIN CDP_1"/>
  </protectedRanges>
  <conditionalFormatting sqref="A45:A56">
    <cfRule type="expression" dxfId="1428" priority="1">
      <formula>$T45="Benzick, Sue"</formula>
    </cfRule>
    <cfRule type="expression" dxfId="1427" priority="2">
      <formula>$T45="Jenne, Richard"</formula>
    </cfRule>
    <cfRule type="expression" dxfId="1426" priority="3">
      <formula>$T45="McQueen, Jennifer"</formula>
    </cfRule>
  </conditionalFormatting>
  <conditionalFormatting sqref="A8:B25 A26:A27 A29:B33 A35:B37">
    <cfRule type="expression" dxfId="1425" priority="7">
      <formula>$T8="Benzick, Sue"</formula>
    </cfRule>
    <cfRule type="expression" dxfId="1424" priority="8">
      <formula>$T8="Jenne, Richard"</formula>
    </cfRule>
    <cfRule type="expression" dxfId="1423" priority="9">
      <formula>$T8="McQueen, Jennifer"</formula>
    </cfRule>
  </conditionalFormatting>
  <conditionalFormatting sqref="G7:I7 H8:I33 H34:N34 H35:I37 H38:N44 H45:I58 H59:N68 H69:I97">
    <cfRule type="expression" dxfId="1422" priority="4">
      <formula>#REF!="Benzick, Sue"</formula>
    </cfRule>
    <cfRule type="expression" dxfId="1421" priority="5">
      <formula>#REF!="Jenne, Richard"</formula>
    </cfRule>
    <cfRule type="expression" dxfId="1420" priority="6">
      <formula>#REF!="McQueen, Jennifer"</formula>
    </cfRule>
  </conditionalFormatting>
  <conditionalFormatting sqref="J7:N33 T7:T97 J35:N37 J45:N58 J69:N97">
    <cfRule type="expression" dxfId="1419" priority="10">
      <formula>$S7="Benzick, Sue"</formula>
    </cfRule>
    <cfRule type="expression" dxfId="1418" priority="11">
      <formula>$S7="Jenne, Richard"</formula>
    </cfRule>
    <cfRule type="expression" dxfId="1417" priority="12">
      <formula>$S7="McQueen, Jennifer"</formula>
    </cfRule>
  </conditionalFormatting>
  <conditionalFormatting sqref="Y7:Y97 W57:W97">
    <cfRule type="expression" dxfId="1416" priority="13">
      <formula>$X7="Benzick, Sue"</formula>
    </cfRule>
    <cfRule type="expression" dxfId="1415" priority="14">
      <formula>$X7="Jenne, Richard"</formula>
    </cfRule>
    <cfRule type="expression" dxfId="1414" priority="15">
      <formula>$X7="McQueen, Jennifer"</formula>
    </cfRule>
  </conditionalFormatting>
  <dataValidations count="3">
    <dataValidation allowBlank="1" showInputMessage="1" showErrorMessage="1" sqref="S7:S97" xr:uid="{AA1F1B04-2B72-48BE-9F70-B5D4DE815519}"/>
    <dataValidation type="list" allowBlank="1" showInputMessage="1" showErrorMessage="1" sqref="B99:B105 B107:B377 B4:B97" xr:uid="{359F152B-43BF-4681-94C7-0882BE25B1CB}">
      <formula1>Class</formula1>
    </dataValidation>
    <dataValidation type="list" allowBlank="1" showInputMessage="1" showErrorMessage="1" sqref="O99:O321" xr:uid="{4F9173FD-9C9A-4C7E-BDE1-700B1F43FCBE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BF3D5-DAA7-4486-84FD-CDCF9E55DC77}">
  <sheetPr>
    <pageSetUpPr fitToPage="1"/>
  </sheetPr>
  <dimension ref="A1:AA459"/>
  <sheetViews>
    <sheetView zoomScale="90" zoomScaleNormal="90" workbookViewId="0">
      <selection activeCell="P39" sqref="P39"/>
    </sheetView>
  </sheetViews>
  <sheetFormatPr defaultColWidth="8.7109375" defaultRowHeight="15" x14ac:dyDescent="0.25"/>
  <cols>
    <col min="1" max="1" width="30.42578125" style="8" customWidth="1"/>
    <col min="2" max="2" width="46.7109375" style="9" customWidth="1"/>
    <col min="3" max="3" width="14.28515625" style="2" customWidth="1"/>
    <col min="4" max="4" width="16.28515625" style="11" customWidth="1"/>
    <col min="5" max="5" width="21.7109375" style="9" customWidth="1"/>
    <col min="6" max="6" width="17" style="10" bestFit="1" customWidth="1"/>
    <col min="7" max="7" width="15.7109375" style="10" bestFit="1" customWidth="1"/>
    <col min="8" max="9" width="9.7109375" style="30" customWidth="1"/>
    <col min="10" max="14" width="9.7109375" style="30" hidden="1" customWidth="1"/>
    <col min="15" max="15" width="20" style="9" hidden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194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24" t="s">
        <v>12</v>
      </c>
      <c r="G3" s="24" t="s">
        <v>13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x14ac:dyDescent="0.25">
      <c r="A4" s="46"/>
      <c r="B4" s="58" t="s">
        <v>77</v>
      </c>
      <c r="C4" s="59" t="s">
        <v>244</v>
      </c>
      <c r="D4" s="59" t="s">
        <v>245</v>
      </c>
      <c r="E4" s="58" t="s">
        <v>183</v>
      </c>
      <c r="F4" s="61">
        <v>45789</v>
      </c>
      <c r="G4" s="61">
        <v>45793</v>
      </c>
      <c r="H4" s="64">
        <v>0.33333333333333331</v>
      </c>
      <c r="I4" s="60"/>
      <c r="J4" s="64"/>
      <c r="K4" s="64"/>
      <c r="L4" s="64"/>
      <c r="M4" s="64"/>
      <c r="N4" s="64"/>
      <c r="O4" s="58"/>
      <c r="P4" s="58"/>
      <c r="Q4" s="13">
        <v>30</v>
      </c>
      <c r="R4" s="13">
        <v>5</v>
      </c>
      <c r="S4" s="13"/>
      <c r="T4" s="62"/>
      <c r="U4" s="13"/>
      <c r="V4" s="13"/>
      <c r="W4" s="13"/>
      <c r="X4" s="58"/>
      <c r="Y4" s="51">
        <f ca="1">Table25[[#This Row],[End Date]]+2-TODAY()</f>
        <v>-449</v>
      </c>
      <c r="Z4" s="13">
        <f>IF(ISBLANK(Table25[[#This Row],[Roster Received By]]),1,0)</f>
        <v>1</v>
      </c>
      <c r="AA4" s="13">
        <f ca="1">IF(Table25[[#This Row],[Start Date]]&gt;TODAY(),1,)</f>
        <v>0</v>
      </c>
    </row>
    <row r="5" spans="1:27" s="65" customFormat="1" x14ac:dyDescent="0.25">
      <c r="A5" s="46"/>
      <c r="B5" s="58" t="s">
        <v>77</v>
      </c>
      <c r="C5" s="59" t="s">
        <v>244</v>
      </c>
      <c r="D5" s="59" t="s">
        <v>245</v>
      </c>
      <c r="E5" s="58" t="s">
        <v>83</v>
      </c>
      <c r="F5" s="61">
        <v>45670</v>
      </c>
      <c r="G5" s="61">
        <v>45674</v>
      </c>
      <c r="H5" s="64">
        <v>0.33333333333333331</v>
      </c>
      <c r="I5" s="60"/>
      <c r="J5" s="64"/>
      <c r="K5" s="64"/>
      <c r="L5" s="64"/>
      <c r="M5" s="64"/>
      <c r="N5" s="64"/>
      <c r="O5" s="58"/>
      <c r="P5" s="58"/>
      <c r="Q5" s="13">
        <v>30</v>
      </c>
      <c r="R5" s="13">
        <v>5</v>
      </c>
      <c r="S5" s="13"/>
      <c r="T5" s="62"/>
      <c r="U5" s="13"/>
      <c r="V5" s="13"/>
      <c r="W5" s="13"/>
      <c r="X5" s="58"/>
      <c r="Y5" s="51">
        <f ca="1">Table25[[#This Row],[End Date]]+2-TODAY()</f>
        <v>-568</v>
      </c>
      <c r="Z5" s="13">
        <f>IF(ISBLANK(Table25[[#This Row],[Roster Received By]]),1,0)</f>
        <v>1</v>
      </c>
      <c r="AA5" s="13">
        <f ca="1">IF(Table25[[#This Row],[Start Date]]&gt;TODAY(),1,)</f>
        <v>0</v>
      </c>
    </row>
    <row r="6" spans="1:27" s="65" customFormat="1" x14ac:dyDescent="0.25">
      <c r="A6" s="46"/>
      <c r="B6" s="58" t="s">
        <v>77</v>
      </c>
      <c r="C6" s="59" t="s">
        <v>244</v>
      </c>
      <c r="D6" s="59" t="s">
        <v>245</v>
      </c>
      <c r="E6" s="58" t="s">
        <v>118</v>
      </c>
      <c r="F6" s="61">
        <v>45894</v>
      </c>
      <c r="G6" s="61">
        <v>45898</v>
      </c>
      <c r="H6" s="64">
        <v>0.33333333333333331</v>
      </c>
      <c r="I6" s="64"/>
      <c r="J6" s="61"/>
      <c r="K6" s="61"/>
      <c r="L6" s="61"/>
      <c r="M6" s="61"/>
      <c r="N6" s="61"/>
      <c r="O6" s="58"/>
      <c r="P6" s="58"/>
      <c r="Q6" s="13">
        <v>30</v>
      </c>
      <c r="R6" s="13">
        <v>5</v>
      </c>
      <c r="S6" s="62"/>
      <c r="T6" s="62"/>
      <c r="U6" s="13"/>
      <c r="V6" s="13"/>
      <c r="W6" s="13"/>
      <c r="X6" s="58"/>
      <c r="Y6" s="51">
        <f ca="1">Table25[[#This Row],[End Date]]+2-TODAY()</f>
        <v>-344</v>
      </c>
      <c r="Z6" s="13">
        <f>IF(ISBLANK(Table25[[#This Row],[Roster Received By]]),1,0)</f>
        <v>1</v>
      </c>
      <c r="AA6" s="13">
        <f ca="1">IF(Table25[[#This Row],[Start Date]]&gt;TODAY(),1,)</f>
        <v>0</v>
      </c>
    </row>
    <row r="7" spans="1:27" s="65" customFormat="1" hidden="1" x14ac:dyDescent="0.25">
      <c r="A7" s="46"/>
      <c r="B7" s="58" t="s">
        <v>63</v>
      </c>
      <c r="C7" s="59" t="s">
        <v>246</v>
      </c>
      <c r="D7" s="59">
        <v>3879</v>
      </c>
      <c r="E7" s="58" t="s">
        <v>54</v>
      </c>
      <c r="F7" s="61">
        <v>45700</v>
      </c>
      <c r="G7" s="61">
        <v>45700</v>
      </c>
      <c r="H7" s="64"/>
      <c r="I7" s="60">
        <v>0.75</v>
      </c>
      <c r="J7" s="61"/>
      <c r="K7" s="61"/>
      <c r="L7" s="61"/>
      <c r="M7" s="61"/>
      <c r="N7" s="61"/>
      <c r="O7" s="58"/>
      <c r="P7" s="58"/>
      <c r="Q7" s="62">
        <v>30</v>
      </c>
      <c r="R7" s="63">
        <v>1</v>
      </c>
      <c r="S7" s="62"/>
      <c r="T7" s="62"/>
      <c r="U7" s="13"/>
      <c r="V7" s="13"/>
      <c r="W7" s="59"/>
      <c r="X7" s="58"/>
      <c r="Y7" s="51">
        <f ca="1">Table25[[#This Row],[End Date]]+2-TODAY()</f>
        <v>-542</v>
      </c>
      <c r="Z7" s="13">
        <f>IF(ISBLANK(Table25[[#This Row],[Roster Received By]]),1,0)</f>
        <v>1</v>
      </c>
      <c r="AA7" s="13">
        <f ca="1">IF(Table25[[#This Row],[Start Date]]&gt;TODAY(),1,)</f>
        <v>0</v>
      </c>
    </row>
    <row r="8" spans="1:27" s="65" customFormat="1" hidden="1" x14ac:dyDescent="0.25">
      <c r="A8" s="46"/>
      <c r="B8" s="58" t="s">
        <v>63</v>
      </c>
      <c r="C8" s="59" t="s">
        <v>246</v>
      </c>
      <c r="D8" s="59">
        <v>3879</v>
      </c>
      <c r="E8" s="58" t="s">
        <v>54</v>
      </c>
      <c r="F8" s="61">
        <v>45882</v>
      </c>
      <c r="G8" s="61">
        <v>45882</v>
      </c>
      <c r="H8" s="64"/>
      <c r="I8" s="60">
        <v>0.75</v>
      </c>
      <c r="J8" s="61"/>
      <c r="K8" s="61"/>
      <c r="L8" s="61"/>
      <c r="M8" s="61"/>
      <c r="N8" s="61"/>
      <c r="O8" s="58"/>
      <c r="P8" s="58"/>
      <c r="Q8" s="62">
        <v>30</v>
      </c>
      <c r="R8" s="63">
        <v>1</v>
      </c>
      <c r="S8" s="62"/>
      <c r="T8" s="62"/>
      <c r="U8" s="13"/>
      <c r="V8" s="13"/>
      <c r="W8" s="59"/>
      <c r="X8" s="58"/>
      <c r="Y8" s="51">
        <f ca="1">Table25[[#This Row],[End Date]]+2-TODAY()</f>
        <v>-360</v>
      </c>
      <c r="Z8" s="13">
        <f>IF(ISBLANK(Table25[[#This Row],[Roster Received By]]),1,0)</f>
        <v>1</v>
      </c>
      <c r="AA8" s="13">
        <f ca="1">IF(Table25[[#This Row],[Start Date]]&gt;TODAY(),1,)</f>
        <v>0</v>
      </c>
    </row>
    <row r="9" spans="1:27" s="65" customFormat="1" hidden="1" x14ac:dyDescent="0.25">
      <c r="A9" s="46"/>
      <c r="B9" s="58" t="s">
        <v>64</v>
      </c>
      <c r="C9" s="59" t="s">
        <v>247</v>
      </c>
      <c r="D9" s="59">
        <v>3888</v>
      </c>
      <c r="E9" s="58" t="s">
        <v>54</v>
      </c>
      <c r="F9" s="61">
        <v>45701</v>
      </c>
      <c r="G9" s="61">
        <v>45701</v>
      </c>
      <c r="H9" s="64"/>
      <c r="I9" s="60">
        <v>0.75</v>
      </c>
      <c r="J9" s="61"/>
      <c r="K9" s="61"/>
      <c r="L9" s="61"/>
      <c r="M9" s="61"/>
      <c r="N9" s="61"/>
      <c r="O9" s="58"/>
      <c r="P9" s="58"/>
      <c r="Q9" s="62">
        <v>30</v>
      </c>
      <c r="R9" s="63">
        <v>1</v>
      </c>
      <c r="S9" s="62"/>
      <c r="T9" s="62"/>
      <c r="U9" s="13"/>
      <c r="V9" s="13"/>
      <c r="W9" s="59"/>
      <c r="X9" s="58"/>
      <c r="Y9" s="51">
        <f ca="1">Table25[[#This Row],[End Date]]+2-TODAY()</f>
        <v>-541</v>
      </c>
      <c r="Z9" s="13">
        <f>IF(ISBLANK(Table25[[#This Row],[Roster Received By]]),1,0)</f>
        <v>1</v>
      </c>
      <c r="AA9" s="13">
        <f ca="1">IF(Table25[[#This Row],[Start Date]]&gt;TODAY(),1,)</f>
        <v>0</v>
      </c>
    </row>
    <row r="10" spans="1:27" s="65" customFormat="1" hidden="1" x14ac:dyDescent="0.25">
      <c r="A10" s="46"/>
      <c r="B10" s="58" t="s">
        <v>64</v>
      </c>
      <c r="C10" s="59" t="s">
        <v>247</v>
      </c>
      <c r="D10" s="59">
        <v>3888</v>
      </c>
      <c r="E10" s="58" t="s">
        <v>54</v>
      </c>
      <c r="F10" s="61">
        <v>45883</v>
      </c>
      <c r="G10" s="61">
        <v>45883</v>
      </c>
      <c r="H10" s="64"/>
      <c r="I10" s="60">
        <v>0.75</v>
      </c>
      <c r="J10" s="61"/>
      <c r="K10" s="61"/>
      <c r="L10" s="61"/>
      <c r="M10" s="61"/>
      <c r="N10" s="61"/>
      <c r="O10" s="58"/>
      <c r="P10" s="58"/>
      <c r="Q10" s="62">
        <v>30</v>
      </c>
      <c r="R10" s="63">
        <v>1</v>
      </c>
      <c r="S10" s="62"/>
      <c r="T10" s="62"/>
      <c r="U10" s="13"/>
      <c r="V10" s="13"/>
      <c r="W10" s="59"/>
      <c r="X10" s="58"/>
      <c r="Y10" s="51">
        <f ca="1">Table25[[#This Row],[End Date]]+2-TODAY()</f>
        <v>-359</v>
      </c>
      <c r="Z10" s="13">
        <f>IF(ISBLANK(Table25[[#This Row],[Roster Received By]]),1,0)</f>
        <v>1</v>
      </c>
      <c r="AA10" s="13">
        <f ca="1">IF(Table25[[#This Row],[Start Date]]&gt;TODAY(),1,)</f>
        <v>0</v>
      </c>
    </row>
    <row r="11" spans="1:27" s="65" customFormat="1" hidden="1" x14ac:dyDescent="0.25">
      <c r="A11" s="46"/>
      <c r="B11" s="58" t="s">
        <v>59</v>
      </c>
      <c r="C11" s="59" t="s">
        <v>248</v>
      </c>
      <c r="D11" s="59" t="s">
        <v>60</v>
      </c>
      <c r="E11" s="58" t="s">
        <v>54</v>
      </c>
      <c r="F11" s="61">
        <v>45698</v>
      </c>
      <c r="G11" s="61">
        <v>45699</v>
      </c>
      <c r="H11" s="60"/>
      <c r="I11" s="60">
        <v>0.75</v>
      </c>
      <c r="J11" s="60"/>
      <c r="K11" s="60"/>
      <c r="L11" s="60"/>
      <c r="M11" s="60"/>
      <c r="N11" s="60"/>
      <c r="O11" s="58"/>
      <c r="P11" s="58"/>
      <c r="Q11" s="13">
        <v>30</v>
      </c>
      <c r="R11" s="13">
        <v>1</v>
      </c>
      <c r="S11" s="13"/>
      <c r="T11" s="62"/>
      <c r="U11" s="13"/>
      <c r="V11" s="13"/>
      <c r="W11" s="59"/>
      <c r="X11" s="58"/>
      <c r="Y11" s="51">
        <f ca="1">Table25[[#This Row],[End Date]]+2-TODAY()</f>
        <v>-543</v>
      </c>
      <c r="Z11" s="13">
        <f>IF(ISBLANK(Table25[[#This Row],[Roster Received By]]),1,0)</f>
        <v>1</v>
      </c>
      <c r="AA11" s="13">
        <f ca="1">IF(Table25[[#This Row],[Start Date]]&gt;TODAY(),1,)</f>
        <v>0</v>
      </c>
    </row>
    <row r="12" spans="1:27" s="65" customFormat="1" hidden="1" x14ac:dyDescent="0.25">
      <c r="A12" s="46"/>
      <c r="B12" s="58" t="s">
        <v>59</v>
      </c>
      <c r="C12" s="59" t="s">
        <v>248</v>
      </c>
      <c r="D12" s="59" t="s">
        <v>60</v>
      </c>
      <c r="E12" s="58" t="s">
        <v>54</v>
      </c>
      <c r="F12" s="61">
        <v>45880</v>
      </c>
      <c r="G12" s="61">
        <v>45881</v>
      </c>
      <c r="H12" s="60"/>
      <c r="I12" s="60">
        <v>0.75</v>
      </c>
      <c r="J12" s="61"/>
      <c r="K12" s="61"/>
      <c r="L12" s="61"/>
      <c r="M12" s="61"/>
      <c r="N12" s="61"/>
      <c r="O12" s="58"/>
      <c r="P12" s="58"/>
      <c r="Q12" s="62">
        <v>30</v>
      </c>
      <c r="R12" s="63">
        <v>1</v>
      </c>
      <c r="S12" s="62"/>
      <c r="T12" s="62"/>
      <c r="U12" s="13"/>
      <c r="V12" s="13"/>
      <c r="W12" s="59"/>
      <c r="X12" s="58"/>
      <c r="Y12" s="51">
        <f ca="1">Table25[[#This Row],[End Date]]+2-TODAY()</f>
        <v>-361</v>
      </c>
      <c r="Z12" s="13">
        <f>IF(ISBLANK(Table25[[#This Row],[Roster Received By]]),1,0)</f>
        <v>1</v>
      </c>
      <c r="AA12" s="13">
        <f ca="1">IF(Table25[[#This Row],[Start Date]]&gt;TODAY(),1,)</f>
        <v>0</v>
      </c>
    </row>
    <row r="13" spans="1:27" s="65" customFormat="1" hidden="1" x14ac:dyDescent="0.25">
      <c r="A13" s="46"/>
      <c r="B13" s="58" t="s">
        <v>249</v>
      </c>
      <c r="C13" s="59" t="s">
        <v>250</v>
      </c>
      <c r="D13" s="59" t="s">
        <v>251</v>
      </c>
      <c r="E13" s="58" t="s">
        <v>54</v>
      </c>
      <c r="F13" s="61">
        <v>45580</v>
      </c>
      <c r="G13" s="61">
        <v>45582</v>
      </c>
      <c r="H13" s="61"/>
      <c r="I13" s="60">
        <v>0.5</v>
      </c>
      <c r="J13" s="60"/>
      <c r="K13" s="60"/>
      <c r="L13" s="60"/>
      <c r="M13" s="60"/>
      <c r="N13" s="60"/>
      <c r="O13" s="58"/>
      <c r="P13" s="58"/>
      <c r="Q13" s="145">
        <v>45</v>
      </c>
      <c r="R13" s="13">
        <v>3</v>
      </c>
      <c r="S13" s="13"/>
      <c r="T13" s="62"/>
      <c r="U13" s="13"/>
      <c r="V13" s="13"/>
      <c r="W13" s="13"/>
      <c r="X13" s="58"/>
      <c r="Y13" s="51">
        <f ca="1">Table25[[#This Row],[End Date]]+2-TODAY()</f>
        <v>-660</v>
      </c>
      <c r="Z13" s="13">
        <f>IF(ISBLANK(Table25[[#This Row],[Roster Received By]]),1,0)</f>
        <v>1</v>
      </c>
      <c r="AA13" s="13">
        <f ca="1">IF(Table25[[#This Row],[Start Date]]&gt;TODAY(),1,)</f>
        <v>0</v>
      </c>
    </row>
    <row r="14" spans="1:27" s="65" customFormat="1" hidden="1" x14ac:dyDescent="0.25">
      <c r="A14" s="46"/>
      <c r="B14" s="58" t="s">
        <v>249</v>
      </c>
      <c r="C14" s="59" t="s">
        <v>250</v>
      </c>
      <c r="D14" s="59" t="s">
        <v>251</v>
      </c>
      <c r="E14" s="58" t="s">
        <v>54</v>
      </c>
      <c r="F14" s="61">
        <v>45594</v>
      </c>
      <c r="G14" s="61">
        <v>45596</v>
      </c>
      <c r="H14" s="61"/>
      <c r="I14" s="60">
        <v>0.5</v>
      </c>
      <c r="J14" s="60"/>
      <c r="K14" s="60"/>
      <c r="L14" s="60"/>
      <c r="M14" s="60"/>
      <c r="N14" s="60"/>
      <c r="O14" s="58"/>
      <c r="P14" s="58"/>
      <c r="Q14" s="145">
        <v>45</v>
      </c>
      <c r="R14" s="13">
        <v>3</v>
      </c>
      <c r="S14" s="13"/>
      <c r="T14" s="62"/>
      <c r="U14" s="13"/>
      <c r="V14" s="13"/>
      <c r="W14" s="62"/>
      <c r="X14" s="58"/>
      <c r="Y14" s="51">
        <f ca="1">Table25[[#This Row],[End Date]]+2-TODAY()</f>
        <v>-646</v>
      </c>
      <c r="Z14" s="13">
        <f>IF(ISBLANK(Table25[[#This Row],[Roster Received By]]),1,0)</f>
        <v>1</v>
      </c>
      <c r="AA14" s="13">
        <f ca="1">IF(Table25[[#This Row],[Start Date]]&gt;TODAY(),1,)</f>
        <v>0</v>
      </c>
    </row>
    <row r="15" spans="1:27" s="94" customFormat="1" hidden="1" x14ac:dyDescent="0.25">
      <c r="A15" s="46"/>
      <c r="B15" s="75" t="s">
        <v>249</v>
      </c>
      <c r="C15" s="59" t="s">
        <v>250</v>
      </c>
      <c r="D15" s="59" t="s">
        <v>251</v>
      </c>
      <c r="E15" s="47" t="s">
        <v>54</v>
      </c>
      <c r="F15" s="61">
        <v>45608</v>
      </c>
      <c r="G15" s="61">
        <v>45610</v>
      </c>
      <c r="H15" s="67"/>
      <c r="I15" s="60">
        <v>0.5</v>
      </c>
      <c r="J15" s="61"/>
      <c r="K15" s="61"/>
      <c r="L15" s="61"/>
      <c r="M15" s="61"/>
      <c r="N15" s="61"/>
      <c r="O15" s="58"/>
      <c r="P15" s="58"/>
      <c r="Q15" s="145">
        <v>45</v>
      </c>
      <c r="R15" s="13">
        <v>3</v>
      </c>
      <c r="S15" s="13"/>
      <c r="T15" s="62"/>
      <c r="U15" s="13"/>
      <c r="V15" s="13"/>
      <c r="W15" s="62"/>
      <c r="X15" s="58"/>
      <c r="Y15" s="51">
        <f ca="1">Table25[[#This Row],[End Date]]+2-TODAY()</f>
        <v>-632</v>
      </c>
      <c r="Z15" s="13">
        <f>IF(ISBLANK(Table25[[#This Row],[Roster Received By]]),1,0)</f>
        <v>1</v>
      </c>
      <c r="AA15" s="13">
        <f ca="1">IF(Table25[[#This Row],[Start Date]]&gt;TODAY(),1,)</f>
        <v>0</v>
      </c>
    </row>
    <row r="16" spans="1:27" s="94" customFormat="1" hidden="1" x14ac:dyDescent="0.25">
      <c r="A16" s="46"/>
      <c r="B16" s="75" t="s">
        <v>249</v>
      </c>
      <c r="C16" s="59" t="s">
        <v>250</v>
      </c>
      <c r="D16" s="59" t="s">
        <v>251</v>
      </c>
      <c r="E16" s="58" t="s">
        <v>54</v>
      </c>
      <c r="F16" s="61">
        <v>45636</v>
      </c>
      <c r="G16" s="61">
        <v>45638</v>
      </c>
      <c r="H16" s="61"/>
      <c r="I16" s="60">
        <v>0.5</v>
      </c>
      <c r="J16" s="60"/>
      <c r="K16" s="60"/>
      <c r="L16" s="60"/>
      <c r="M16" s="60"/>
      <c r="N16" s="60"/>
      <c r="O16" s="58"/>
      <c r="P16" s="58"/>
      <c r="Q16" s="145">
        <v>45</v>
      </c>
      <c r="R16" s="13">
        <v>3</v>
      </c>
      <c r="S16" s="13"/>
      <c r="T16" s="62"/>
      <c r="U16" s="13"/>
      <c r="V16" s="13"/>
      <c r="W16" s="13"/>
      <c r="X16" s="58"/>
      <c r="Y16" s="51">
        <f ca="1">Table25[[#This Row],[End Date]]+2-TODAY()</f>
        <v>-604</v>
      </c>
      <c r="Z16" s="13">
        <f>IF(ISBLANK(Table25[[#This Row],[Roster Received By]]),1,0)</f>
        <v>1</v>
      </c>
      <c r="AA16" s="13">
        <f ca="1">IF(Table25[[#This Row],[Start Date]]&gt;TODAY(),1,)</f>
        <v>0</v>
      </c>
    </row>
    <row r="17" spans="1:27" s="95" customFormat="1" ht="13.5" hidden="1" customHeight="1" x14ac:dyDescent="0.25">
      <c r="A17" s="46"/>
      <c r="B17" s="76" t="s">
        <v>249</v>
      </c>
      <c r="C17" s="59" t="s">
        <v>250</v>
      </c>
      <c r="D17" s="59" t="s">
        <v>251</v>
      </c>
      <c r="E17" s="58" t="s">
        <v>54</v>
      </c>
      <c r="F17" s="61">
        <v>45664</v>
      </c>
      <c r="G17" s="61">
        <v>45666</v>
      </c>
      <c r="H17" s="61"/>
      <c r="I17" s="60">
        <v>0.5</v>
      </c>
      <c r="J17" s="60"/>
      <c r="K17" s="60"/>
      <c r="L17" s="60"/>
      <c r="M17" s="60"/>
      <c r="N17" s="60"/>
      <c r="O17" s="58"/>
      <c r="P17" s="58"/>
      <c r="Q17" s="145">
        <v>45</v>
      </c>
      <c r="R17" s="13">
        <v>3</v>
      </c>
      <c r="S17" s="13"/>
      <c r="T17" s="62"/>
      <c r="U17" s="13"/>
      <c r="V17" s="13"/>
      <c r="W17" s="13"/>
      <c r="X17" s="58"/>
      <c r="Y17" s="51">
        <f ca="1">Table25[[#This Row],[End Date]]+2-TODAY()</f>
        <v>-576</v>
      </c>
      <c r="Z17" s="13">
        <f>IF(ISBLANK(Table25[[#This Row],[Roster Received By]]),1,0)</f>
        <v>1</v>
      </c>
      <c r="AA17" s="13">
        <f ca="1">IF(Table25[[#This Row],[Start Date]]&gt;TODAY(),1,)</f>
        <v>0</v>
      </c>
    </row>
    <row r="18" spans="1:27" s="65" customFormat="1" hidden="1" x14ac:dyDescent="0.25">
      <c r="A18" s="46"/>
      <c r="B18" s="76" t="s">
        <v>249</v>
      </c>
      <c r="C18" s="59" t="s">
        <v>250</v>
      </c>
      <c r="D18" s="59" t="s">
        <v>251</v>
      </c>
      <c r="E18" s="58" t="s">
        <v>54</v>
      </c>
      <c r="F18" s="61">
        <v>45679</v>
      </c>
      <c r="G18" s="61">
        <v>45681</v>
      </c>
      <c r="H18" s="61"/>
      <c r="I18" s="60">
        <v>0.5</v>
      </c>
      <c r="J18" s="60"/>
      <c r="K18" s="60"/>
      <c r="L18" s="60"/>
      <c r="M18" s="60"/>
      <c r="N18" s="60"/>
      <c r="O18" s="58"/>
      <c r="P18" s="58"/>
      <c r="Q18" s="145">
        <v>45</v>
      </c>
      <c r="R18" s="13">
        <v>3</v>
      </c>
      <c r="S18" s="13"/>
      <c r="T18" s="62"/>
      <c r="U18" s="13"/>
      <c r="V18" s="13"/>
      <c r="W18" s="13"/>
      <c r="X18" s="58"/>
      <c r="Y18" s="51">
        <f ca="1">Table25[[#This Row],[End Date]]+2-TODAY()</f>
        <v>-561</v>
      </c>
      <c r="Z18" s="13">
        <f>IF(ISBLANK(Table25[[#This Row],[Roster Received By]]),1,0)</f>
        <v>1</v>
      </c>
      <c r="AA18" s="13">
        <f ca="1">IF(Table25[[#This Row],[Start Date]]&gt;TODAY(),1,)</f>
        <v>0</v>
      </c>
    </row>
    <row r="19" spans="1:27" s="65" customFormat="1" hidden="1" x14ac:dyDescent="0.25">
      <c r="A19" s="46"/>
      <c r="B19" s="58" t="s">
        <v>249</v>
      </c>
      <c r="C19" s="59" t="s">
        <v>250</v>
      </c>
      <c r="D19" s="59" t="s">
        <v>251</v>
      </c>
      <c r="E19" s="58" t="s">
        <v>54</v>
      </c>
      <c r="F19" s="61">
        <v>45706</v>
      </c>
      <c r="G19" s="61">
        <v>45708</v>
      </c>
      <c r="H19" s="67"/>
      <c r="I19" s="60">
        <v>0.5</v>
      </c>
      <c r="J19" s="61"/>
      <c r="K19" s="61"/>
      <c r="L19" s="61"/>
      <c r="M19" s="61"/>
      <c r="N19" s="61"/>
      <c r="O19" s="58"/>
      <c r="P19" s="58"/>
      <c r="Q19" s="145">
        <v>45</v>
      </c>
      <c r="R19" s="13">
        <v>3</v>
      </c>
      <c r="S19" s="13"/>
      <c r="T19" s="62"/>
      <c r="U19" s="13"/>
      <c r="V19" s="13"/>
      <c r="W19" s="13"/>
      <c r="X19" s="58"/>
      <c r="Y19" s="51">
        <f ca="1">Table25[[#This Row],[End Date]]+2-TODAY()</f>
        <v>-534</v>
      </c>
      <c r="Z19" s="13">
        <f>IF(ISBLANK(Table25[[#This Row],[Roster Received By]]),1,0)</f>
        <v>1</v>
      </c>
      <c r="AA19" s="13">
        <f ca="1">IF(Table25[[#This Row],[Start Date]]&gt;TODAY(),1,)</f>
        <v>0</v>
      </c>
    </row>
    <row r="20" spans="1:27" s="94" customFormat="1" hidden="1" x14ac:dyDescent="0.25">
      <c r="A20" s="58"/>
      <c r="B20" s="58" t="s">
        <v>249</v>
      </c>
      <c r="C20" s="59" t="s">
        <v>250</v>
      </c>
      <c r="D20" s="59" t="s">
        <v>251</v>
      </c>
      <c r="E20" s="58" t="s">
        <v>54</v>
      </c>
      <c r="F20" s="61">
        <v>45720</v>
      </c>
      <c r="G20" s="61">
        <v>45722</v>
      </c>
      <c r="H20" s="61"/>
      <c r="I20" s="60">
        <v>0.5</v>
      </c>
      <c r="J20" s="60"/>
      <c r="K20" s="60"/>
      <c r="L20" s="60"/>
      <c r="M20" s="60"/>
      <c r="N20" s="60"/>
      <c r="O20" s="58"/>
      <c r="P20" s="58"/>
      <c r="Q20" s="145">
        <v>45</v>
      </c>
      <c r="R20" s="13">
        <v>3</v>
      </c>
      <c r="S20" s="13"/>
      <c r="T20" s="62"/>
      <c r="U20" s="13"/>
      <c r="V20" s="13"/>
      <c r="W20" s="13"/>
      <c r="X20" s="58"/>
      <c r="Y20" s="51">
        <f ca="1">Table25[[#This Row],[End Date]]+2-TODAY()</f>
        <v>-520</v>
      </c>
      <c r="Z20" s="13">
        <f>IF(ISBLANK(Table25[[#This Row],[Roster Received By]]),1,0)</f>
        <v>1</v>
      </c>
      <c r="AA20" s="13">
        <f ca="1">IF(Table25[[#This Row],[Start Date]]&gt;TODAY(),1,)</f>
        <v>0</v>
      </c>
    </row>
    <row r="21" spans="1:27" s="65" customFormat="1" ht="14.25" hidden="1" customHeight="1" x14ac:dyDescent="0.25">
      <c r="A21" s="47"/>
      <c r="B21" s="58" t="s">
        <v>249</v>
      </c>
      <c r="C21" s="59" t="s">
        <v>250</v>
      </c>
      <c r="D21" s="59" t="s">
        <v>251</v>
      </c>
      <c r="E21" s="58" t="s">
        <v>54</v>
      </c>
      <c r="F21" s="61">
        <v>45734</v>
      </c>
      <c r="G21" s="61">
        <v>45736</v>
      </c>
      <c r="H21" s="64"/>
      <c r="I21" s="60">
        <v>0.5</v>
      </c>
      <c r="J21" s="64"/>
      <c r="K21" s="64"/>
      <c r="L21" s="64"/>
      <c r="M21" s="64"/>
      <c r="N21" s="64"/>
      <c r="O21" s="58"/>
      <c r="P21" s="58"/>
      <c r="Q21" s="145">
        <v>45</v>
      </c>
      <c r="R21" s="13">
        <v>3</v>
      </c>
      <c r="S21" s="62"/>
      <c r="T21" s="62"/>
      <c r="U21" s="13"/>
      <c r="V21" s="13"/>
      <c r="W21" s="13"/>
      <c r="X21" s="58"/>
      <c r="Y21" s="51">
        <f ca="1">Table25[[#This Row],[End Date]]+2-TODAY()</f>
        <v>-506</v>
      </c>
      <c r="Z21" s="13">
        <f>IF(ISBLANK(Table25[[#This Row],[Roster Received By]]),1,0)</f>
        <v>1</v>
      </c>
      <c r="AA21" s="13">
        <f ca="1">IF(Table25[[#This Row],[Start Date]]&gt;TODAY(),1,)</f>
        <v>0</v>
      </c>
    </row>
    <row r="22" spans="1:27" s="65" customFormat="1" ht="14.25" hidden="1" customHeight="1" x14ac:dyDescent="0.25">
      <c r="A22" s="46"/>
      <c r="B22" s="58" t="s">
        <v>249</v>
      </c>
      <c r="C22" s="59" t="s">
        <v>250</v>
      </c>
      <c r="D22" s="59" t="s">
        <v>251</v>
      </c>
      <c r="E22" s="58" t="s">
        <v>54</v>
      </c>
      <c r="F22" s="61">
        <v>45776</v>
      </c>
      <c r="G22" s="61">
        <v>45778</v>
      </c>
      <c r="H22" s="61"/>
      <c r="I22" s="60">
        <v>0.5</v>
      </c>
      <c r="J22" s="60"/>
      <c r="K22" s="60"/>
      <c r="L22" s="60"/>
      <c r="M22" s="60"/>
      <c r="N22" s="60"/>
      <c r="O22" s="58"/>
      <c r="P22" s="58"/>
      <c r="Q22" s="145">
        <v>45</v>
      </c>
      <c r="R22" s="13">
        <v>3</v>
      </c>
      <c r="S22" s="13"/>
      <c r="T22" s="62"/>
      <c r="U22" s="13"/>
      <c r="V22" s="13"/>
      <c r="W22" s="13"/>
      <c r="X22" s="58"/>
      <c r="Y22" s="51">
        <f ca="1">Table25[[#This Row],[End Date]]+2-TODAY()</f>
        <v>-464</v>
      </c>
      <c r="Z22" s="13">
        <f>IF(ISBLANK(Table25[[#This Row],[Roster Received By]]),1,0)</f>
        <v>1</v>
      </c>
      <c r="AA22" s="13">
        <f ca="1">IF(Table25[[#This Row],[Start Date]]&gt;TODAY(),1,)</f>
        <v>0</v>
      </c>
    </row>
    <row r="23" spans="1:27" s="65" customFormat="1" ht="14.25" hidden="1" customHeight="1" x14ac:dyDescent="0.25">
      <c r="A23" s="58"/>
      <c r="B23" s="58" t="s">
        <v>249</v>
      </c>
      <c r="C23" s="59" t="s">
        <v>250</v>
      </c>
      <c r="D23" s="59" t="s">
        <v>251</v>
      </c>
      <c r="E23" s="58" t="s">
        <v>54</v>
      </c>
      <c r="F23" s="61">
        <v>45790</v>
      </c>
      <c r="G23" s="61">
        <v>45792</v>
      </c>
      <c r="H23" s="61"/>
      <c r="I23" s="60">
        <v>0.5</v>
      </c>
      <c r="J23" s="60"/>
      <c r="K23" s="60"/>
      <c r="L23" s="60"/>
      <c r="M23" s="60"/>
      <c r="N23" s="60"/>
      <c r="O23" s="58"/>
      <c r="P23" s="58"/>
      <c r="Q23" s="145">
        <v>45</v>
      </c>
      <c r="R23" s="13">
        <v>3</v>
      </c>
      <c r="S23" s="13"/>
      <c r="T23" s="62"/>
      <c r="U23" s="13"/>
      <c r="V23" s="13"/>
      <c r="W23" s="13"/>
      <c r="X23" s="58"/>
      <c r="Y23" s="51">
        <f ca="1">Table25[[#This Row],[End Date]]+2-TODAY()</f>
        <v>-450</v>
      </c>
      <c r="Z23" s="13">
        <f>IF(ISBLANK(Table25[[#This Row],[Roster Received By]]),1,0)</f>
        <v>1</v>
      </c>
      <c r="AA23" s="13">
        <f ca="1">IF(Table25[[#This Row],[Start Date]]&gt;TODAY(),1,)</f>
        <v>0</v>
      </c>
    </row>
    <row r="24" spans="1:27" s="95" customFormat="1" ht="14.25" hidden="1" customHeight="1" x14ac:dyDescent="0.25">
      <c r="A24" s="46"/>
      <c r="B24" s="58" t="s">
        <v>249</v>
      </c>
      <c r="C24" s="59" t="s">
        <v>250</v>
      </c>
      <c r="D24" s="59" t="s">
        <v>251</v>
      </c>
      <c r="E24" s="58" t="s">
        <v>54</v>
      </c>
      <c r="F24" s="61">
        <v>45804</v>
      </c>
      <c r="G24" s="61">
        <v>45806</v>
      </c>
      <c r="H24" s="61"/>
      <c r="I24" s="60">
        <v>0.5</v>
      </c>
      <c r="J24" s="60"/>
      <c r="K24" s="60"/>
      <c r="L24" s="60"/>
      <c r="M24" s="60"/>
      <c r="N24" s="60"/>
      <c r="O24" s="58"/>
      <c r="P24" s="58"/>
      <c r="Q24" s="145">
        <v>45</v>
      </c>
      <c r="R24" s="13">
        <v>3</v>
      </c>
      <c r="S24" s="13"/>
      <c r="T24" s="62"/>
      <c r="U24" s="13"/>
      <c r="V24" s="13"/>
      <c r="W24" s="59"/>
      <c r="X24" s="58"/>
      <c r="Y24" s="51">
        <f ca="1">Table25[[#This Row],[End Date]]+2-TODAY()</f>
        <v>-436</v>
      </c>
      <c r="Z24" s="13">
        <f>IF(ISBLANK(Table25[[#This Row],[Roster Received By]]),1,0)</f>
        <v>1</v>
      </c>
      <c r="AA24" s="13">
        <f ca="1">IF(Table25[[#This Row],[Start Date]]&gt;TODAY(),1,)</f>
        <v>0</v>
      </c>
    </row>
    <row r="25" spans="1:27" s="65" customFormat="1" ht="14.25" hidden="1" customHeight="1" x14ac:dyDescent="0.25">
      <c r="A25" s="58"/>
      <c r="B25" s="58" t="s">
        <v>249</v>
      </c>
      <c r="C25" s="59" t="s">
        <v>250</v>
      </c>
      <c r="D25" s="59" t="s">
        <v>251</v>
      </c>
      <c r="E25" s="58" t="s">
        <v>54</v>
      </c>
      <c r="F25" s="61">
        <v>45818</v>
      </c>
      <c r="G25" s="61">
        <v>45820</v>
      </c>
      <c r="H25" s="64"/>
      <c r="I25" s="60">
        <v>0.5</v>
      </c>
      <c r="J25" s="60"/>
      <c r="K25" s="60"/>
      <c r="L25" s="60"/>
      <c r="M25" s="60"/>
      <c r="N25" s="60"/>
      <c r="O25" s="58"/>
      <c r="P25" s="58"/>
      <c r="Q25" s="145">
        <v>45</v>
      </c>
      <c r="R25" s="13">
        <v>3</v>
      </c>
      <c r="S25" s="62"/>
      <c r="T25" s="62"/>
      <c r="U25" s="13"/>
      <c r="V25" s="13"/>
      <c r="W25" s="13"/>
      <c r="X25" s="58"/>
      <c r="Y25" s="51">
        <f ca="1">Table25[[#This Row],[End Date]]+2-TODAY()</f>
        <v>-422</v>
      </c>
      <c r="Z25" s="13">
        <f>IF(ISBLANK(Table25[[#This Row],[Roster Received By]]),1,0)</f>
        <v>1</v>
      </c>
      <c r="AA25" s="13">
        <f ca="1">IF(Table25[[#This Row],[Start Date]]&gt;TODAY(),1,)</f>
        <v>0</v>
      </c>
    </row>
    <row r="26" spans="1:27" s="65" customFormat="1" ht="14.25" hidden="1" customHeight="1" x14ac:dyDescent="0.25">
      <c r="A26" s="46"/>
      <c r="B26" s="58" t="s">
        <v>249</v>
      </c>
      <c r="C26" s="59" t="s">
        <v>250</v>
      </c>
      <c r="D26" s="59" t="s">
        <v>251</v>
      </c>
      <c r="E26" s="58" t="s">
        <v>54</v>
      </c>
      <c r="F26" s="61">
        <v>45838</v>
      </c>
      <c r="G26" s="61">
        <v>45840</v>
      </c>
      <c r="H26" s="61"/>
      <c r="I26" s="60">
        <v>0.5</v>
      </c>
      <c r="J26" s="60"/>
      <c r="K26" s="60"/>
      <c r="L26" s="60"/>
      <c r="M26" s="60"/>
      <c r="N26" s="60"/>
      <c r="O26" s="58"/>
      <c r="P26" s="58"/>
      <c r="Q26" s="145">
        <v>45</v>
      </c>
      <c r="R26" s="13">
        <v>3</v>
      </c>
      <c r="S26" s="13"/>
      <c r="T26" s="62"/>
      <c r="U26" s="13"/>
      <c r="V26" s="13"/>
      <c r="W26" s="13"/>
      <c r="X26" s="58"/>
      <c r="Y26" s="51">
        <f ca="1">Table25[[#This Row],[End Date]]+2-TODAY()</f>
        <v>-402</v>
      </c>
      <c r="Z26" s="13">
        <f>IF(ISBLANK(Table25[[#This Row],[Roster Received By]]),1,0)</f>
        <v>1</v>
      </c>
      <c r="AA26" s="13">
        <f ca="1">IF(Table25[[#This Row],[Start Date]]&gt;TODAY(),1,)</f>
        <v>0</v>
      </c>
    </row>
    <row r="27" spans="1:27" s="65" customFormat="1" ht="14.25" hidden="1" customHeight="1" x14ac:dyDescent="0.25">
      <c r="A27" s="46"/>
      <c r="B27" s="58" t="s">
        <v>249</v>
      </c>
      <c r="C27" s="59" t="s">
        <v>250</v>
      </c>
      <c r="D27" s="59" t="s">
        <v>251</v>
      </c>
      <c r="E27" s="58" t="s">
        <v>54</v>
      </c>
      <c r="F27" s="61">
        <v>45853</v>
      </c>
      <c r="G27" s="61">
        <v>45855</v>
      </c>
      <c r="H27" s="61"/>
      <c r="I27" s="60">
        <v>0.5</v>
      </c>
      <c r="J27" s="60"/>
      <c r="K27" s="60"/>
      <c r="L27" s="60"/>
      <c r="M27" s="60"/>
      <c r="N27" s="60"/>
      <c r="O27" s="58"/>
      <c r="P27" s="58"/>
      <c r="Q27" s="145">
        <v>45</v>
      </c>
      <c r="R27" s="13">
        <v>3</v>
      </c>
      <c r="S27" s="13"/>
      <c r="T27" s="62"/>
      <c r="U27" s="13"/>
      <c r="V27" s="13"/>
      <c r="W27" s="13"/>
      <c r="X27" s="58"/>
      <c r="Y27" s="51">
        <f ca="1">Table25[[#This Row],[End Date]]+2-TODAY()</f>
        <v>-387</v>
      </c>
      <c r="Z27" s="13">
        <f>IF(ISBLANK(Table25[[#This Row],[Roster Received By]]),1,0)</f>
        <v>1</v>
      </c>
      <c r="AA27" s="13">
        <f ca="1">IF(Table25[[#This Row],[Start Date]]&gt;TODAY(),1,)</f>
        <v>0</v>
      </c>
    </row>
    <row r="28" spans="1:27" s="65" customFormat="1" ht="14.25" hidden="1" customHeight="1" x14ac:dyDescent="0.25">
      <c r="A28" s="46"/>
      <c r="B28" s="58" t="s">
        <v>249</v>
      </c>
      <c r="C28" s="59" t="s">
        <v>250</v>
      </c>
      <c r="D28" s="59" t="s">
        <v>251</v>
      </c>
      <c r="E28" s="58" t="s">
        <v>54</v>
      </c>
      <c r="F28" s="61">
        <v>45874</v>
      </c>
      <c r="G28" s="61">
        <v>45876</v>
      </c>
      <c r="H28" s="64"/>
      <c r="I28" s="60">
        <v>0.5</v>
      </c>
      <c r="J28" s="61"/>
      <c r="K28" s="61"/>
      <c r="L28" s="61"/>
      <c r="M28" s="61"/>
      <c r="N28" s="61"/>
      <c r="O28" s="58"/>
      <c r="P28" s="58"/>
      <c r="Q28" s="145">
        <v>45</v>
      </c>
      <c r="R28" s="13">
        <v>3</v>
      </c>
      <c r="S28" s="13"/>
      <c r="T28" s="62"/>
      <c r="U28" s="13"/>
      <c r="V28" s="13"/>
      <c r="W28" s="13"/>
      <c r="X28" s="58"/>
      <c r="Y28" s="51">
        <f ca="1">Table25[[#This Row],[End Date]]+2-TODAY()</f>
        <v>-366</v>
      </c>
      <c r="Z28" s="13">
        <f>IF(ISBLANK(Table25[[#This Row],[Roster Received By]]),1,0)</f>
        <v>1</v>
      </c>
      <c r="AA28" s="13">
        <f ca="1">IF(Table25[[#This Row],[Start Date]]&gt;TODAY(),1,)</f>
        <v>0</v>
      </c>
    </row>
    <row r="29" spans="1:27" s="65" customFormat="1" ht="14.25" hidden="1" customHeight="1" x14ac:dyDescent="0.25">
      <c r="A29" s="46"/>
      <c r="B29" s="58" t="s">
        <v>249</v>
      </c>
      <c r="C29" s="59" t="s">
        <v>250</v>
      </c>
      <c r="D29" s="59" t="s">
        <v>251</v>
      </c>
      <c r="E29" s="58" t="s">
        <v>54</v>
      </c>
      <c r="F29" s="61">
        <v>45888</v>
      </c>
      <c r="G29" s="61">
        <v>45890</v>
      </c>
      <c r="H29" s="64"/>
      <c r="I29" s="60">
        <v>0.5</v>
      </c>
      <c r="J29" s="64"/>
      <c r="K29" s="64"/>
      <c r="L29" s="64"/>
      <c r="M29" s="64"/>
      <c r="N29" s="64"/>
      <c r="O29" s="58"/>
      <c r="P29" s="58"/>
      <c r="Q29" s="145">
        <v>45</v>
      </c>
      <c r="R29" s="13">
        <v>3</v>
      </c>
      <c r="S29" s="13"/>
      <c r="T29" s="62"/>
      <c r="U29" s="13"/>
      <c r="V29" s="13"/>
      <c r="W29" s="13"/>
      <c r="X29" s="58"/>
      <c r="Y29" s="51">
        <f ca="1">Table25[[#This Row],[End Date]]+2-TODAY()</f>
        <v>-352</v>
      </c>
      <c r="Z29" s="13">
        <f>IF(ISBLANK(Table25[[#This Row],[Roster Received By]]),1,0)</f>
        <v>1</v>
      </c>
      <c r="AA29" s="13">
        <f ca="1">IF(Table25[[#This Row],[Start Date]]&gt;TODAY(),1,)</f>
        <v>0</v>
      </c>
    </row>
    <row r="30" spans="1:27" s="65" customFormat="1" ht="14.25" hidden="1" customHeight="1" x14ac:dyDescent="0.25">
      <c r="A30" s="58"/>
      <c r="B30" s="58" t="s">
        <v>249</v>
      </c>
      <c r="C30" s="59" t="s">
        <v>250</v>
      </c>
      <c r="D30" s="59" t="s">
        <v>251</v>
      </c>
      <c r="E30" s="58" t="s">
        <v>54</v>
      </c>
      <c r="F30" s="61">
        <v>45902</v>
      </c>
      <c r="G30" s="61">
        <v>45904</v>
      </c>
      <c r="H30" s="64"/>
      <c r="I30" s="60">
        <v>0.5</v>
      </c>
      <c r="J30" s="64"/>
      <c r="K30" s="64"/>
      <c r="L30" s="64"/>
      <c r="M30" s="64"/>
      <c r="N30" s="64"/>
      <c r="O30" s="58"/>
      <c r="P30" s="58"/>
      <c r="Q30" s="145">
        <v>45</v>
      </c>
      <c r="R30" s="13">
        <v>3</v>
      </c>
      <c r="S30" s="13"/>
      <c r="T30" s="62"/>
      <c r="U30" s="13"/>
      <c r="V30" s="13"/>
      <c r="W30" s="13"/>
      <c r="X30" s="58"/>
      <c r="Y30" s="51">
        <f ca="1">Table25[[#This Row],[End Date]]+2-TODAY()</f>
        <v>-338</v>
      </c>
      <c r="Z30" s="13">
        <f>IF(ISBLANK(Table25[[#This Row],[Roster Received By]]),1,0)</f>
        <v>1</v>
      </c>
      <c r="AA30" s="13">
        <f ca="1">IF(Table25[[#This Row],[Start Date]]&gt;TODAY(),1,)</f>
        <v>0</v>
      </c>
    </row>
    <row r="31" spans="1:27" s="65" customFormat="1" ht="14.25" hidden="1" customHeight="1" x14ac:dyDescent="0.25">
      <c r="A31" s="58"/>
      <c r="B31" s="58" t="s">
        <v>249</v>
      </c>
      <c r="C31" s="59" t="s">
        <v>250</v>
      </c>
      <c r="D31" s="59" t="s">
        <v>251</v>
      </c>
      <c r="E31" s="58" t="s">
        <v>54</v>
      </c>
      <c r="F31" s="61">
        <v>45916</v>
      </c>
      <c r="G31" s="61">
        <v>45918</v>
      </c>
      <c r="H31" s="67"/>
      <c r="I31" s="60">
        <v>0.5</v>
      </c>
      <c r="J31" s="61"/>
      <c r="K31" s="61"/>
      <c r="L31" s="61"/>
      <c r="M31" s="61"/>
      <c r="N31" s="61"/>
      <c r="O31" s="58"/>
      <c r="P31" s="58"/>
      <c r="Q31" s="145">
        <v>45</v>
      </c>
      <c r="R31" s="13">
        <v>3</v>
      </c>
      <c r="S31" s="13"/>
      <c r="T31" s="62"/>
      <c r="U31" s="13"/>
      <c r="V31" s="13"/>
      <c r="W31" s="13"/>
      <c r="X31" s="58"/>
      <c r="Y31" s="51">
        <f ca="1">Table25[[#This Row],[End Date]]+2-TODAY()</f>
        <v>-324</v>
      </c>
      <c r="Z31" s="13">
        <f>IF(ISBLANK(Table25[[#This Row],[Roster Received By]]),1,0)</f>
        <v>1</v>
      </c>
      <c r="AA31" s="13">
        <f ca="1">IF(Table25[[#This Row],[Start Date]]&gt;TODAY(),1,)</f>
        <v>0</v>
      </c>
    </row>
    <row r="32" spans="1:27" s="65" customFormat="1" ht="14.25" hidden="1" customHeight="1" x14ac:dyDescent="0.25">
      <c r="A32" s="46"/>
      <c r="B32" s="58" t="s">
        <v>252</v>
      </c>
      <c r="C32" s="59" t="s">
        <v>253</v>
      </c>
      <c r="D32" s="59" t="s">
        <v>254</v>
      </c>
      <c r="E32" s="47" t="s">
        <v>54</v>
      </c>
      <c r="F32" s="49">
        <v>45580</v>
      </c>
      <c r="G32" s="61">
        <v>45583</v>
      </c>
      <c r="H32" s="64"/>
      <c r="I32" s="60">
        <v>0.5</v>
      </c>
      <c r="J32" s="61"/>
      <c r="K32" s="61"/>
      <c r="L32" s="61"/>
      <c r="M32" s="61"/>
      <c r="N32" s="61"/>
      <c r="O32" s="58"/>
      <c r="P32" s="58"/>
      <c r="Q32" s="145">
        <v>45</v>
      </c>
      <c r="R32" s="13">
        <v>4</v>
      </c>
      <c r="S32" s="13"/>
      <c r="T32" s="62"/>
      <c r="U32" s="13"/>
      <c r="V32" s="13"/>
      <c r="W32" s="13"/>
      <c r="X32" s="58"/>
      <c r="Y32" s="51">
        <f ca="1">Table25[[#This Row],[End Date]]+2-TODAY()</f>
        <v>-659</v>
      </c>
      <c r="Z32" s="13">
        <f>IF(ISBLANK(Table25[[#This Row],[Roster Received By]]),1,0)</f>
        <v>1</v>
      </c>
      <c r="AA32" s="13">
        <f ca="1">IF(Table25[[#This Row],[Start Date]]&gt;TODAY(),1,)</f>
        <v>0</v>
      </c>
    </row>
    <row r="33" spans="1:27" s="65" customFormat="1" ht="16.5" hidden="1" customHeight="1" x14ac:dyDescent="0.25">
      <c r="A33" s="46"/>
      <c r="B33" s="58" t="s">
        <v>252</v>
      </c>
      <c r="C33" s="59" t="s">
        <v>253</v>
      </c>
      <c r="D33" s="59" t="s">
        <v>254</v>
      </c>
      <c r="E33" s="58" t="s">
        <v>54</v>
      </c>
      <c r="F33" s="61">
        <v>45600</v>
      </c>
      <c r="G33" s="61">
        <v>45603</v>
      </c>
      <c r="H33" s="61"/>
      <c r="I33" s="60">
        <v>0.5</v>
      </c>
      <c r="J33" s="60"/>
      <c r="K33" s="60"/>
      <c r="L33" s="60"/>
      <c r="M33" s="60"/>
      <c r="N33" s="60"/>
      <c r="O33" s="58"/>
      <c r="P33" s="58"/>
      <c r="Q33" s="145">
        <v>45</v>
      </c>
      <c r="R33" s="13">
        <v>4</v>
      </c>
      <c r="S33" s="13"/>
      <c r="T33" s="62"/>
      <c r="U33" s="13"/>
      <c r="V33" s="13"/>
      <c r="W33" s="13"/>
      <c r="X33" s="58"/>
      <c r="Y33" s="51">
        <f ca="1">Table25[[#This Row],[End Date]]+2-TODAY()</f>
        <v>-639</v>
      </c>
      <c r="Z33" s="13">
        <f>IF(ISBLANK(Table25[[#This Row],[Roster Received By]]),1,0)</f>
        <v>1</v>
      </c>
      <c r="AA33" s="13">
        <f ca="1">IF(Table25[[#This Row],[Start Date]]&gt;TODAY(),1,)</f>
        <v>0</v>
      </c>
    </row>
    <row r="34" spans="1:27" s="65" customFormat="1" ht="16.5" hidden="1" customHeight="1" x14ac:dyDescent="0.25">
      <c r="A34" s="46"/>
      <c r="B34" s="58" t="s">
        <v>252</v>
      </c>
      <c r="C34" s="59" t="s">
        <v>253</v>
      </c>
      <c r="D34" s="59" t="s">
        <v>254</v>
      </c>
      <c r="E34" s="58" t="s">
        <v>54</v>
      </c>
      <c r="F34" s="61">
        <v>45614</v>
      </c>
      <c r="G34" s="61">
        <v>45617</v>
      </c>
      <c r="H34" s="61"/>
      <c r="I34" s="60">
        <v>0.5</v>
      </c>
      <c r="J34" s="60"/>
      <c r="K34" s="60"/>
      <c r="L34" s="60"/>
      <c r="M34" s="60"/>
      <c r="N34" s="60"/>
      <c r="O34" s="58"/>
      <c r="P34" s="58"/>
      <c r="Q34" s="145">
        <v>45</v>
      </c>
      <c r="R34" s="13">
        <v>4</v>
      </c>
      <c r="S34" s="13"/>
      <c r="T34" s="62"/>
      <c r="U34" s="13"/>
      <c r="V34" s="13"/>
      <c r="W34" s="13"/>
      <c r="X34" s="58"/>
      <c r="Y34" s="51">
        <f ca="1">Table25[[#This Row],[End Date]]+2-TODAY()</f>
        <v>-625</v>
      </c>
      <c r="Z34" s="13">
        <f>IF(ISBLANK(Table25[[#This Row],[Roster Received By]]),1,0)</f>
        <v>1</v>
      </c>
      <c r="AA34" s="13">
        <f ca="1">IF(Table25[[#This Row],[Start Date]]&gt;TODAY(),1,)</f>
        <v>0</v>
      </c>
    </row>
    <row r="35" spans="1:27" s="65" customFormat="1" ht="14.25" hidden="1" customHeight="1" x14ac:dyDescent="0.25">
      <c r="A35" s="46"/>
      <c r="B35" s="58" t="s">
        <v>252</v>
      </c>
      <c r="C35" s="59" t="s">
        <v>253</v>
      </c>
      <c r="D35" s="59" t="s">
        <v>254</v>
      </c>
      <c r="E35" s="58" t="s">
        <v>54</v>
      </c>
      <c r="F35" s="61">
        <v>45663</v>
      </c>
      <c r="G35" s="61">
        <v>45666</v>
      </c>
      <c r="H35" s="61"/>
      <c r="I35" s="60">
        <v>0.5</v>
      </c>
      <c r="J35" s="60"/>
      <c r="K35" s="60"/>
      <c r="L35" s="60"/>
      <c r="M35" s="60"/>
      <c r="N35" s="60"/>
      <c r="O35" s="58"/>
      <c r="P35" s="58"/>
      <c r="Q35" s="145">
        <v>45</v>
      </c>
      <c r="R35" s="13">
        <v>4</v>
      </c>
      <c r="S35" s="13"/>
      <c r="T35" s="62"/>
      <c r="U35" s="13"/>
      <c r="V35" s="13"/>
      <c r="W35" s="13"/>
      <c r="X35" s="58"/>
      <c r="Y35" s="51">
        <f ca="1">Table25[[#This Row],[End Date]]+2-TODAY()</f>
        <v>-576</v>
      </c>
      <c r="Z35" s="13">
        <f>IF(ISBLANK(Table25[[#This Row],[Roster Received By]]),1,0)</f>
        <v>1</v>
      </c>
      <c r="AA35" s="13">
        <f ca="1">IF(Table25[[#This Row],[Start Date]]&gt;TODAY(),1,)</f>
        <v>0</v>
      </c>
    </row>
    <row r="36" spans="1:27" s="65" customFormat="1" ht="14.25" hidden="1" customHeight="1" x14ac:dyDescent="0.25">
      <c r="A36" s="46"/>
      <c r="B36" s="58" t="s">
        <v>252</v>
      </c>
      <c r="C36" s="59" t="s">
        <v>253</v>
      </c>
      <c r="D36" s="59" t="s">
        <v>254</v>
      </c>
      <c r="E36" s="58" t="s">
        <v>54</v>
      </c>
      <c r="F36" s="61">
        <v>45678</v>
      </c>
      <c r="G36" s="61">
        <v>45681</v>
      </c>
      <c r="H36" s="61"/>
      <c r="I36" s="60">
        <v>0.5</v>
      </c>
      <c r="J36" s="60"/>
      <c r="K36" s="60"/>
      <c r="L36" s="60"/>
      <c r="M36" s="60"/>
      <c r="N36" s="60"/>
      <c r="O36" s="58"/>
      <c r="P36" s="58"/>
      <c r="Q36" s="145">
        <v>45</v>
      </c>
      <c r="R36" s="13">
        <v>4</v>
      </c>
      <c r="S36" s="13"/>
      <c r="T36" s="62"/>
      <c r="U36" s="13"/>
      <c r="V36" s="13"/>
      <c r="W36" s="13"/>
      <c r="X36" s="58"/>
      <c r="Y36" s="51">
        <f ca="1">Table25[[#This Row],[End Date]]+2-TODAY()</f>
        <v>-561</v>
      </c>
      <c r="Z36" s="13">
        <f>IF(ISBLANK(Table25[[#This Row],[Roster Received By]]),1,0)</f>
        <v>1</v>
      </c>
      <c r="AA36" s="13">
        <f ca="1">IF(Table25[[#This Row],[Start Date]]&gt;TODAY(),1,)</f>
        <v>0</v>
      </c>
    </row>
    <row r="37" spans="1:27" s="65" customFormat="1" ht="14.25" hidden="1" customHeight="1" x14ac:dyDescent="0.25">
      <c r="A37" s="46"/>
      <c r="B37" s="58" t="s">
        <v>252</v>
      </c>
      <c r="C37" s="59" t="s">
        <v>253</v>
      </c>
      <c r="D37" s="59" t="s">
        <v>254</v>
      </c>
      <c r="E37" s="58" t="s">
        <v>54</v>
      </c>
      <c r="F37" s="61">
        <v>45712</v>
      </c>
      <c r="G37" s="61">
        <v>45715</v>
      </c>
      <c r="H37" s="67"/>
      <c r="I37" s="60">
        <v>0.5</v>
      </c>
      <c r="J37" s="61"/>
      <c r="K37" s="61"/>
      <c r="L37" s="61"/>
      <c r="M37" s="61"/>
      <c r="N37" s="61"/>
      <c r="O37" s="58"/>
      <c r="P37" s="58"/>
      <c r="Q37" s="145">
        <v>45</v>
      </c>
      <c r="R37" s="13">
        <v>4</v>
      </c>
      <c r="S37" s="13"/>
      <c r="T37" s="62"/>
      <c r="U37" s="13"/>
      <c r="V37" s="13"/>
      <c r="W37" s="66"/>
      <c r="X37" s="58"/>
      <c r="Y37" s="51">
        <f ca="1">Table25[[#This Row],[End Date]]+2-TODAY()</f>
        <v>-527</v>
      </c>
      <c r="Z37" s="13">
        <f>IF(ISBLANK(Table25[[#This Row],[Roster Received By]]),1,0)</f>
        <v>1</v>
      </c>
      <c r="AA37" s="13">
        <f ca="1">IF(Table25[[#This Row],[Start Date]]&gt;TODAY(),1,)</f>
        <v>0</v>
      </c>
    </row>
    <row r="38" spans="1:27" s="65" customFormat="1" ht="14.25" hidden="1" customHeight="1" x14ac:dyDescent="0.25">
      <c r="A38" s="46"/>
      <c r="B38" s="58" t="s">
        <v>252</v>
      </c>
      <c r="C38" s="59" t="s">
        <v>253</v>
      </c>
      <c r="D38" s="59" t="s">
        <v>254</v>
      </c>
      <c r="E38" s="58" t="s">
        <v>54</v>
      </c>
      <c r="F38" s="61">
        <v>45740</v>
      </c>
      <c r="G38" s="61">
        <v>45743</v>
      </c>
      <c r="H38" s="61"/>
      <c r="I38" s="60">
        <v>0.5</v>
      </c>
      <c r="J38" s="60"/>
      <c r="K38" s="60"/>
      <c r="L38" s="60"/>
      <c r="M38" s="60"/>
      <c r="N38" s="60"/>
      <c r="O38" s="58"/>
      <c r="P38" s="58"/>
      <c r="Q38" s="145">
        <v>45</v>
      </c>
      <c r="R38" s="13">
        <v>4</v>
      </c>
      <c r="S38" s="13"/>
      <c r="T38" s="62"/>
      <c r="U38" s="13"/>
      <c r="V38" s="13"/>
      <c r="W38" s="13"/>
      <c r="X38" s="58"/>
      <c r="Y38" s="51">
        <f ca="1">Table25[[#This Row],[End Date]]+2-TODAY()</f>
        <v>-499</v>
      </c>
      <c r="Z38" s="13">
        <f>IF(ISBLANK(Table25[[#This Row],[Roster Received By]]),1,0)</f>
        <v>1</v>
      </c>
      <c r="AA38" s="13">
        <f ca="1">IF(Table25[[#This Row],[Start Date]]&gt;TODAY(),1,)</f>
        <v>0</v>
      </c>
    </row>
    <row r="39" spans="1:27" s="97" customFormat="1" ht="14.25" hidden="1" customHeight="1" x14ac:dyDescent="0.25">
      <c r="A39" s="46"/>
      <c r="B39" s="58" t="s">
        <v>252</v>
      </c>
      <c r="C39" s="59" t="s">
        <v>253</v>
      </c>
      <c r="D39" s="59" t="s">
        <v>254</v>
      </c>
      <c r="E39" s="58" t="s">
        <v>54</v>
      </c>
      <c r="F39" s="61">
        <v>45775</v>
      </c>
      <c r="G39" s="61">
        <v>45778</v>
      </c>
      <c r="H39" s="61"/>
      <c r="I39" s="60">
        <v>0.5</v>
      </c>
      <c r="J39" s="60"/>
      <c r="K39" s="60"/>
      <c r="L39" s="60"/>
      <c r="M39" s="60"/>
      <c r="N39" s="60"/>
      <c r="O39" s="58"/>
      <c r="P39" s="58"/>
      <c r="Q39" s="145">
        <v>45</v>
      </c>
      <c r="R39" s="13">
        <v>4</v>
      </c>
      <c r="S39" s="13"/>
      <c r="T39" s="62"/>
      <c r="U39" s="13"/>
      <c r="V39" s="13"/>
      <c r="W39" s="13"/>
      <c r="X39" s="58"/>
      <c r="Y39" s="51">
        <f ca="1">Table25[[#This Row],[End Date]]+2-TODAY()</f>
        <v>-464</v>
      </c>
      <c r="Z39" s="13">
        <f>IF(ISBLANK(Table25[[#This Row],[Roster Received By]]),1,0)</f>
        <v>1</v>
      </c>
      <c r="AA39" s="13">
        <f ca="1">IF(Table25[[#This Row],[Start Date]]&gt;TODAY(),1,)</f>
        <v>0</v>
      </c>
    </row>
    <row r="40" spans="1:27" s="65" customFormat="1" ht="16.5" hidden="1" customHeight="1" x14ac:dyDescent="0.25">
      <c r="A40" s="46"/>
      <c r="B40" s="58" t="s">
        <v>252</v>
      </c>
      <c r="C40" s="59" t="s">
        <v>253</v>
      </c>
      <c r="D40" s="59" t="s">
        <v>254</v>
      </c>
      <c r="E40" s="99" t="s">
        <v>54</v>
      </c>
      <c r="F40" s="61">
        <v>45796</v>
      </c>
      <c r="G40" s="61">
        <v>45799</v>
      </c>
      <c r="H40" s="61"/>
      <c r="I40" s="60">
        <v>0.5</v>
      </c>
      <c r="J40" s="60"/>
      <c r="K40" s="60"/>
      <c r="L40" s="60"/>
      <c r="M40" s="60"/>
      <c r="N40" s="60"/>
      <c r="O40" s="58"/>
      <c r="P40" s="58"/>
      <c r="Q40" s="145">
        <v>45</v>
      </c>
      <c r="R40" s="13">
        <v>4</v>
      </c>
      <c r="S40" s="13"/>
      <c r="T40" s="62"/>
      <c r="U40" s="13"/>
      <c r="V40" s="13"/>
      <c r="W40" s="13"/>
      <c r="X40" s="58"/>
      <c r="Y40" s="51">
        <f ca="1">Table25[[#This Row],[End Date]]+2-TODAY()</f>
        <v>-443</v>
      </c>
      <c r="Z40" s="13">
        <f>IF(ISBLANK(Table25[[#This Row],[Roster Received By]]),1,0)</f>
        <v>1</v>
      </c>
      <c r="AA40" s="13">
        <f ca="1">IF(Table25[[#This Row],[Start Date]]&gt;TODAY(),1,)</f>
        <v>0</v>
      </c>
    </row>
    <row r="41" spans="1:27" s="65" customFormat="1" ht="16.5" hidden="1" customHeight="1" x14ac:dyDescent="0.25">
      <c r="A41" s="46"/>
      <c r="B41" s="58" t="s">
        <v>252</v>
      </c>
      <c r="C41" s="59" t="s">
        <v>253</v>
      </c>
      <c r="D41" s="59" t="s">
        <v>254</v>
      </c>
      <c r="E41" s="47" t="s">
        <v>54</v>
      </c>
      <c r="F41" s="61">
        <v>45810</v>
      </c>
      <c r="G41" s="61">
        <v>45813</v>
      </c>
      <c r="H41" s="64"/>
      <c r="I41" s="60">
        <v>0.5</v>
      </c>
      <c r="J41" s="61"/>
      <c r="K41" s="61"/>
      <c r="L41" s="61"/>
      <c r="M41" s="61"/>
      <c r="N41" s="61"/>
      <c r="O41" s="58"/>
      <c r="P41" s="58"/>
      <c r="Q41" s="145">
        <v>45</v>
      </c>
      <c r="R41" s="13">
        <v>4</v>
      </c>
      <c r="S41" s="13"/>
      <c r="T41" s="62"/>
      <c r="U41" s="13"/>
      <c r="V41" s="13"/>
      <c r="W41" s="13"/>
      <c r="X41" s="58"/>
      <c r="Y41" s="51">
        <f ca="1">Table25[[#This Row],[End Date]]+2-TODAY()</f>
        <v>-429</v>
      </c>
      <c r="Z41" s="13">
        <f>IF(ISBLANK(Table25[[#This Row],[Roster Received By]]),1,0)</f>
        <v>1</v>
      </c>
      <c r="AA41" s="13">
        <f ca="1">IF(Table25[[#This Row],[Start Date]]&gt;TODAY(),1,)</f>
        <v>0</v>
      </c>
    </row>
    <row r="42" spans="1:27" s="65" customFormat="1" ht="14.25" hidden="1" customHeight="1" x14ac:dyDescent="0.25">
      <c r="A42" s="46"/>
      <c r="B42" s="58" t="s">
        <v>252</v>
      </c>
      <c r="C42" s="59" t="s">
        <v>253</v>
      </c>
      <c r="D42" s="59" t="s">
        <v>254</v>
      </c>
      <c r="E42" s="47" t="s">
        <v>54</v>
      </c>
      <c r="F42" s="61">
        <v>45831</v>
      </c>
      <c r="G42" s="61">
        <v>45834</v>
      </c>
      <c r="H42" s="64"/>
      <c r="I42" s="60">
        <v>0.5</v>
      </c>
      <c r="J42" s="61"/>
      <c r="K42" s="61"/>
      <c r="L42" s="61"/>
      <c r="M42" s="61"/>
      <c r="N42" s="61"/>
      <c r="O42" s="58"/>
      <c r="P42" s="58"/>
      <c r="Q42" s="145">
        <v>45</v>
      </c>
      <c r="R42" s="13">
        <v>4</v>
      </c>
      <c r="S42" s="13"/>
      <c r="T42" s="62"/>
      <c r="U42" s="13"/>
      <c r="V42" s="13"/>
      <c r="W42" s="13"/>
      <c r="X42" s="58"/>
      <c r="Y42" s="51">
        <f ca="1">Table25[[#This Row],[End Date]]+2-TODAY()</f>
        <v>-408</v>
      </c>
      <c r="Z42" s="13">
        <f>IF(ISBLANK(Table25[[#This Row],[Roster Received By]]),1,0)</f>
        <v>1</v>
      </c>
      <c r="AA42" s="13">
        <f ca="1">IF(Table25[[#This Row],[Start Date]]&gt;TODAY(),1,)</f>
        <v>0</v>
      </c>
    </row>
    <row r="43" spans="1:27" s="65" customFormat="1" ht="14.25" hidden="1" customHeight="1" x14ac:dyDescent="0.25">
      <c r="A43" s="46"/>
      <c r="B43" s="58" t="s">
        <v>252</v>
      </c>
      <c r="C43" s="59" t="s">
        <v>253</v>
      </c>
      <c r="D43" s="59" t="s">
        <v>254</v>
      </c>
      <c r="E43" s="47" t="s">
        <v>54</v>
      </c>
      <c r="F43" s="49">
        <v>45845</v>
      </c>
      <c r="G43" s="61">
        <v>45848</v>
      </c>
      <c r="H43" s="64"/>
      <c r="I43" s="60">
        <v>0.5</v>
      </c>
      <c r="J43" s="61"/>
      <c r="K43" s="61"/>
      <c r="L43" s="61"/>
      <c r="M43" s="61"/>
      <c r="N43" s="61"/>
      <c r="O43" s="58"/>
      <c r="P43" s="58"/>
      <c r="Q43" s="145">
        <v>45</v>
      </c>
      <c r="R43" s="13">
        <v>4</v>
      </c>
      <c r="S43" s="13"/>
      <c r="T43" s="62"/>
      <c r="U43" s="13"/>
      <c r="V43" s="13"/>
      <c r="W43" s="13"/>
      <c r="X43" s="58"/>
      <c r="Y43" s="51">
        <f ca="1">Table25[[#This Row],[End Date]]+2-TODAY()</f>
        <v>-394</v>
      </c>
      <c r="Z43" s="13">
        <f>IF(ISBLANK(Table25[[#This Row],[Roster Received By]]),1,0)</f>
        <v>1</v>
      </c>
      <c r="AA43" s="13">
        <f ca="1">IF(Table25[[#This Row],[Start Date]]&gt;TODAY(),1,)</f>
        <v>0</v>
      </c>
    </row>
    <row r="44" spans="1:27" s="65" customFormat="1" ht="14.25" hidden="1" customHeight="1" x14ac:dyDescent="0.25">
      <c r="A44" s="58"/>
      <c r="B44" s="58" t="s">
        <v>252</v>
      </c>
      <c r="C44" s="59" t="s">
        <v>253</v>
      </c>
      <c r="D44" s="59" t="s">
        <v>254</v>
      </c>
      <c r="E44" s="58" t="s">
        <v>54</v>
      </c>
      <c r="F44" s="61">
        <v>45859</v>
      </c>
      <c r="G44" s="61">
        <v>45862</v>
      </c>
      <c r="H44" s="64"/>
      <c r="I44" s="60">
        <v>0.5</v>
      </c>
      <c r="J44" s="64"/>
      <c r="K44" s="64"/>
      <c r="L44" s="64"/>
      <c r="M44" s="64"/>
      <c r="N44" s="64"/>
      <c r="O44" s="58"/>
      <c r="P44" s="58"/>
      <c r="Q44" s="145">
        <v>45</v>
      </c>
      <c r="R44" s="13">
        <v>4</v>
      </c>
      <c r="S44" s="13"/>
      <c r="T44" s="62"/>
      <c r="U44" s="13"/>
      <c r="V44" s="13"/>
      <c r="W44" s="13"/>
      <c r="X44" s="58"/>
      <c r="Y44" s="51">
        <f ca="1">Table25[[#This Row],[End Date]]+2-TODAY()</f>
        <v>-380</v>
      </c>
      <c r="Z44" s="13">
        <f>IF(ISBLANK(Table25[[#This Row],[Roster Received By]]),1,0)</f>
        <v>1</v>
      </c>
      <c r="AA44" s="13">
        <f ca="1">IF(Table25[[#This Row],[Start Date]]&gt;TODAY(),1,)</f>
        <v>0</v>
      </c>
    </row>
    <row r="45" spans="1:27" s="65" customFormat="1" ht="16.5" hidden="1" customHeight="1" x14ac:dyDescent="0.25">
      <c r="A45" s="46"/>
      <c r="B45" s="58" t="s">
        <v>252</v>
      </c>
      <c r="C45" s="59" t="s">
        <v>253</v>
      </c>
      <c r="D45" s="59" t="s">
        <v>254</v>
      </c>
      <c r="E45" s="58" t="s">
        <v>54</v>
      </c>
      <c r="F45" s="61">
        <v>45887</v>
      </c>
      <c r="G45" s="61">
        <v>45890</v>
      </c>
      <c r="H45" s="61"/>
      <c r="I45" s="60">
        <v>0.5</v>
      </c>
      <c r="J45" s="60"/>
      <c r="K45" s="60"/>
      <c r="L45" s="60"/>
      <c r="M45" s="60"/>
      <c r="N45" s="60"/>
      <c r="O45" s="58"/>
      <c r="P45" s="58"/>
      <c r="Q45" s="145">
        <v>45</v>
      </c>
      <c r="R45" s="13">
        <v>4</v>
      </c>
      <c r="S45" s="13"/>
      <c r="T45" s="62"/>
      <c r="U45" s="13"/>
      <c r="V45" s="13"/>
      <c r="W45" s="13"/>
      <c r="X45" s="58"/>
      <c r="Y45" s="51">
        <f ca="1">Table25[[#This Row],[End Date]]+2-TODAY()</f>
        <v>-352</v>
      </c>
      <c r="Z45" s="13">
        <f>IF(ISBLANK(Table25[[#This Row],[Roster Received By]]),1,0)</f>
        <v>1</v>
      </c>
      <c r="AA45" s="13">
        <f ca="1">IF(Table25[[#This Row],[Start Date]]&gt;TODAY(),1,)</f>
        <v>0</v>
      </c>
    </row>
    <row r="46" spans="1:27" s="65" customFormat="1" ht="16.5" hidden="1" customHeight="1" x14ac:dyDescent="0.25">
      <c r="A46" s="46"/>
      <c r="B46" s="58" t="s">
        <v>252</v>
      </c>
      <c r="C46" s="59" t="s">
        <v>253</v>
      </c>
      <c r="D46" s="59" t="s">
        <v>254</v>
      </c>
      <c r="E46" s="58" t="s">
        <v>54</v>
      </c>
      <c r="F46" s="61">
        <v>45902</v>
      </c>
      <c r="G46" s="61">
        <v>45905</v>
      </c>
      <c r="H46" s="61"/>
      <c r="I46" s="60">
        <v>0.5</v>
      </c>
      <c r="J46" s="60"/>
      <c r="K46" s="60"/>
      <c r="L46" s="60"/>
      <c r="M46" s="60"/>
      <c r="N46" s="60"/>
      <c r="O46" s="58"/>
      <c r="P46" s="58"/>
      <c r="Q46" s="145">
        <v>45</v>
      </c>
      <c r="R46" s="13">
        <v>4</v>
      </c>
      <c r="S46" s="13"/>
      <c r="T46" s="62"/>
      <c r="U46" s="13"/>
      <c r="V46" s="13"/>
      <c r="W46" s="13"/>
      <c r="X46" s="58"/>
      <c r="Y46" s="51">
        <f ca="1">Table25[[#This Row],[End Date]]+2-TODAY()</f>
        <v>-337</v>
      </c>
      <c r="Z46" s="13">
        <f>IF(ISBLANK(Table25[[#This Row],[Roster Received By]]),1,0)</f>
        <v>1</v>
      </c>
      <c r="AA46" s="13">
        <f ca="1">IF(Table25[[#This Row],[Start Date]]&gt;TODAY(),1,)</f>
        <v>0</v>
      </c>
    </row>
    <row r="47" spans="1:27" s="65" customFormat="1" ht="14.25" hidden="1" customHeight="1" x14ac:dyDescent="0.25">
      <c r="A47" s="46"/>
      <c r="B47" s="58" t="s">
        <v>252</v>
      </c>
      <c r="C47" s="59" t="s">
        <v>253</v>
      </c>
      <c r="D47" s="59" t="s">
        <v>254</v>
      </c>
      <c r="E47" s="58" t="s">
        <v>54</v>
      </c>
      <c r="F47" s="69">
        <v>45922</v>
      </c>
      <c r="G47" s="69">
        <v>45925</v>
      </c>
      <c r="H47" s="61"/>
      <c r="I47" s="60">
        <v>0.5</v>
      </c>
      <c r="J47" s="60"/>
      <c r="K47" s="60"/>
      <c r="L47" s="60"/>
      <c r="M47" s="60"/>
      <c r="N47" s="60"/>
      <c r="O47" s="58"/>
      <c r="P47" s="58"/>
      <c r="Q47" s="145">
        <v>45</v>
      </c>
      <c r="R47" s="13">
        <v>4</v>
      </c>
      <c r="S47" s="13"/>
      <c r="T47" s="62"/>
      <c r="U47" s="13"/>
      <c r="V47" s="13"/>
      <c r="W47" s="13"/>
      <c r="X47" s="58"/>
      <c r="Y47" s="51">
        <f ca="1">Table25[[#This Row],[End Date]]+2-TODAY()</f>
        <v>-317</v>
      </c>
      <c r="Z47" s="13">
        <f>IF(ISBLANK(Table25[[#This Row],[Roster Received By]]),1,0)</f>
        <v>1</v>
      </c>
      <c r="AA47" s="13">
        <f ca="1">IF(Table25[[#This Row],[Start Date]]&gt;TODAY(),1,)</f>
        <v>0</v>
      </c>
    </row>
    <row r="48" spans="1:27" s="65" customFormat="1" ht="14.25" hidden="1" customHeight="1" x14ac:dyDescent="0.25">
      <c r="A48" s="46"/>
      <c r="B48" s="58" t="s">
        <v>255</v>
      </c>
      <c r="C48" s="59" t="s">
        <v>256</v>
      </c>
      <c r="D48" s="59">
        <v>3555</v>
      </c>
      <c r="E48" s="58" t="s">
        <v>54</v>
      </c>
      <c r="F48" s="49">
        <v>45572</v>
      </c>
      <c r="G48" s="49">
        <v>45575</v>
      </c>
      <c r="H48" s="60"/>
      <c r="I48" s="60">
        <v>0.5</v>
      </c>
      <c r="J48" s="61"/>
      <c r="K48" s="61"/>
      <c r="L48" s="61"/>
      <c r="M48" s="61"/>
      <c r="N48" s="61"/>
      <c r="O48" s="58"/>
      <c r="P48" s="58"/>
      <c r="Q48" s="145">
        <v>45</v>
      </c>
      <c r="R48" s="13">
        <v>4</v>
      </c>
      <c r="S48" s="13"/>
      <c r="T48" s="62"/>
      <c r="U48" s="13"/>
      <c r="V48" s="13"/>
      <c r="W48" s="13"/>
      <c r="X48" s="58"/>
      <c r="Y48" s="51">
        <f ca="1">Table25[[#This Row],[End Date]]+2-TODAY()</f>
        <v>-667</v>
      </c>
      <c r="Z48" s="13">
        <f>IF(ISBLANK(Table25[[#This Row],[Roster Received By]]),1,0)</f>
        <v>1</v>
      </c>
      <c r="AA48" s="13">
        <f ca="1">IF(Table25[[#This Row],[Start Date]]&gt;TODAY(),1,)</f>
        <v>0</v>
      </c>
    </row>
    <row r="49" spans="1:27" s="65" customFormat="1" ht="14.25" hidden="1" customHeight="1" x14ac:dyDescent="0.25">
      <c r="A49" s="46"/>
      <c r="B49" s="58" t="s">
        <v>255</v>
      </c>
      <c r="C49" s="59" t="s">
        <v>256</v>
      </c>
      <c r="D49" s="59">
        <v>3555</v>
      </c>
      <c r="E49" s="47" t="s">
        <v>54</v>
      </c>
      <c r="F49" s="61">
        <v>45614</v>
      </c>
      <c r="G49" s="61">
        <v>45617</v>
      </c>
      <c r="H49" s="64"/>
      <c r="I49" s="60">
        <v>0.5</v>
      </c>
      <c r="J49" s="61"/>
      <c r="K49" s="61"/>
      <c r="L49" s="61"/>
      <c r="M49" s="61"/>
      <c r="N49" s="61"/>
      <c r="O49" s="58"/>
      <c r="P49" s="58"/>
      <c r="Q49" s="145">
        <v>45</v>
      </c>
      <c r="R49" s="13">
        <v>4</v>
      </c>
      <c r="S49" s="13"/>
      <c r="T49" s="62"/>
      <c r="U49" s="13"/>
      <c r="V49" s="13"/>
      <c r="W49" s="13"/>
      <c r="X49" s="58"/>
      <c r="Y49" s="51">
        <f ca="1">Table25[[#This Row],[End Date]]+2-TODAY()</f>
        <v>-625</v>
      </c>
      <c r="Z49" s="13">
        <f>IF(ISBLANK(Table25[[#This Row],[Roster Received By]]),1,0)</f>
        <v>1</v>
      </c>
      <c r="AA49" s="13">
        <f ca="1">IF(Table25[[#This Row],[Start Date]]&gt;TODAY(),1,)</f>
        <v>0</v>
      </c>
    </row>
    <row r="50" spans="1:27" s="65" customFormat="1" ht="14.25" hidden="1" customHeight="1" x14ac:dyDescent="0.25">
      <c r="A50" s="46"/>
      <c r="B50" s="58" t="s">
        <v>255</v>
      </c>
      <c r="C50" s="59" t="s">
        <v>256</v>
      </c>
      <c r="D50" s="59">
        <v>3555</v>
      </c>
      <c r="E50" s="58" t="s">
        <v>54</v>
      </c>
      <c r="F50" s="61">
        <v>45670</v>
      </c>
      <c r="G50" s="61">
        <v>45673</v>
      </c>
      <c r="H50" s="61"/>
      <c r="I50" s="60">
        <v>0.5</v>
      </c>
      <c r="J50" s="60"/>
      <c r="K50" s="60"/>
      <c r="L50" s="60"/>
      <c r="M50" s="60"/>
      <c r="N50" s="60"/>
      <c r="O50" s="58"/>
      <c r="P50" s="58"/>
      <c r="Q50" s="145">
        <v>45</v>
      </c>
      <c r="R50" s="13">
        <v>4</v>
      </c>
      <c r="S50" s="13"/>
      <c r="T50" s="62"/>
      <c r="U50" s="13"/>
      <c r="V50" s="13"/>
      <c r="W50" s="13"/>
      <c r="X50" s="58"/>
      <c r="Y50" s="51">
        <f ca="1">Table25[[#This Row],[End Date]]+2-TODAY()</f>
        <v>-569</v>
      </c>
      <c r="Z50" s="13">
        <f>IF(ISBLANK(Table25[[#This Row],[Roster Received By]]),1,0)</f>
        <v>1</v>
      </c>
      <c r="AA50" s="13">
        <f ca="1">IF(Table25[[#This Row],[Start Date]]&gt;TODAY(),1,)</f>
        <v>0</v>
      </c>
    </row>
    <row r="51" spans="1:27" s="98" customFormat="1" ht="14.25" hidden="1" customHeight="1" x14ac:dyDescent="0.25">
      <c r="A51" s="46"/>
      <c r="B51" s="58" t="s">
        <v>255</v>
      </c>
      <c r="C51" s="59" t="s">
        <v>256</v>
      </c>
      <c r="D51" s="59">
        <v>3555</v>
      </c>
      <c r="E51" s="58" t="s">
        <v>54</v>
      </c>
      <c r="F51" s="61">
        <v>45691</v>
      </c>
      <c r="G51" s="61">
        <v>45694</v>
      </c>
      <c r="H51" s="61"/>
      <c r="I51" s="60">
        <v>0.5</v>
      </c>
      <c r="J51" s="60"/>
      <c r="K51" s="60"/>
      <c r="L51" s="60"/>
      <c r="M51" s="60"/>
      <c r="N51" s="60"/>
      <c r="O51" s="58"/>
      <c r="P51" s="58"/>
      <c r="Q51" s="145">
        <v>45</v>
      </c>
      <c r="R51" s="13">
        <v>4</v>
      </c>
      <c r="S51" s="13"/>
      <c r="T51" s="62"/>
      <c r="U51" s="13"/>
      <c r="V51" s="13"/>
      <c r="W51" s="13"/>
      <c r="X51" s="58"/>
      <c r="Y51" s="51">
        <f ca="1">Table25[[#This Row],[End Date]]+2-TODAY()</f>
        <v>-548</v>
      </c>
      <c r="Z51" s="13">
        <f>IF(ISBLANK(Table25[[#This Row],[Roster Received By]]),1,0)</f>
        <v>1</v>
      </c>
      <c r="AA51" s="13">
        <f ca="1">IF(Table25[[#This Row],[Start Date]]&gt;TODAY(),1,)</f>
        <v>0</v>
      </c>
    </row>
    <row r="52" spans="1:27" s="94" customFormat="1" ht="14.25" hidden="1" customHeight="1" x14ac:dyDescent="0.25">
      <c r="A52" s="46"/>
      <c r="B52" s="58" t="s">
        <v>255</v>
      </c>
      <c r="C52" s="59" t="s">
        <v>256</v>
      </c>
      <c r="D52" s="59">
        <v>3555</v>
      </c>
      <c r="E52" s="58" t="s">
        <v>54</v>
      </c>
      <c r="F52" s="61">
        <v>45712</v>
      </c>
      <c r="G52" s="61">
        <v>45715</v>
      </c>
      <c r="H52" s="64"/>
      <c r="I52" s="60">
        <v>0.5</v>
      </c>
      <c r="J52" s="64"/>
      <c r="K52" s="64"/>
      <c r="L52" s="64"/>
      <c r="M52" s="64"/>
      <c r="N52" s="61"/>
      <c r="O52" s="58"/>
      <c r="P52" s="58"/>
      <c r="Q52" s="145">
        <v>45</v>
      </c>
      <c r="R52" s="13">
        <v>4</v>
      </c>
      <c r="S52" s="13"/>
      <c r="T52" s="62"/>
      <c r="U52" s="13"/>
      <c r="V52" s="13"/>
      <c r="W52" s="13"/>
      <c r="X52" s="58"/>
      <c r="Y52" s="51">
        <f ca="1">Table25[[#This Row],[End Date]]+2-TODAY()</f>
        <v>-527</v>
      </c>
      <c r="Z52" s="13">
        <f>IF(ISBLANK(Table25[[#This Row],[Roster Received By]]),1,0)</f>
        <v>1</v>
      </c>
      <c r="AA52" s="13">
        <f ca="1">IF(Table25[[#This Row],[Start Date]]&gt;TODAY(),1,)</f>
        <v>0</v>
      </c>
    </row>
    <row r="53" spans="1:27" s="94" customFormat="1" ht="14.25" hidden="1" customHeight="1" x14ac:dyDescent="0.25">
      <c r="A53" s="46"/>
      <c r="B53" s="58" t="s">
        <v>255</v>
      </c>
      <c r="C53" s="59" t="s">
        <v>256</v>
      </c>
      <c r="D53" s="59">
        <v>3555</v>
      </c>
      <c r="E53" s="58" t="s">
        <v>54</v>
      </c>
      <c r="F53" s="61">
        <v>45726</v>
      </c>
      <c r="G53" s="61">
        <v>45729</v>
      </c>
      <c r="H53" s="61"/>
      <c r="I53" s="60">
        <v>0.5</v>
      </c>
      <c r="J53" s="60"/>
      <c r="K53" s="60"/>
      <c r="L53" s="60"/>
      <c r="M53" s="60"/>
      <c r="N53" s="60"/>
      <c r="O53" s="58"/>
      <c r="P53" s="58"/>
      <c r="Q53" s="145">
        <v>45</v>
      </c>
      <c r="R53" s="13">
        <v>4</v>
      </c>
      <c r="S53" s="13"/>
      <c r="T53" s="62"/>
      <c r="U53" s="13"/>
      <c r="V53" s="13"/>
      <c r="W53" s="13"/>
      <c r="X53" s="58"/>
      <c r="Y53" s="51">
        <f ca="1">Table25[[#This Row],[End Date]]+2-TODAY()</f>
        <v>-513</v>
      </c>
      <c r="Z53" s="13">
        <f>IF(ISBLANK(Table25[[#This Row],[Roster Received By]]),1,0)</f>
        <v>1</v>
      </c>
      <c r="AA53" s="13">
        <f ca="1">IF(Table25[[#This Row],[Start Date]]&gt;TODAY(),1,)</f>
        <v>0</v>
      </c>
    </row>
    <row r="54" spans="1:27" s="65" customFormat="1" ht="14.25" hidden="1" customHeight="1" x14ac:dyDescent="0.25">
      <c r="A54" s="46"/>
      <c r="B54" s="58" t="s">
        <v>255</v>
      </c>
      <c r="C54" s="59" t="s">
        <v>256</v>
      </c>
      <c r="D54" s="59">
        <v>3555</v>
      </c>
      <c r="E54" s="58" t="s">
        <v>54</v>
      </c>
      <c r="F54" s="61">
        <v>45747</v>
      </c>
      <c r="G54" s="61">
        <v>45750</v>
      </c>
      <c r="H54" s="67"/>
      <c r="I54" s="60">
        <v>0.5</v>
      </c>
      <c r="J54" s="61"/>
      <c r="K54" s="61"/>
      <c r="L54" s="61"/>
      <c r="M54" s="61"/>
      <c r="N54" s="61"/>
      <c r="O54" s="58"/>
      <c r="P54" s="58"/>
      <c r="Q54" s="145">
        <v>45</v>
      </c>
      <c r="R54" s="13">
        <v>4</v>
      </c>
      <c r="S54" s="13"/>
      <c r="T54" s="62"/>
      <c r="U54" s="13"/>
      <c r="V54" s="13"/>
      <c r="W54" s="13"/>
      <c r="X54" s="58"/>
      <c r="Y54" s="51">
        <f ca="1">Table25[[#This Row],[End Date]]+2-TODAY()</f>
        <v>-492</v>
      </c>
      <c r="Z54" s="13">
        <f>IF(ISBLANK(Table25[[#This Row],[Roster Received By]]),1,0)</f>
        <v>1</v>
      </c>
      <c r="AA54" s="13">
        <f ca="1">IF(Table25[[#This Row],[Start Date]]&gt;TODAY(),1,)</f>
        <v>0</v>
      </c>
    </row>
    <row r="55" spans="1:27" s="65" customFormat="1" ht="14.25" hidden="1" customHeight="1" x14ac:dyDescent="0.25">
      <c r="A55" s="46"/>
      <c r="B55" s="58" t="s">
        <v>255</v>
      </c>
      <c r="C55" s="59" t="s">
        <v>256</v>
      </c>
      <c r="D55" s="59">
        <v>3555</v>
      </c>
      <c r="E55" s="47" t="s">
        <v>54</v>
      </c>
      <c r="F55" s="61">
        <v>45782</v>
      </c>
      <c r="G55" s="61">
        <v>45785</v>
      </c>
      <c r="H55" s="64"/>
      <c r="I55" s="60">
        <v>0.5</v>
      </c>
      <c r="J55" s="61"/>
      <c r="K55" s="61"/>
      <c r="L55" s="61"/>
      <c r="M55" s="61"/>
      <c r="N55" s="61"/>
      <c r="O55" s="58"/>
      <c r="P55" s="58"/>
      <c r="Q55" s="145">
        <v>45</v>
      </c>
      <c r="R55" s="13">
        <v>4</v>
      </c>
      <c r="S55" s="13"/>
      <c r="T55" s="62"/>
      <c r="U55" s="13"/>
      <c r="V55" s="13"/>
      <c r="W55" s="13"/>
      <c r="X55" s="58"/>
      <c r="Y55" s="51">
        <f ca="1">Table25[[#This Row],[End Date]]+2-TODAY()</f>
        <v>-457</v>
      </c>
      <c r="Z55" s="13">
        <f>IF(ISBLANK(Table25[[#This Row],[Roster Received By]]),1,0)</f>
        <v>1</v>
      </c>
      <c r="AA55" s="13">
        <f ca="1">IF(Table25[[#This Row],[Start Date]]&gt;TODAY(),1,)</f>
        <v>0</v>
      </c>
    </row>
    <row r="56" spans="1:27" s="65" customFormat="1" ht="14.25" hidden="1" customHeight="1" x14ac:dyDescent="0.25">
      <c r="A56" s="46"/>
      <c r="B56" s="58" t="s">
        <v>255</v>
      </c>
      <c r="C56" s="59" t="s">
        <v>256</v>
      </c>
      <c r="D56" s="59">
        <v>3555</v>
      </c>
      <c r="E56" s="47" t="s">
        <v>54</v>
      </c>
      <c r="F56" s="61">
        <v>45804</v>
      </c>
      <c r="G56" s="61">
        <v>45807</v>
      </c>
      <c r="H56" s="64"/>
      <c r="I56" s="60">
        <v>0.5</v>
      </c>
      <c r="J56" s="61"/>
      <c r="K56" s="61"/>
      <c r="L56" s="61"/>
      <c r="M56" s="61"/>
      <c r="N56" s="61"/>
      <c r="O56" s="58"/>
      <c r="P56" s="58"/>
      <c r="Q56" s="145">
        <v>45</v>
      </c>
      <c r="R56" s="13">
        <v>4</v>
      </c>
      <c r="S56" s="13"/>
      <c r="T56" s="62"/>
      <c r="U56" s="13"/>
      <c r="V56" s="13"/>
      <c r="W56" s="13"/>
      <c r="X56" s="58"/>
      <c r="Y56" s="51">
        <f ca="1">Table25[[#This Row],[End Date]]+2-TODAY()</f>
        <v>-435</v>
      </c>
      <c r="Z56" s="13">
        <f>IF(ISBLANK(Table25[[#This Row],[Roster Received By]]),1,0)</f>
        <v>1</v>
      </c>
      <c r="AA56" s="13">
        <f ca="1">IF(Table25[[#This Row],[Start Date]]&gt;TODAY(),1,)</f>
        <v>0</v>
      </c>
    </row>
    <row r="57" spans="1:27" s="65" customFormat="1" ht="14.25" hidden="1" customHeight="1" x14ac:dyDescent="0.25">
      <c r="A57" s="46"/>
      <c r="B57" s="58" t="s">
        <v>255</v>
      </c>
      <c r="C57" s="59" t="s">
        <v>256</v>
      </c>
      <c r="D57" s="59">
        <v>3555</v>
      </c>
      <c r="E57" s="58" t="s">
        <v>54</v>
      </c>
      <c r="F57" s="61">
        <v>45817</v>
      </c>
      <c r="G57" s="61">
        <v>45820</v>
      </c>
      <c r="H57" s="61"/>
      <c r="I57" s="60">
        <v>0.5</v>
      </c>
      <c r="J57" s="60"/>
      <c r="K57" s="60"/>
      <c r="L57" s="60"/>
      <c r="M57" s="60"/>
      <c r="N57" s="60"/>
      <c r="O57" s="58"/>
      <c r="P57" s="58"/>
      <c r="Q57" s="145">
        <v>45</v>
      </c>
      <c r="R57" s="13">
        <v>4</v>
      </c>
      <c r="S57" s="13"/>
      <c r="T57" s="62"/>
      <c r="U57" s="13"/>
      <c r="V57" s="13"/>
      <c r="W57" s="13"/>
      <c r="X57" s="58"/>
      <c r="Y57" s="51">
        <f ca="1">Table25[[#This Row],[End Date]]+2-TODAY()</f>
        <v>-422</v>
      </c>
      <c r="Z57" s="13">
        <f>IF(ISBLANK(Table25[[#This Row],[Roster Received By]]),1,0)</f>
        <v>1</v>
      </c>
      <c r="AA57" s="13">
        <f ca="1">IF(Table25[[#This Row],[Start Date]]&gt;TODAY(),1,)</f>
        <v>0</v>
      </c>
    </row>
    <row r="58" spans="1:27" s="65" customFormat="1" ht="14.25" hidden="1" customHeight="1" x14ac:dyDescent="0.25">
      <c r="A58" s="46"/>
      <c r="B58" s="58" t="s">
        <v>255</v>
      </c>
      <c r="C58" s="59" t="s">
        <v>256</v>
      </c>
      <c r="D58" s="59">
        <v>3555</v>
      </c>
      <c r="E58" s="58" t="s">
        <v>54</v>
      </c>
      <c r="F58" s="61">
        <v>45831</v>
      </c>
      <c r="G58" s="61">
        <v>45834</v>
      </c>
      <c r="H58" s="64"/>
      <c r="I58" s="60">
        <v>0.5</v>
      </c>
      <c r="J58" s="61"/>
      <c r="K58" s="61"/>
      <c r="L58" s="61"/>
      <c r="M58" s="61"/>
      <c r="N58" s="61"/>
      <c r="O58" s="58"/>
      <c r="P58" s="58"/>
      <c r="Q58" s="145">
        <v>45</v>
      </c>
      <c r="R58" s="13">
        <v>4</v>
      </c>
      <c r="S58" s="13"/>
      <c r="T58" s="62"/>
      <c r="U58" s="13"/>
      <c r="V58" s="13"/>
      <c r="W58" s="13"/>
      <c r="X58" s="58"/>
      <c r="Y58" s="51">
        <f ca="1">Table25[[#This Row],[End Date]]+2-TODAY()</f>
        <v>-408</v>
      </c>
      <c r="Z58" s="13">
        <f>IF(ISBLANK(Table25[[#This Row],[Roster Received By]]),1,0)</f>
        <v>1</v>
      </c>
      <c r="AA58" s="13">
        <f ca="1">IF(Table25[[#This Row],[Start Date]]&gt;TODAY(),1,)</f>
        <v>0</v>
      </c>
    </row>
    <row r="59" spans="1:27" s="65" customFormat="1" ht="16.5" hidden="1" customHeight="1" x14ac:dyDescent="0.25">
      <c r="A59" s="46"/>
      <c r="B59" s="58" t="s">
        <v>255</v>
      </c>
      <c r="C59" s="59" t="s">
        <v>256</v>
      </c>
      <c r="D59" s="59">
        <v>3555</v>
      </c>
      <c r="E59" s="58" t="s">
        <v>54</v>
      </c>
      <c r="F59" s="49">
        <v>45866</v>
      </c>
      <c r="G59" s="49">
        <v>45869</v>
      </c>
      <c r="H59" s="49"/>
      <c r="I59" s="60">
        <v>0.5</v>
      </c>
      <c r="J59" s="60"/>
      <c r="K59" s="60"/>
      <c r="L59" s="60"/>
      <c r="M59" s="60"/>
      <c r="N59" s="60"/>
      <c r="O59" s="58"/>
      <c r="P59" s="58"/>
      <c r="Q59" s="145">
        <v>45</v>
      </c>
      <c r="R59" s="13">
        <v>4</v>
      </c>
      <c r="S59" s="13"/>
      <c r="T59" s="62"/>
      <c r="U59" s="13"/>
      <c r="V59" s="13"/>
      <c r="W59" s="13"/>
      <c r="X59" s="58"/>
      <c r="Y59" s="51">
        <f ca="1">Table25[[#This Row],[End Date]]+2-TODAY()</f>
        <v>-373</v>
      </c>
      <c r="Z59" s="13">
        <f>IF(ISBLANK(Table25[[#This Row],[Roster Received By]]),1,0)</f>
        <v>1</v>
      </c>
      <c r="AA59" s="13">
        <f ca="1">IF(Table25[[#This Row],[Start Date]]&gt;TODAY(),1,)</f>
        <v>0</v>
      </c>
    </row>
    <row r="60" spans="1:27" s="65" customFormat="1" ht="14.25" hidden="1" customHeight="1" x14ac:dyDescent="0.25">
      <c r="A60" s="46"/>
      <c r="B60" s="58" t="s">
        <v>255</v>
      </c>
      <c r="C60" s="59" t="s">
        <v>256</v>
      </c>
      <c r="D60" s="59">
        <v>3555</v>
      </c>
      <c r="E60" s="58" t="s">
        <v>54</v>
      </c>
      <c r="F60" s="61">
        <v>45880</v>
      </c>
      <c r="G60" s="61">
        <v>45883</v>
      </c>
      <c r="H60" s="61"/>
      <c r="I60" s="60">
        <v>0.5</v>
      </c>
      <c r="J60" s="60"/>
      <c r="K60" s="60"/>
      <c r="L60" s="60"/>
      <c r="M60" s="60"/>
      <c r="N60" s="60"/>
      <c r="O60" s="58"/>
      <c r="P60" s="58"/>
      <c r="Q60" s="145">
        <v>45</v>
      </c>
      <c r="R60" s="13">
        <v>4</v>
      </c>
      <c r="S60" s="13"/>
      <c r="T60" s="62"/>
      <c r="U60" s="13"/>
      <c r="V60" s="13"/>
      <c r="W60" s="13"/>
      <c r="X60" s="58"/>
      <c r="Y60" s="51">
        <f ca="1">Table25[[#This Row],[End Date]]+2-TODAY()</f>
        <v>-359</v>
      </c>
      <c r="Z60" s="13">
        <f>IF(ISBLANK(Table25[[#This Row],[Roster Received By]]),1,0)</f>
        <v>1</v>
      </c>
      <c r="AA60" s="13">
        <f ca="1">IF(Table25[[#This Row],[Start Date]]&gt;TODAY(),1,)</f>
        <v>0</v>
      </c>
    </row>
    <row r="61" spans="1:27" s="65" customFormat="1" ht="16.5" hidden="1" customHeight="1" x14ac:dyDescent="0.25">
      <c r="A61" s="46"/>
      <c r="B61" s="58" t="s">
        <v>255</v>
      </c>
      <c r="C61" s="59" t="s">
        <v>256</v>
      </c>
      <c r="D61" s="59">
        <v>3555</v>
      </c>
      <c r="E61" s="58" t="s">
        <v>54</v>
      </c>
      <c r="F61" s="61">
        <v>45894</v>
      </c>
      <c r="G61" s="61">
        <v>45897</v>
      </c>
      <c r="H61" s="61"/>
      <c r="I61" s="60">
        <v>0.5</v>
      </c>
      <c r="J61" s="60"/>
      <c r="K61" s="60"/>
      <c r="L61" s="60"/>
      <c r="M61" s="60"/>
      <c r="N61" s="60"/>
      <c r="O61" s="58"/>
      <c r="P61" s="58"/>
      <c r="Q61" s="145">
        <v>45</v>
      </c>
      <c r="R61" s="13">
        <v>4</v>
      </c>
      <c r="S61" s="13"/>
      <c r="T61" s="62"/>
      <c r="U61" s="13"/>
      <c r="V61" s="13"/>
      <c r="W61" s="13"/>
      <c r="X61" s="58"/>
      <c r="Y61" s="51">
        <f ca="1">Table25[[#This Row],[End Date]]+2-TODAY()</f>
        <v>-345</v>
      </c>
      <c r="Z61" s="13">
        <f>IF(ISBLANK(Table25[[#This Row],[Roster Received By]]),1,0)</f>
        <v>1</v>
      </c>
      <c r="AA61" s="13">
        <f ca="1">IF(Table25[[#This Row],[Start Date]]&gt;TODAY(),1,)</f>
        <v>0</v>
      </c>
    </row>
    <row r="62" spans="1:27" s="94" customFormat="1" ht="14.25" hidden="1" customHeight="1" x14ac:dyDescent="0.25">
      <c r="A62" s="46"/>
      <c r="B62" s="58" t="s">
        <v>255</v>
      </c>
      <c r="C62" s="59" t="s">
        <v>256</v>
      </c>
      <c r="D62" s="59">
        <v>3555</v>
      </c>
      <c r="E62" s="58" t="s">
        <v>54</v>
      </c>
      <c r="F62" s="61">
        <v>45908</v>
      </c>
      <c r="G62" s="61">
        <v>45911</v>
      </c>
      <c r="H62" s="61"/>
      <c r="I62" s="60">
        <v>0.5</v>
      </c>
      <c r="J62" s="60"/>
      <c r="K62" s="60"/>
      <c r="L62" s="60"/>
      <c r="M62" s="60"/>
      <c r="N62" s="60"/>
      <c r="O62" s="58"/>
      <c r="P62" s="58"/>
      <c r="Q62" s="145">
        <v>45</v>
      </c>
      <c r="R62" s="13">
        <v>4</v>
      </c>
      <c r="S62" s="13"/>
      <c r="T62" s="62"/>
      <c r="U62" s="13"/>
      <c r="V62" s="13"/>
      <c r="W62" s="66"/>
      <c r="X62" s="58"/>
      <c r="Y62" s="51">
        <f ca="1">Table25[[#This Row],[End Date]]+2-TODAY()</f>
        <v>-331</v>
      </c>
      <c r="Z62" s="13">
        <f>IF(ISBLANK(Table25[[#This Row],[Roster Received By]]),1,0)</f>
        <v>1</v>
      </c>
      <c r="AA62" s="13">
        <f ca="1">IF(Table25[[#This Row],[Start Date]]&gt;TODAY(),1,)</f>
        <v>0</v>
      </c>
    </row>
    <row r="63" spans="1:27" s="65" customFormat="1" ht="14.25" hidden="1" customHeight="1" x14ac:dyDescent="0.25">
      <c r="A63" s="46"/>
      <c r="B63" s="58" t="s">
        <v>255</v>
      </c>
      <c r="C63" s="59" t="s">
        <v>256</v>
      </c>
      <c r="D63" s="59">
        <v>3555</v>
      </c>
      <c r="E63" s="58" t="s">
        <v>54</v>
      </c>
      <c r="F63" s="61">
        <v>45922</v>
      </c>
      <c r="G63" s="61">
        <v>45925</v>
      </c>
      <c r="H63" s="64"/>
      <c r="I63" s="60">
        <v>0.5</v>
      </c>
      <c r="J63" s="61"/>
      <c r="K63" s="61"/>
      <c r="L63" s="61"/>
      <c r="M63" s="61"/>
      <c r="N63" s="61"/>
      <c r="O63" s="58"/>
      <c r="P63" s="58"/>
      <c r="Q63" s="145">
        <v>45</v>
      </c>
      <c r="R63" s="13">
        <v>4</v>
      </c>
      <c r="S63" s="13"/>
      <c r="T63" s="62"/>
      <c r="U63" s="13"/>
      <c r="V63" s="13"/>
      <c r="W63" s="13"/>
      <c r="X63" s="58"/>
      <c r="Y63" s="51">
        <f ca="1">Table25[[#This Row],[End Date]]+2-TODAY()</f>
        <v>-317</v>
      </c>
      <c r="Z63" s="13">
        <f>IF(ISBLANK(Table25[[#This Row],[Roster Received By]]),1,0)</f>
        <v>1</v>
      </c>
      <c r="AA63" s="13">
        <f ca="1">IF(Table25[[#This Row],[Start Date]]&gt;TODAY(),1,)</f>
        <v>0</v>
      </c>
    </row>
    <row r="64" spans="1:27" s="65" customFormat="1" ht="14.25" hidden="1" customHeight="1" x14ac:dyDescent="0.25">
      <c r="A64" s="46"/>
      <c r="B64" s="96" t="s">
        <v>72</v>
      </c>
      <c r="C64" s="59" t="s">
        <v>136</v>
      </c>
      <c r="D64" s="59">
        <v>5891</v>
      </c>
      <c r="E64" s="58" t="s">
        <v>52</v>
      </c>
      <c r="F64" s="61">
        <v>45804</v>
      </c>
      <c r="G64" s="61">
        <v>45806</v>
      </c>
      <c r="H64" s="64">
        <v>0.33333333333333331</v>
      </c>
      <c r="I64" s="60"/>
      <c r="J64" s="60"/>
      <c r="K64" s="60"/>
      <c r="L64" s="60"/>
      <c r="M64" s="60"/>
      <c r="N64" s="60"/>
      <c r="O64" s="58"/>
      <c r="P64" s="58"/>
      <c r="Q64" s="13">
        <v>25</v>
      </c>
      <c r="R64" s="13">
        <v>3</v>
      </c>
      <c r="S64" s="13"/>
      <c r="T64" s="62"/>
      <c r="U64" s="13"/>
      <c r="V64" s="13"/>
      <c r="W64" s="63"/>
      <c r="X64" s="58"/>
      <c r="Y64" s="51">
        <f ca="1">Table25[[#This Row],[End Date]]+2-TODAY()</f>
        <v>-436</v>
      </c>
      <c r="Z64" s="13">
        <f>IF(ISBLANK(Table25[[#This Row],[Roster Received By]]),1,0)</f>
        <v>1</v>
      </c>
      <c r="AA64" s="13">
        <f ca="1">IF(Table25[[#This Row],[Start Date]]&gt;TODAY(),1,)</f>
        <v>0</v>
      </c>
    </row>
    <row r="65" spans="1:27" s="65" customFormat="1" ht="14.25" customHeight="1" x14ac:dyDescent="0.25">
      <c r="A65" s="46"/>
      <c r="B65" s="58" t="s">
        <v>77</v>
      </c>
      <c r="C65" s="59" t="s">
        <v>244</v>
      </c>
      <c r="D65" s="59" t="s">
        <v>245</v>
      </c>
      <c r="E65" s="58" t="s">
        <v>257</v>
      </c>
      <c r="F65" s="61">
        <v>45628</v>
      </c>
      <c r="G65" s="61">
        <v>45632</v>
      </c>
      <c r="H65" s="64">
        <v>0.33333333333333331</v>
      </c>
      <c r="I65" s="60"/>
      <c r="J65" s="64"/>
      <c r="K65" s="64"/>
      <c r="L65" s="64"/>
      <c r="M65" s="64"/>
      <c r="N65" s="64"/>
      <c r="O65" s="58"/>
      <c r="P65" s="58"/>
      <c r="Q65" s="13">
        <v>30</v>
      </c>
      <c r="R65" s="13">
        <v>5</v>
      </c>
      <c r="S65" s="13"/>
      <c r="T65" s="62"/>
      <c r="U65" s="13"/>
      <c r="V65" s="13"/>
      <c r="W65" s="59"/>
      <c r="X65" s="58"/>
      <c r="Y65" s="51">
        <f ca="1">Table25[[#This Row],[End Date]]+2-TODAY()</f>
        <v>-610</v>
      </c>
      <c r="Z65" s="13">
        <f>IF(ISBLANK(Table25[[#This Row],[Roster Received By]]),1,0)</f>
        <v>1</v>
      </c>
      <c r="AA65" s="13">
        <f ca="1">IF(Table25[[#This Row],[Start Date]]&gt;TODAY(),1,)</f>
        <v>0</v>
      </c>
    </row>
    <row r="66" spans="1:27" s="65" customFormat="1" ht="14.25" customHeight="1" x14ac:dyDescent="0.25">
      <c r="A66" s="46"/>
      <c r="B66" s="58" t="s">
        <v>77</v>
      </c>
      <c r="C66" s="59" t="s">
        <v>244</v>
      </c>
      <c r="D66" s="59" t="s">
        <v>245</v>
      </c>
      <c r="E66" s="58" t="s">
        <v>93</v>
      </c>
      <c r="F66" s="61">
        <v>45796</v>
      </c>
      <c r="G66" s="61">
        <v>45800</v>
      </c>
      <c r="H66" s="64">
        <v>0.33333333333333331</v>
      </c>
      <c r="I66" s="64"/>
      <c r="J66" s="61"/>
      <c r="K66" s="61"/>
      <c r="L66" s="61"/>
      <c r="M66" s="61"/>
      <c r="N66" s="61"/>
      <c r="O66" s="58"/>
      <c r="P66" s="58"/>
      <c r="Q66" s="13">
        <v>30</v>
      </c>
      <c r="R66" s="13">
        <v>5</v>
      </c>
      <c r="S66" s="13"/>
      <c r="T66" s="62"/>
      <c r="U66" s="13"/>
      <c r="V66" s="13"/>
      <c r="W66" s="13"/>
      <c r="X66" s="58"/>
      <c r="Y66" s="51">
        <f ca="1">Table25[[#This Row],[End Date]]+2-TODAY()</f>
        <v>-442</v>
      </c>
      <c r="Z66" s="13">
        <f>IF(ISBLANK(Table25[[#This Row],[Roster Received By]]),1,0)</f>
        <v>1</v>
      </c>
      <c r="AA66" s="13">
        <f ca="1">IF(Table25[[#This Row],[Start Date]]&gt;TODAY(),1,)</f>
        <v>0</v>
      </c>
    </row>
    <row r="67" spans="1:27" s="65" customFormat="1" ht="14.25" hidden="1" customHeight="1" x14ac:dyDescent="0.25">
      <c r="A67" s="46"/>
      <c r="B67" s="58" t="s">
        <v>72</v>
      </c>
      <c r="C67" s="59" t="s">
        <v>136</v>
      </c>
      <c r="D67" s="59">
        <v>5891</v>
      </c>
      <c r="E67" s="58" t="s">
        <v>258</v>
      </c>
      <c r="F67" s="61">
        <v>45839</v>
      </c>
      <c r="G67" s="61">
        <v>45841</v>
      </c>
      <c r="H67" s="64">
        <v>0.33333333333333331</v>
      </c>
      <c r="I67" s="60"/>
      <c r="J67" s="60"/>
      <c r="K67" s="60"/>
      <c r="L67" s="60"/>
      <c r="M67" s="60"/>
      <c r="N67" s="60"/>
      <c r="O67" s="58"/>
      <c r="P67" s="58"/>
      <c r="Q67" s="13">
        <v>25</v>
      </c>
      <c r="R67" s="13">
        <v>3</v>
      </c>
      <c r="S67" s="13"/>
      <c r="T67" s="62"/>
      <c r="U67" s="13"/>
      <c r="V67" s="13"/>
      <c r="W67" s="13"/>
      <c r="X67" s="58"/>
      <c r="Y67" s="51">
        <f ca="1">Table25[[#This Row],[End Date]]+2-TODAY()</f>
        <v>-401</v>
      </c>
      <c r="Z67" s="13">
        <f>IF(ISBLANK(Table25[[#This Row],[Roster Received By]]),1,0)</f>
        <v>1</v>
      </c>
      <c r="AA67" s="13">
        <f ca="1">IF(Table25[[#This Row],[Start Date]]&gt;TODAY(),1,)</f>
        <v>0</v>
      </c>
    </row>
    <row r="68" spans="1:27" s="65" customFormat="1" ht="14.25" customHeight="1" x14ac:dyDescent="0.25">
      <c r="A68" s="46"/>
      <c r="B68" s="58" t="s">
        <v>77</v>
      </c>
      <c r="C68" s="59" t="s">
        <v>244</v>
      </c>
      <c r="D68" s="59" t="s">
        <v>245</v>
      </c>
      <c r="E68" s="58" t="s">
        <v>258</v>
      </c>
      <c r="F68" s="49">
        <v>45845</v>
      </c>
      <c r="G68" s="49">
        <v>45849</v>
      </c>
      <c r="H68" s="64">
        <v>0.33333333333333331</v>
      </c>
      <c r="I68" s="60"/>
      <c r="J68" s="60"/>
      <c r="K68" s="60"/>
      <c r="L68" s="60"/>
      <c r="M68" s="60"/>
      <c r="N68" s="60"/>
      <c r="O68" s="58"/>
      <c r="P68" s="58"/>
      <c r="Q68" s="13">
        <v>30</v>
      </c>
      <c r="R68" s="13">
        <v>5</v>
      </c>
      <c r="S68" s="13"/>
      <c r="T68" s="62"/>
      <c r="U68" s="13"/>
      <c r="V68" s="13"/>
      <c r="W68" s="13"/>
      <c r="X68" s="58"/>
      <c r="Y68" s="51">
        <f ca="1">Table25[[#This Row],[End Date]]+2-TODAY()</f>
        <v>-393</v>
      </c>
      <c r="Z68" s="13">
        <f>IF(ISBLANK(Table25[[#This Row],[Roster Received By]]),1,0)</f>
        <v>1</v>
      </c>
      <c r="AA68" s="13">
        <f ca="1">IF(Table25[[#This Row],[Start Date]]&gt;TODAY(),1,)</f>
        <v>0</v>
      </c>
    </row>
    <row r="69" spans="1:27" s="65" customFormat="1" ht="14.25" customHeight="1" x14ac:dyDescent="0.25">
      <c r="A69" s="46"/>
      <c r="B69" s="58" t="s">
        <v>77</v>
      </c>
      <c r="C69" s="59" t="s">
        <v>244</v>
      </c>
      <c r="D69" s="59" t="s">
        <v>245</v>
      </c>
      <c r="E69" s="58" t="s">
        <v>96</v>
      </c>
      <c r="F69" s="61">
        <v>45684</v>
      </c>
      <c r="G69" s="61">
        <v>45688</v>
      </c>
      <c r="H69" s="64">
        <v>0.33333333333333331</v>
      </c>
      <c r="I69" s="60"/>
      <c r="J69" s="64"/>
      <c r="K69" s="64"/>
      <c r="L69" s="64"/>
      <c r="M69" s="64"/>
      <c r="N69" s="64"/>
      <c r="O69" s="58"/>
      <c r="P69" s="58"/>
      <c r="Q69" s="13">
        <v>30</v>
      </c>
      <c r="R69" s="13">
        <v>5</v>
      </c>
      <c r="S69" s="13"/>
      <c r="T69" s="62"/>
      <c r="U69" s="13"/>
      <c r="V69" s="13"/>
      <c r="W69" s="13"/>
      <c r="X69" s="58"/>
      <c r="Y69" s="51">
        <f ca="1">Table25[[#This Row],[End Date]]+2-TODAY()</f>
        <v>-554</v>
      </c>
      <c r="Z69" s="13">
        <f>IF(ISBLANK(Table25[[#This Row],[Roster Received By]]),1,0)</f>
        <v>1</v>
      </c>
      <c r="AA69" s="13">
        <f ca="1">IF(Table25[[#This Row],[Start Date]]&gt;TODAY(),1,)</f>
        <v>0</v>
      </c>
    </row>
    <row r="70" spans="1:27" s="65" customFormat="1" ht="14.25" customHeight="1" x14ac:dyDescent="0.25">
      <c r="A70" s="46"/>
      <c r="B70" s="58" t="s">
        <v>77</v>
      </c>
      <c r="C70" s="59" t="s">
        <v>244</v>
      </c>
      <c r="D70" s="59" t="s">
        <v>245</v>
      </c>
      <c r="E70" s="58" t="s">
        <v>96</v>
      </c>
      <c r="F70" s="49">
        <v>45831</v>
      </c>
      <c r="G70" s="49">
        <v>45835</v>
      </c>
      <c r="H70" s="64">
        <v>0.33333333333333331</v>
      </c>
      <c r="I70" s="60"/>
      <c r="J70" s="60"/>
      <c r="K70" s="60"/>
      <c r="L70" s="60"/>
      <c r="M70" s="60"/>
      <c r="N70" s="60"/>
      <c r="O70" s="58"/>
      <c r="P70" s="58"/>
      <c r="Q70" s="13">
        <v>30</v>
      </c>
      <c r="R70" s="13">
        <v>5</v>
      </c>
      <c r="S70" s="13"/>
      <c r="T70" s="62"/>
      <c r="U70" s="13"/>
      <c r="V70" s="13"/>
      <c r="W70" s="13"/>
      <c r="X70" s="58"/>
      <c r="Y70" s="51">
        <f ca="1">Table25[[#This Row],[End Date]]+2-TODAY()</f>
        <v>-407</v>
      </c>
      <c r="Z70" s="13">
        <f>IF(ISBLANK(Table25[[#This Row],[Roster Received By]]),1,0)</f>
        <v>1</v>
      </c>
      <c r="AA70" s="13">
        <f ca="1">IF(Table25[[#This Row],[Start Date]]&gt;TODAY(),1,)</f>
        <v>0</v>
      </c>
    </row>
    <row r="71" spans="1:27" s="65" customFormat="1" ht="14.25" customHeight="1" x14ac:dyDescent="0.25">
      <c r="A71" s="46"/>
      <c r="B71" s="58" t="s">
        <v>77</v>
      </c>
      <c r="C71" s="59" t="s">
        <v>244</v>
      </c>
      <c r="D71" s="59" t="s">
        <v>245</v>
      </c>
      <c r="E71" s="58" t="s">
        <v>41</v>
      </c>
      <c r="F71" s="61">
        <v>45852</v>
      </c>
      <c r="G71" s="61">
        <v>45856</v>
      </c>
      <c r="H71" s="64">
        <v>0.33333333333333331</v>
      </c>
      <c r="I71" s="60"/>
      <c r="J71" s="60"/>
      <c r="K71" s="60"/>
      <c r="L71" s="60"/>
      <c r="M71" s="60"/>
      <c r="N71" s="60"/>
      <c r="O71" s="58"/>
      <c r="P71" s="58"/>
      <c r="Q71" s="13">
        <v>30</v>
      </c>
      <c r="R71" s="13">
        <v>5</v>
      </c>
      <c r="S71" s="13"/>
      <c r="T71" s="62"/>
      <c r="U71" s="13"/>
      <c r="V71" s="13"/>
      <c r="W71" s="13"/>
      <c r="X71" s="58"/>
      <c r="Y71" s="51">
        <f ca="1">Table25[[#This Row],[End Date]]+2-TODAY()</f>
        <v>-386</v>
      </c>
      <c r="Z71" s="13">
        <f>IF(ISBLANK(Table25[[#This Row],[Roster Received By]]),1,0)</f>
        <v>1</v>
      </c>
      <c r="AA71" s="13">
        <f ca="1">IF(Table25[[#This Row],[Start Date]]&gt;TODAY(),1,)</f>
        <v>0</v>
      </c>
    </row>
    <row r="72" spans="1:27" s="65" customFormat="1" ht="14.25" customHeight="1" x14ac:dyDescent="0.25">
      <c r="A72" s="46"/>
      <c r="B72" s="58" t="s">
        <v>77</v>
      </c>
      <c r="C72" s="59" t="s">
        <v>244</v>
      </c>
      <c r="D72" s="59" t="s">
        <v>245</v>
      </c>
      <c r="E72" s="58" t="s">
        <v>259</v>
      </c>
      <c r="F72" s="61">
        <v>45719</v>
      </c>
      <c r="G72" s="61">
        <v>45723</v>
      </c>
      <c r="H72" s="64">
        <v>0.33333333333333331</v>
      </c>
      <c r="I72" s="60"/>
      <c r="J72" s="64"/>
      <c r="K72" s="64"/>
      <c r="L72" s="64"/>
      <c r="M72" s="64"/>
      <c r="N72" s="64"/>
      <c r="O72" s="58"/>
      <c r="P72" s="58"/>
      <c r="Q72" s="13">
        <v>30</v>
      </c>
      <c r="R72" s="13">
        <v>5</v>
      </c>
      <c r="S72" s="13"/>
      <c r="T72" s="62"/>
      <c r="U72" s="13"/>
      <c r="V72" s="13"/>
      <c r="W72" s="62"/>
      <c r="X72" s="58"/>
      <c r="Y72" s="51">
        <f ca="1">Table25[[#This Row],[End Date]]+2-TODAY()</f>
        <v>-519</v>
      </c>
      <c r="Z72" s="13">
        <f>IF(ISBLANK(Table25[[#This Row],[Roster Received By]]),1,0)</f>
        <v>1</v>
      </c>
      <c r="AA72" s="13">
        <f ca="1">IF(Table25[[#This Row],[Start Date]]&gt;TODAY(),1,)</f>
        <v>0</v>
      </c>
    </row>
    <row r="73" spans="1:27" s="65" customFormat="1" ht="14.25" hidden="1" customHeight="1" x14ac:dyDescent="0.25">
      <c r="A73" s="58"/>
      <c r="B73" s="58" t="s">
        <v>152</v>
      </c>
      <c r="C73" s="59" t="s">
        <v>260</v>
      </c>
      <c r="D73" s="59">
        <v>3878</v>
      </c>
      <c r="E73" s="47" t="s">
        <v>130</v>
      </c>
      <c r="F73" s="61">
        <v>45593</v>
      </c>
      <c r="G73" s="61">
        <v>45595</v>
      </c>
      <c r="H73" s="64">
        <v>0.33333333333333331</v>
      </c>
      <c r="I73" s="64"/>
      <c r="J73" s="61"/>
      <c r="K73" s="61"/>
      <c r="L73" s="61"/>
      <c r="M73" s="61"/>
      <c r="N73" s="61"/>
      <c r="O73" s="58"/>
      <c r="P73" s="58"/>
      <c r="Q73" s="13">
        <v>25</v>
      </c>
      <c r="R73" s="13">
        <v>3</v>
      </c>
      <c r="S73" s="13"/>
      <c r="T73" s="62"/>
      <c r="U73" s="13"/>
      <c r="V73" s="13"/>
      <c r="W73" s="13"/>
      <c r="X73" s="58"/>
      <c r="Y73" s="51">
        <f ca="1">Table25[[#This Row],[End Date]]+2-TODAY()</f>
        <v>-647</v>
      </c>
      <c r="Z73" s="13">
        <f>IF(ISBLANK(Table25[[#This Row],[Roster Received By]]),1,0)</f>
        <v>1</v>
      </c>
      <c r="AA73" s="13">
        <f ca="1">IF(Table25[[#This Row],[Start Date]]&gt;TODAY(),1,)</f>
        <v>0</v>
      </c>
    </row>
    <row r="74" spans="1:27" s="65" customFormat="1" ht="14.25" hidden="1" customHeight="1" x14ac:dyDescent="0.25">
      <c r="A74" s="46"/>
      <c r="B74" s="58" t="s">
        <v>63</v>
      </c>
      <c r="C74" s="59" t="s">
        <v>246</v>
      </c>
      <c r="D74" s="59">
        <v>3879</v>
      </c>
      <c r="E74" s="58" t="s">
        <v>130</v>
      </c>
      <c r="F74" s="61">
        <v>45581</v>
      </c>
      <c r="G74" s="61">
        <v>45581</v>
      </c>
      <c r="H74" s="64">
        <v>0.33333333333333331</v>
      </c>
      <c r="I74" s="60"/>
      <c r="J74" s="60"/>
      <c r="K74" s="60"/>
      <c r="L74" s="60"/>
      <c r="M74" s="60"/>
      <c r="N74" s="60"/>
      <c r="O74" s="58"/>
      <c r="P74" s="58"/>
      <c r="Q74" s="13">
        <v>30</v>
      </c>
      <c r="R74" s="13">
        <v>1</v>
      </c>
      <c r="S74" s="13"/>
      <c r="T74" s="62"/>
      <c r="U74" s="13"/>
      <c r="V74" s="13"/>
      <c r="W74" s="13"/>
      <c r="X74" s="58"/>
      <c r="Y74" s="51">
        <f ca="1">Table25[[#This Row],[End Date]]+2-TODAY()</f>
        <v>-661</v>
      </c>
      <c r="Z74" s="13">
        <f>IF(ISBLANK(Table25[[#This Row],[Roster Received By]]),1,0)</f>
        <v>1</v>
      </c>
      <c r="AA74" s="13">
        <f ca="1">IF(Table25[[#This Row],[Start Date]]&gt;TODAY(),1,)</f>
        <v>0</v>
      </c>
    </row>
    <row r="75" spans="1:27" s="65" customFormat="1" ht="14.25" hidden="1" customHeight="1" x14ac:dyDescent="0.25">
      <c r="A75" s="46"/>
      <c r="B75" s="58" t="s">
        <v>261</v>
      </c>
      <c r="C75" s="59" t="s">
        <v>262</v>
      </c>
      <c r="D75" s="59">
        <v>3882</v>
      </c>
      <c r="E75" s="58" t="s">
        <v>130</v>
      </c>
      <c r="F75" s="61">
        <v>45596</v>
      </c>
      <c r="G75" s="61">
        <v>45597</v>
      </c>
      <c r="H75" s="64">
        <v>0.33333333333333331</v>
      </c>
      <c r="I75" s="64"/>
      <c r="J75" s="61"/>
      <c r="K75" s="61"/>
      <c r="L75" s="61"/>
      <c r="M75" s="61"/>
      <c r="N75" s="61"/>
      <c r="O75" s="58"/>
      <c r="P75" s="58"/>
      <c r="Q75" s="13">
        <v>25</v>
      </c>
      <c r="R75" s="13">
        <v>2</v>
      </c>
      <c r="S75" s="13"/>
      <c r="T75" s="62"/>
      <c r="U75" s="13"/>
      <c r="V75" s="13"/>
      <c r="W75" s="59"/>
      <c r="X75" s="58"/>
      <c r="Y75" s="51">
        <f ca="1">Table25[[#This Row],[End Date]]+2-TODAY()</f>
        <v>-645</v>
      </c>
      <c r="Z75" s="13">
        <f>IF(ISBLANK(Table25[[#This Row],[Roster Received By]]),1,0)</f>
        <v>1</v>
      </c>
      <c r="AA75" s="13">
        <f ca="1">IF(Table25[[#This Row],[Start Date]]&gt;TODAY(),1,)</f>
        <v>0</v>
      </c>
    </row>
    <row r="76" spans="1:27" s="65" customFormat="1" hidden="1" x14ac:dyDescent="0.25">
      <c r="A76" s="46"/>
      <c r="B76" s="58" t="s">
        <v>64</v>
      </c>
      <c r="C76" s="59" t="s">
        <v>247</v>
      </c>
      <c r="D76" s="59">
        <v>3888</v>
      </c>
      <c r="E76" s="58" t="s">
        <v>130</v>
      </c>
      <c r="F76" s="61">
        <v>45581</v>
      </c>
      <c r="G76" s="61">
        <v>45581</v>
      </c>
      <c r="H76" s="60">
        <v>0.5</v>
      </c>
      <c r="I76" s="64"/>
      <c r="J76" s="61"/>
      <c r="K76" s="61"/>
      <c r="L76" s="61"/>
      <c r="M76" s="61"/>
      <c r="N76" s="61"/>
      <c r="O76" s="58"/>
      <c r="P76" s="58"/>
      <c r="Q76" s="62">
        <v>30</v>
      </c>
      <c r="R76" s="63">
        <v>1</v>
      </c>
      <c r="S76" s="62"/>
      <c r="T76" s="62"/>
      <c r="U76" s="13"/>
      <c r="V76" s="13"/>
      <c r="W76" s="13"/>
      <c r="X76" s="58"/>
      <c r="Y76" s="51">
        <f ca="1">Table25[[#This Row],[End Date]]+2-TODAY()</f>
        <v>-661</v>
      </c>
      <c r="Z76" s="13">
        <f>IF(ISBLANK(Table25[[#This Row],[Roster Received By]]),1,0)</f>
        <v>1</v>
      </c>
      <c r="AA76" s="13">
        <f ca="1">IF(Table25[[#This Row],[Start Date]]&gt;TODAY(),1,)</f>
        <v>0</v>
      </c>
    </row>
    <row r="77" spans="1:27" s="65" customFormat="1" hidden="1" x14ac:dyDescent="0.25">
      <c r="A77" s="46"/>
      <c r="B77" s="58" t="s">
        <v>154</v>
      </c>
      <c r="C77" s="59" t="s">
        <v>263</v>
      </c>
      <c r="D77" s="59" t="s">
        <v>264</v>
      </c>
      <c r="E77" s="58" t="s">
        <v>130</v>
      </c>
      <c r="F77" s="61">
        <v>45586</v>
      </c>
      <c r="G77" s="61">
        <v>45590</v>
      </c>
      <c r="H77" s="64">
        <v>0.33333333333333331</v>
      </c>
      <c r="I77" s="60"/>
      <c r="J77" s="60"/>
      <c r="K77" s="60"/>
      <c r="L77" s="60"/>
      <c r="M77" s="60"/>
      <c r="N77" s="60"/>
      <c r="O77" s="58"/>
      <c r="P77" s="58"/>
      <c r="Q77" s="13">
        <v>25</v>
      </c>
      <c r="R77" s="13">
        <v>5</v>
      </c>
      <c r="S77" s="13"/>
      <c r="T77" s="62"/>
      <c r="U77" s="13"/>
      <c r="V77" s="13"/>
      <c r="W77" s="13"/>
      <c r="X77" s="58"/>
      <c r="Y77" s="51">
        <f ca="1">Table25[[#This Row],[End Date]]+2-TODAY()</f>
        <v>-652</v>
      </c>
      <c r="Z77" s="13">
        <f>IF(ISBLANK(Table25[[#This Row],[Roster Received By]]),1,0)</f>
        <v>1</v>
      </c>
      <c r="AA77" s="13">
        <f ca="1">IF(Table25[[#This Row],[Start Date]]&gt;TODAY(),1,)</f>
        <v>0</v>
      </c>
    </row>
    <row r="78" spans="1:27" s="65" customFormat="1" ht="14.25" hidden="1" customHeight="1" x14ac:dyDescent="0.25">
      <c r="A78" s="58"/>
      <c r="B78" s="58" t="s">
        <v>59</v>
      </c>
      <c r="C78" s="59" t="s">
        <v>248</v>
      </c>
      <c r="D78" s="59" t="s">
        <v>60</v>
      </c>
      <c r="E78" s="58" t="s">
        <v>130</v>
      </c>
      <c r="F78" s="61">
        <v>45580</v>
      </c>
      <c r="G78" s="61">
        <v>45580</v>
      </c>
      <c r="H78" s="64">
        <v>0.33333333333333331</v>
      </c>
      <c r="I78" s="64"/>
      <c r="J78" s="61"/>
      <c r="K78" s="61"/>
      <c r="L78" s="61"/>
      <c r="M78" s="61"/>
      <c r="N78" s="61"/>
      <c r="O78" s="58"/>
      <c r="P78" s="58"/>
      <c r="Q78" s="13">
        <v>30</v>
      </c>
      <c r="R78" s="13">
        <v>1</v>
      </c>
      <c r="S78" s="13"/>
      <c r="T78" s="62"/>
      <c r="U78" s="13"/>
      <c r="V78" s="13"/>
      <c r="W78" s="13"/>
      <c r="X78" s="58"/>
      <c r="Y78" s="51">
        <f ca="1">Table25[[#This Row],[End Date]]+2-TODAY()</f>
        <v>-662</v>
      </c>
      <c r="Z78" s="13">
        <f>IF(ISBLANK(Table25[[#This Row],[Roster Received By]]),1,0)</f>
        <v>1</v>
      </c>
      <c r="AA78" s="13">
        <f ca="1">IF(Table25[[#This Row],[Start Date]]&gt;TODAY(),1,)</f>
        <v>0</v>
      </c>
    </row>
    <row r="79" spans="1:27" s="65" customFormat="1" ht="14.25" hidden="1" customHeight="1" x14ac:dyDescent="0.25">
      <c r="A79" s="46"/>
      <c r="B79" s="58" t="s">
        <v>72</v>
      </c>
      <c r="C79" s="59" t="s">
        <v>136</v>
      </c>
      <c r="D79" s="59">
        <v>5891</v>
      </c>
      <c r="E79" s="58" t="s">
        <v>130</v>
      </c>
      <c r="F79" s="61">
        <v>45782</v>
      </c>
      <c r="G79" s="61">
        <v>45784</v>
      </c>
      <c r="H79" s="64">
        <v>0.33333333333333331</v>
      </c>
      <c r="I79" s="60"/>
      <c r="J79" s="60"/>
      <c r="K79" s="60"/>
      <c r="L79" s="60"/>
      <c r="M79" s="60"/>
      <c r="N79" s="60"/>
      <c r="O79" s="58"/>
      <c r="P79" s="58"/>
      <c r="Q79" s="13">
        <v>25</v>
      </c>
      <c r="R79" s="13">
        <v>3</v>
      </c>
      <c r="S79" s="13"/>
      <c r="T79" s="62"/>
      <c r="U79" s="13"/>
      <c r="V79" s="13"/>
      <c r="W79" s="13"/>
      <c r="X79" s="58"/>
      <c r="Y79" s="51">
        <f ca="1">Table25[[#This Row],[End Date]]+2-TODAY()</f>
        <v>-458</v>
      </c>
      <c r="Z79" s="13">
        <f>IF(ISBLANK(Table25[[#This Row],[Roster Received By]]),1,0)</f>
        <v>1</v>
      </c>
      <c r="AA79" s="13">
        <f ca="1">IF(Table25[[#This Row],[Start Date]]&gt;TODAY(),1,)</f>
        <v>0</v>
      </c>
    </row>
    <row r="80" spans="1:27" s="65" customFormat="1" ht="14.25" hidden="1" customHeight="1" x14ac:dyDescent="0.25">
      <c r="A80" s="46"/>
      <c r="B80" s="58" t="s">
        <v>72</v>
      </c>
      <c r="C80" s="59" t="s">
        <v>136</v>
      </c>
      <c r="D80" s="59">
        <v>5891</v>
      </c>
      <c r="E80" s="58" t="s">
        <v>130</v>
      </c>
      <c r="F80" s="61">
        <v>45824</v>
      </c>
      <c r="G80" s="61">
        <v>45826</v>
      </c>
      <c r="H80" s="64">
        <v>0.33333333333333331</v>
      </c>
      <c r="I80" s="67"/>
      <c r="J80" s="61"/>
      <c r="K80" s="61"/>
      <c r="L80" s="61"/>
      <c r="M80" s="61"/>
      <c r="N80" s="61"/>
      <c r="O80" s="58"/>
      <c r="P80" s="58"/>
      <c r="Q80" s="13">
        <v>25</v>
      </c>
      <c r="R80" s="13">
        <v>3</v>
      </c>
      <c r="S80" s="13"/>
      <c r="T80" s="62"/>
      <c r="U80" s="13"/>
      <c r="V80" s="13"/>
      <c r="W80" s="13"/>
      <c r="X80" s="58"/>
      <c r="Y80" s="51">
        <f ca="1">Table25[[#This Row],[End Date]]+2-TODAY()</f>
        <v>-416</v>
      </c>
      <c r="Z80" s="13">
        <f>IF(ISBLANK(Table25[[#This Row],[Roster Received By]]),1,0)</f>
        <v>1</v>
      </c>
      <c r="AA80" s="13">
        <f ca="1">IF(Table25[[#This Row],[Start Date]]&gt;TODAY(),1,)</f>
        <v>0</v>
      </c>
    </row>
    <row r="81" spans="1:27" s="65" customFormat="1" ht="14.25" hidden="1" customHeight="1" x14ac:dyDescent="0.25">
      <c r="A81" s="46"/>
      <c r="B81" s="58" t="s">
        <v>72</v>
      </c>
      <c r="C81" s="59" t="s">
        <v>136</v>
      </c>
      <c r="D81" s="59">
        <v>5891</v>
      </c>
      <c r="E81" s="58" t="s">
        <v>130</v>
      </c>
      <c r="F81" s="61">
        <v>45908</v>
      </c>
      <c r="G81" s="61" t="s">
        <v>265</v>
      </c>
      <c r="H81" s="64">
        <v>0.33333333333333331</v>
      </c>
      <c r="I81" s="64"/>
      <c r="J81" s="64"/>
      <c r="K81" s="64"/>
      <c r="L81" s="64"/>
      <c r="M81" s="64"/>
      <c r="N81" s="61"/>
      <c r="O81" s="58"/>
      <c r="P81" s="58"/>
      <c r="Q81" s="13">
        <v>25</v>
      </c>
      <c r="R81" s="13">
        <v>3</v>
      </c>
      <c r="S81" s="13"/>
      <c r="T81" s="62"/>
      <c r="U81" s="13"/>
      <c r="V81" s="13"/>
      <c r="W81" s="13"/>
      <c r="X81" s="58"/>
      <c r="Y81" s="51" t="e">
        <f ca="1">Table25[[#This Row],[End Date]]+2-TODAY()</f>
        <v>#VALUE!</v>
      </c>
      <c r="Z81" s="13">
        <f>IF(ISBLANK(Table25[[#This Row],[Roster Received By]]),1,0)</f>
        <v>1</v>
      </c>
      <c r="AA81" s="13">
        <f ca="1">IF(Table25[[#This Row],[Start Date]]&gt;TODAY(),1,)</f>
        <v>0</v>
      </c>
    </row>
    <row r="82" spans="1:27" s="98" customFormat="1" ht="14.25" customHeight="1" x14ac:dyDescent="0.25">
      <c r="A82" s="46"/>
      <c r="B82" s="58" t="s">
        <v>77</v>
      </c>
      <c r="C82" s="59" t="s">
        <v>244</v>
      </c>
      <c r="D82" s="59" t="s">
        <v>245</v>
      </c>
      <c r="E82" s="47" t="s">
        <v>130</v>
      </c>
      <c r="F82" s="61">
        <v>45565</v>
      </c>
      <c r="G82" s="61">
        <v>45569</v>
      </c>
      <c r="H82" s="67">
        <v>0.33333333333333331</v>
      </c>
      <c r="I82" s="67"/>
      <c r="J82" s="61"/>
      <c r="K82" s="61"/>
      <c r="L82" s="61"/>
      <c r="M82" s="61"/>
      <c r="N82" s="61"/>
      <c r="O82" s="58"/>
      <c r="P82" s="58"/>
      <c r="Q82" s="13">
        <v>30</v>
      </c>
      <c r="R82" s="13">
        <v>5</v>
      </c>
      <c r="S82" s="13"/>
      <c r="T82" s="62"/>
      <c r="U82" s="13"/>
      <c r="V82" s="13"/>
      <c r="W82" s="13"/>
      <c r="X82" s="58"/>
      <c r="Y82" s="51">
        <f ca="1">Table25[[#This Row],[End Date]]+2-TODAY()</f>
        <v>-673</v>
      </c>
      <c r="Z82" s="13">
        <f>IF(ISBLANK(Table25[[#This Row],[Roster Received By]]),1,0)</f>
        <v>1</v>
      </c>
      <c r="AA82" s="13">
        <f ca="1">IF(Table25[[#This Row],[Start Date]]&gt;TODAY(),1,)</f>
        <v>0</v>
      </c>
    </row>
    <row r="83" spans="1:27" s="65" customFormat="1" ht="14.25" customHeight="1" x14ac:dyDescent="0.25">
      <c r="A83" s="46"/>
      <c r="B83" s="96" t="s">
        <v>77</v>
      </c>
      <c r="C83" s="59" t="s">
        <v>244</v>
      </c>
      <c r="D83" s="59" t="s">
        <v>245</v>
      </c>
      <c r="E83" s="58" t="s">
        <v>130</v>
      </c>
      <c r="F83" s="61">
        <v>45593</v>
      </c>
      <c r="G83" s="61">
        <v>45597</v>
      </c>
      <c r="H83" s="64">
        <v>0.33333333333333331</v>
      </c>
      <c r="I83" s="60"/>
      <c r="J83" s="64"/>
      <c r="K83" s="64"/>
      <c r="L83" s="64"/>
      <c r="M83" s="64"/>
      <c r="N83" s="64"/>
      <c r="O83" s="58"/>
      <c r="P83" s="58"/>
      <c r="Q83" s="13">
        <v>30</v>
      </c>
      <c r="R83" s="13">
        <v>5</v>
      </c>
      <c r="S83" s="13"/>
      <c r="T83" s="62"/>
      <c r="U83" s="13"/>
      <c r="V83" s="13"/>
      <c r="W83" s="13"/>
      <c r="X83" s="58"/>
      <c r="Y83" s="51">
        <f ca="1">Table25[[#This Row],[End Date]]+2-TODAY()</f>
        <v>-645</v>
      </c>
      <c r="Z83" s="13">
        <f>IF(ISBLANK(Table25[[#This Row],[Roster Received By]]),1,0)</f>
        <v>1</v>
      </c>
      <c r="AA83" s="13">
        <f ca="1">IF(Table25[[#This Row],[Start Date]]&gt;TODAY(),1,)</f>
        <v>0</v>
      </c>
    </row>
    <row r="84" spans="1:27" s="65" customFormat="1" ht="14.25" customHeight="1" x14ac:dyDescent="0.25">
      <c r="A84" s="46"/>
      <c r="B84" s="58" t="s">
        <v>77</v>
      </c>
      <c r="C84" s="59" t="s">
        <v>244</v>
      </c>
      <c r="D84" s="59" t="s">
        <v>245</v>
      </c>
      <c r="E84" s="47" t="s">
        <v>130</v>
      </c>
      <c r="F84" s="61">
        <v>45614</v>
      </c>
      <c r="G84" s="61">
        <v>45618</v>
      </c>
      <c r="H84" s="64">
        <v>0.33333333333333331</v>
      </c>
      <c r="I84" s="64"/>
      <c r="J84" s="61"/>
      <c r="K84" s="61"/>
      <c r="L84" s="61"/>
      <c r="M84" s="61"/>
      <c r="N84" s="61"/>
      <c r="O84" s="58"/>
      <c r="P84" s="58"/>
      <c r="Q84" s="13">
        <v>30</v>
      </c>
      <c r="R84" s="13">
        <v>5</v>
      </c>
      <c r="S84" s="13"/>
      <c r="T84" s="62"/>
      <c r="U84" s="13"/>
      <c r="V84" s="13"/>
      <c r="W84" s="13"/>
      <c r="X84" s="58"/>
      <c r="Y84" s="51">
        <f ca="1">Table25[[#This Row],[End Date]]+2-TODAY()</f>
        <v>-624</v>
      </c>
      <c r="Z84" s="13">
        <f>IF(ISBLANK(Table25[[#This Row],[Roster Received By]]),1,0)</f>
        <v>1</v>
      </c>
      <c r="AA84" s="13">
        <f ca="1">IF(Table25[[#This Row],[Start Date]]&gt;TODAY(),1,)</f>
        <v>0</v>
      </c>
    </row>
    <row r="85" spans="1:27" s="65" customFormat="1" ht="14.25" customHeight="1" x14ac:dyDescent="0.25">
      <c r="A85" s="47"/>
      <c r="B85" s="58" t="s">
        <v>77</v>
      </c>
      <c r="C85" s="59" t="s">
        <v>244</v>
      </c>
      <c r="D85" s="59" t="s">
        <v>245</v>
      </c>
      <c r="E85" s="58" t="s">
        <v>130</v>
      </c>
      <c r="F85" s="61">
        <v>45754</v>
      </c>
      <c r="G85" s="61">
        <v>45758</v>
      </c>
      <c r="H85" s="64">
        <v>0.33333333333333331</v>
      </c>
      <c r="I85" s="64"/>
      <c r="J85" s="64"/>
      <c r="K85" s="64"/>
      <c r="L85" s="64"/>
      <c r="M85" s="64"/>
      <c r="N85" s="64"/>
      <c r="O85" s="58"/>
      <c r="P85" s="58"/>
      <c r="Q85" s="13">
        <v>30</v>
      </c>
      <c r="R85" s="13">
        <v>5</v>
      </c>
      <c r="S85" s="62"/>
      <c r="T85" s="62"/>
      <c r="U85" s="13"/>
      <c r="V85" s="13"/>
      <c r="W85" s="59"/>
      <c r="X85" s="58"/>
      <c r="Y85" s="51">
        <f ca="1">Table25[[#This Row],[End Date]]+2-TODAY()</f>
        <v>-484</v>
      </c>
      <c r="Z85" s="13">
        <f>IF(ISBLANK(Table25[[#This Row],[Roster Received By]]),1,0)</f>
        <v>1</v>
      </c>
      <c r="AA85" s="13">
        <f ca="1">IF(Table25[[#This Row],[Start Date]]&gt;TODAY(),1,)</f>
        <v>0</v>
      </c>
    </row>
    <row r="86" spans="1:27" s="65" customFormat="1" ht="14.25" customHeight="1" x14ac:dyDescent="0.25">
      <c r="A86" s="58"/>
      <c r="B86" s="58" t="s">
        <v>77</v>
      </c>
      <c r="C86" s="59" t="s">
        <v>244</v>
      </c>
      <c r="D86" s="59" t="s">
        <v>245</v>
      </c>
      <c r="E86" s="58" t="s">
        <v>130</v>
      </c>
      <c r="F86" s="61">
        <v>45775</v>
      </c>
      <c r="G86" s="61">
        <v>45779</v>
      </c>
      <c r="H86" s="64">
        <v>0.33333333333333331</v>
      </c>
      <c r="I86" s="60"/>
      <c r="J86" s="64"/>
      <c r="K86" s="64"/>
      <c r="L86" s="64"/>
      <c r="M86" s="64"/>
      <c r="N86" s="64"/>
      <c r="O86" s="58"/>
      <c r="P86" s="58"/>
      <c r="Q86" s="13">
        <v>30</v>
      </c>
      <c r="R86" s="13">
        <v>5</v>
      </c>
      <c r="S86" s="62"/>
      <c r="T86" s="62"/>
      <c r="U86" s="13"/>
      <c r="V86" s="13"/>
      <c r="W86" s="62"/>
      <c r="X86" s="58"/>
      <c r="Y86" s="51">
        <f ca="1">Table25[[#This Row],[End Date]]+2-TODAY()</f>
        <v>-463</v>
      </c>
      <c r="Z86" s="13">
        <f>IF(ISBLANK(Table25[[#This Row],[Roster Received By]]),1,0)</f>
        <v>1</v>
      </c>
      <c r="AA86" s="13">
        <f ca="1">IF(Table25[[#This Row],[Start Date]]&gt;TODAY(),1,)</f>
        <v>0</v>
      </c>
    </row>
    <row r="87" spans="1:27" s="94" customFormat="1" ht="14.25" customHeight="1" x14ac:dyDescent="0.25">
      <c r="A87" s="46"/>
      <c r="B87" s="58" t="s">
        <v>77</v>
      </c>
      <c r="C87" s="59" t="s">
        <v>244</v>
      </c>
      <c r="D87" s="59" t="s">
        <v>245</v>
      </c>
      <c r="E87" s="58" t="s">
        <v>130</v>
      </c>
      <c r="F87" s="49">
        <v>45873</v>
      </c>
      <c r="G87" s="49">
        <v>45877</v>
      </c>
      <c r="H87" s="64">
        <v>0.33333333333333331</v>
      </c>
      <c r="I87" s="60"/>
      <c r="J87" s="60"/>
      <c r="K87" s="60"/>
      <c r="L87" s="60"/>
      <c r="M87" s="60"/>
      <c r="N87" s="60"/>
      <c r="O87" s="58"/>
      <c r="P87" s="58"/>
      <c r="Q87" s="13">
        <v>30</v>
      </c>
      <c r="R87" s="13">
        <v>5</v>
      </c>
      <c r="S87" s="13"/>
      <c r="T87" s="62"/>
      <c r="U87" s="13"/>
      <c r="V87" s="13"/>
      <c r="W87" s="13"/>
      <c r="X87" s="58"/>
      <c r="Y87" s="51">
        <f ca="1">Table25[[#This Row],[End Date]]+2-TODAY()</f>
        <v>-365</v>
      </c>
      <c r="Z87" s="13">
        <f>IF(ISBLANK(Table25[[#This Row],[Roster Received By]]),1,0)</f>
        <v>1</v>
      </c>
      <c r="AA87" s="13">
        <f ca="1">IF(Table25[[#This Row],[Start Date]]&gt;TODAY(),1,)</f>
        <v>0</v>
      </c>
    </row>
    <row r="88" spans="1:27" s="65" customFormat="1" ht="14.25" hidden="1" customHeight="1" x14ac:dyDescent="0.25">
      <c r="A88" s="46"/>
      <c r="B88" s="58" t="s">
        <v>152</v>
      </c>
      <c r="C88" s="59" t="s">
        <v>260</v>
      </c>
      <c r="D88" s="59">
        <v>3878</v>
      </c>
      <c r="E88" s="47" t="s">
        <v>81</v>
      </c>
      <c r="F88" s="61">
        <v>45852</v>
      </c>
      <c r="G88" s="61">
        <v>45854</v>
      </c>
      <c r="H88" s="64">
        <v>0.33333333333333331</v>
      </c>
      <c r="I88" s="64"/>
      <c r="J88" s="61"/>
      <c r="K88" s="61"/>
      <c r="L88" s="61"/>
      <c r="M88" s="61"/>
      <c r="N88" s="61"/>
      <c r="O88" s="58"/>
      <c r="P88" s="58"/>
      <c r="Q88" s="62">
        <v>25</v>
      </c>
      <c r="R88" s="63">
        <v>3</v>
      </c>
      <c r="S88" s="62"/>
      <c r="T88" s="62"/>
      <c r="U88" s="13"/>
      <c r="V88" s="13"/>
      <c r="W88" s="59"/>
      <c r="X88" s="58"/>
      <c r="Y88" s="51">
        <f ca="1">Table25[[#This Row],[End Date]]+2-TODAY()</f>
        <v>-388</v>
      </c>
      <c r="Z88" s="13">
        <f>IF(ISBLANK(Table25[[#This Row],[Roster Received By]]),1,0)</f>
        <v>1</v>
      </c>
      <c r="AA88" s="13">
        <f ca="1">IF(Table25[[#This Row],[Start Date]]&gt;TODAY(),1,)</f>
        <v>0</v>
      </c>
    </row>
    <row r="89" spans="1:27" s="65" customFormat="1" ht="14.25" hidden="1" customHeight="1" x14ac:dyDescent="0.25">
      <c r="A89" s="46"/>
      <c r="B89" s="58" t="s">
        <v>63</v>
      </c>
      <c r="C89" s="59" t="s">
        <v>246</v>
      </c>
      <c r="D89" s="59">
        <v>3879</v>
      </c>
      <c r="E89" s="58" t="s">
        <v>81</v>
      </c>
      <c r="F89" s="61">
        <v>45860</v>
      </c>
      <c r="G89" s="61">
        <v>45860</v>
      </c>
      <c r="H89" s="64">
        <v>0.33333333333333331</v>
      </c>
      <c r="I89" s="64"/>
      <c r="J89" s="61"/>
      <c r="K89" s="61"/>
      <c r="L89" s="61"/>
      <c r="M89" s="61"/>
      <c r="N89" s="61"/>
      <c r="O89" s="58"/>
      <c r="P89" s="58"/>
      <c r="Q89" s="62">
        <v>30</v>
      </c>
      <c r="R89" s="63">
        <v>1</v>
      </c>
      <c r="S89" s="62"/>
      <c r="T89" s="62"/>
      <c r="U89" s="13"/>
      <c r="V89" s="13"/>
      <c r="W89" s="59"/>
      <c r="X89" s="58"/>
      <c r="Y89" s="51">
        <f ca="1">Table25[[#This Row],[End Date]]+2-TODAY()</f>
        <v>-382</v>
      </c>
      <c r="Z89" s="13">
        <f>IF(ISBLANK(Table25[[#This Row],[Roster Received By]]),1,0)</f>
        <v>1</v>
      </c>
      <c r="AA89" s="13">
        <f ca="1">IF(Table25[[#This Row],[Start Date]]&gt;TODAY(),1,)</f>
        <v>0</v>
      </c>
    </row>
    <row r="90" spans="1:27" s="65" customFormat="1" ht="14.25" hidden="1" customHeight="1" x14ac:dyDescent="0.25">
      <c r="A90" s="46"/>
      <c r="B90" s="58" t="s">
        <v>261</v>
      </c>
      <c r="C90" s="59" t="s">
        <v>262</v>
      </c>
      <c r="D90" s="59">
        <v>3882</v>
      </c>
      <c r="E90" s="58" t="s">
        <v>81</v>
      </c>
      <c r="F90" s="61">
        <v>45855</v>
      </c>
      <c r="G90" s="61">
        <v>45856</v>
      </c>
      <c r="H90" s="64">
        <v>0.33333333333333331</v>
      </c>
      <c r="I90" s="64"/>
      <c r="J90" s="61"/>
      <c r="K90" s="61"/>
      <c r="L90" s="61"/>
      <c r="M90" s="61"/>
      <c r="N90" s="61"/>
      <c r="O90" s="58"/>
      <c r="P90" s="58"/>
      <c r="Q90" s="62">
        <v>25</v>
      </c>
      <c r="R90" s="63">
        <v>2</v>
      </c>
      <c r="S90" s="62"/>
      <c r="T90" s="62"/>
      <c r="U90" s="13"/>
      <c r="V90" s="13"/>
      <c r="W90" s="59"/>
      <c r="X90" s="58"/>
      <c r="Y90" s="51">
        <f ca="1">Table25[[#This Row],[End Date]]+2-TODAY()</f>
        <v>-386</v>
      </c>
      <c r="Z90" s="13">
        <f>IF(ISBLANK(Table25[[#This Row],[Roster Received By]]),1,0)</f>
        <v>1</v>
      </c>
      <c r="AA90" s="13">
        <f ca="1">IF(Table25[[#This Row],[Start Date]]&gt;TODAY(),1,)</f>
        <v>0</v>
      </c>
    </row>
    <row r="91" spans="1:27" s="65" customFormat="1" ht="14.25" hidden="1" customHeight="1" x14ac:dyDescent="0.25">
      <c r="A91" s="46"/>
      <c r="B91" s="58" t="s">
        <v>64</v>
      </c>
      <c r="C91" s="59" t="s">
        <v>247</v>
      </c>
      <c r="D91" s="59">
        <v>3888</v>
      </c>
      <c r="E91" s="58" t="s">
        <v>81</v>
      </c>
      <c r="F91" s="61">
        <v>45860</v>
      </c>
      <c r="G91" s="61">
        <v>45860</v>
      </c>
      <c r="H91" s="60">
        <v>0.5</v>
      </c>
      <c r="I91" s="64"/>
      <c r="J91" s="61"/>
      <c r="K91" s="61"/>
      <c r="L91" s="61"/>
      <c r="M91" s="61"/>
      <c r="N91" s="61"/>
      <c r="O91" s="58"/>
      <c r="P91" s="58"/>
      <c r="Q91" s="62">
        <v>30</v>
      </c>
      <c r="R91" s="63">
        <v>1</v>
      </c>
      <c r="S91" s="62"/>
      <c r="T91" s="62"/>
      <c r="U91" s="13"/>
      <c r="V91" s="13"/>
      <c r="W91" s="59"/>
      <c r="X91" s="58"/>
      <c r="Y91" s="51">
        <f ca="1">Table25[[#This Row],[End Date]]+2-TODAY()</f>
        <v>-382</v>
      </c>
      <c r="Z91" s="13">
        <f>IF(ISBLANK(Table25[[#This Row],[Roster Received By]]),1,0)</f>
        <v>1</v>
      </c>
      <c r="AA91" s="13">
        <f ca="1">IF(Table25[[#This Row],[Start Date]]&gt;TODAY(),1,)</f>
        <v>0</v>
      </c>
    </row>
    <row r="92" spans="1:27" s="65" customFormat="1" ht="14.25" hidden="1" customHeight="1" x14ac:dyDescent="0.25">
      <c r="A92" s="46"/>
      <c r="B92" s="58" t="s">
        <v>154</v>
      </c>
      <c r="C92" s="59" t="s">
        <v>263</v>
      </c>
      <c r="D92" s="59" t="s">
        <v>264</v>
      </c>
      <c r="E92" s="58" t="s">
        <v>81</v>
      </c>
      <c r="F92" s="61">
        <v>45845</v>
      </c>
      <c r="G92" s="61">
        <v>45849</v>
      </c>
      <c r="H92" s="64">
        <v>0.33333333333333331</v>
      </c>
      <c r="I92" s="64"/>
      <c r="J92" s="61"/>
      <c r="K92" s="61"/>
      <c r="L92" s="61"/>
      <c r="M92" s="61"/>
      <c r="N92" s="61"/>
      <c r="O92" s="58"/>
      <c r="P92" s="58"/>
      <c r="Q92" s="62">
        <v>25</v>
      </c>
      <c r="R92" s="63">
        <v>5</v>
      </c>
      <c r="S92" s="62"/>
      <c r="T92" s="62"/>
      <c r="U92" s="13"/>
      <c r="V92" s="13"/>
      <c r="W92" s="59"/>
      <c r="X92" s="58"/>
      <c r="Y92" s="51">
        <f ca="1">Table25[[#This Row],[End Date]]+2-TODAY()</f>
        <v>-393</v>
      </c>
      <c r="Z92" s="13">
        <f>IF(ISBLANK(Table25[[#This Row],[Roster Received By]]),1,0)</f>
        <v>1</v>
      </c>
      <c r="AA92" s="13">
        <f ca="1">IF(Table25[[#This Row],[Start Date]]&gt;TODAY(),1,)</f>
        <v>0</v>
      </c>
    </row>
    <row r="93" spans="1:27" s="65" customFormat="1" ht="14.25" hidden="1" customHeight="1" x14ac:dyDescent="0.25">
      <c r="A93" s="46"/>
      <c r="B93" s="58" t="s">
        <v>59</v>
      </c>
      <c r="C93" s="59" t="s">
        <v>248</v>
      </c>
      <c r="D93" s="59" t="s">
        <v>60</v>
      </c>
      <c r="E93" s="58" t="s">
        <v>81</v>
      </c>
      <c r="F93" s="61">
        <v>45859</v>
      </c>
      <c r="G93" s="61">
        <v>45859</v>
      </c>
      <c r="H93" s="64">
        <v>0.33333333333333331</v>
      </c>
      <c r="I93" s="64"/>
      <c r="J93" s="61"/>
      <c r="K93" s="61"/>
      <c r="L93" s="61"/>
      <c r="M93" s="61"/>
      <c r="N93" s="61"/>
      <c r="O93" s="58"/>
      <c r="P93" s="58"/>
      <c r="Q93" s="62">
        <v>30</v>
      </c>
      <c r="R93" s="63">
        <v>1</v>
      </c>
      <c r="S93" s="62"/>
      <c r="T93" s="62"/>
      <c r="U93" s="13"/>
      <c r="V93" s="13"/>
      <c r="W93" s="59"/>
      <c r="X93" s="58"/>
      <c r="Y93" s="51">
        <f ca="1">Table25[[#This Row],[End Date]]+2-TODAY()</f>
        <v>-383</v>
      </c>
      <c r="Z93" s="13">
        <f>IF(ISBLANK(Table25[[#This Row],[Roster Received By]]),1,0)</f>
        <v>1</v>
      </c>
      <c r="AA93" s="13">
        <f ca="1">IF(Table25[[#This Row],[Start Date]]&gt;TODAY(),1,)</f>
        <v>0</v>
      </c>
    </row>
    <row r="94" spans="1:27" s="65" customFormat="1" ht="14.25" hidden="1" customHeight="1" x14ac:dyDescent="0.25">
      <c r="A94" s="46"/>
      <c r="B94" s="58" t="s">
        <v>72</v>
      </c>
      <c r="C94" s="59" t="s">
        <v>136</v>
      </c>
      <c r="D94" s="59">
        <v>5891</v>
      </c>
      <c r="E94" s="58" t="s">
        <v>81</v>
      </c>
      <c r="F94" s="61">
        <v>45861</v>
      </c>
      <c r="G94" s="61">
        <v>45863</v>
      </c>
      <c r="H94" s="64">
        <v>0.33333333333333331</v>
      </c>
      <c r="I94" s="64"/>
      <c r="J94" s="61"/>
      <c r="K94" s="61"/>
      <c r="L94" s="61"/>
      <c r="M94" s="61"/>
      <c r="N94" s="61"/>
      <c r="O94" s="58"/>
      <c r="P94" s="58"/>
      <c r="Q94" s="13">
        <v>25</v>
      </c>
      <c r="R94" s="13">
        <v>3</v>
      </c>
      <c r="S94" s="13"/>
      <c r="T94" s="62"/>
      <c r="U94" s="13"/>
      <c r="V94" s="13"/>
      <c r="W94" s="13"/>
      <c r="X94" s="58"/>
      <c r="Y94" s="51">
        <f ca="1">Table25[[#This Row],[End Date]]+2-TODAY()</f>
        <v>-379</v>
      </c>
      <c r="Z94" s="13">
        <f>IF(ISBLANK(Table25[[#This Row],[Roster Received By]]),1,0)</f>
        <v>1</v>
      </c>
      <c r="AA94" s="13">
        <f ca="1">IF(Table25[[#This Row],[Start Date]]&gt;TODAY(),1,)</f>
        <v>0</v>
      </c>
    </row>
    <row r="95" spans="1:27" s="65" customFormat="1" ht="14.25" customHeight="1" x14ac:dyDescent="0.25">
      <c r="A95" s="46"/>
      <c r="B95" s="58" t="s">
        <v>77</v>
      </c>
      <c r="C95" s="59" t="s">
        <v>244</v>
      </c>
      <c r="D95" s="59" t="s">
        <v>245</v>
      </c>
      <c r="E95" s="58" t="s">
        <v>81</v>
      </c>
      <c r="F95" s="61">
        <v>45663</v>
      </c>
      <c r="G95" s="61">
        <v>45667</v>
      </c>
      <c r="H95" s="64">
        <v>0.33333333333333331</v>
      </c>
      <c r="I95" s="60"/>
      <c r="J95" s="64"/>
      <c r="K95" s="64"/>
      <c r="L95" s="64"/>
      <c r="M95" s="64"/>
      <c r="N95" s="64"/>
      <c r="O95" s="58"/>
      <c r="P95" s="58"/>
      <c r="Q95" s="13">
        <v>30</v>
      </c>
      <c r="R95" s="13">
        <v>5</v>
      </c>
      <c r="S95" s="13"/>
      <c r="T95" s="62"/>
      <c r="U95" s="13"/>
      <c r="V95" s="13"/>
      <c r="W95" s="13"/>
      <c r="X95" s="58"/>
      <c r="Y95" s="51">
        <f ca="1">Table25[[#This Row],[End Date]]+2-TODAY()</f>
        <v>-575</v>
      </c>
      <c r="Z95" s="13">
        <f>IF(ISBLANK(Table25[[#This Row],[Roster Received By]]),1,0)</f>
        <v>1</v>
      </c>
      <c r="AA95" s="13">
        <f ca="1">IF(Table25[[#This Row],[Start Date]]&gt;TODAY(),1,)</f>
        <v>0</v>
      </c>
    </row>
    <row r="96" spans="1:27" s="65" customFormat="1" ht="14.25" customHeight="1" x14ac:dyDescent="0.25">
      <c r="A96" s="46"/>
      <c r="B96" s="58" t="s">
        <v>77</v>
      </c>
      <c r="C96" s="59" t="s">
        <v>244</v>
      </c>
      <c r="D96" s="59" t="s">
        <v>245</v>
      </c>
      <c r="E96" s="58" t="s">
        <v>81</v>
      </c>
      <c r="F96" s="61">
        <v>45915</v>
      </c>
      <c r="G96" s="61">
        <v>45919</v>
      </c>
      <c r="H96" s="64">
        <v>0.33333333333333331</v>
      </c>
      <c r="I96" s="64"/>
      <c r="J96" s="64"/>
      <c r="K96" s="64"/>
      <c r="L96" s="64"/>
      <c r="M96" s="64"/>
      <c r="N96" s="64"/>
      <c r="O96" s="58"/>
      <c r="P96" s="58"/>
      <c r="Q96" s="13">
        <v>30</v>
      </c>
      <c r="R96" s="13">
        <v>5</v>
      </c>
      <c r="S96" s="62"/>
      <c r="T96" s="62"/>
      <c r="U96" s="13"/>
      <c r="V96" s="13"/>
      <c r="W96" s="13"/>
      <c r="X96" s="58"/>
      <c r="Y96" s="51">
        <f ca="1">Table25[[#This Row],[End Date]]+2-TODAY()</f>
        <v>-323</v>
      </c>
      <c r="Z96" s="13">
        <f>IF(ISBLANK(Table25[[#This Row],[Roster Received By]]),1,0)</f>
        <v>1</v>
      </c>
      <c r="AA96" s="13">
        <f ca="1">IF(Table25[[#This Row],[Start Date]]&gt;TODAY(),1,)</f>
        <v>0</v>
      </c>
    </row>
    <row r="97" spans="1:27" s="65" customFormat="1" ht="14.25" hidden="1" customHeight="1" x14ac:dyDescent="0.25">
      <c r="A97" s="46"/>
      <c r="B97" s="47" t="s">
        <v>72</v>
      </c>
      <c r="C97" s="59" t="s">
        <v>136</v>
      </c>
      <c r="D97" s="59">
        <v>5891</v>
      </c>
      <c r="E97" s="47" t="s">
        <v>101</v>
      </c>
      <c r="F97" s="49">
        <v>45728</v>
      </c>
      <c r="G97" s="49">
        <v>45730</v>
      </c>
      <c r="H97" s="64">
        <v>0.33333333333333331</v>
      </c>
      <c r="I97" s="60"/>
      <c r="J97" s="61"/>
      <c r="K97" s="61"/>
      <c r="L97" s="61"/>
      <c r="M97" s="61"/>
      <c r="N97" s="61"/>
      <c r="O97" s="58"/>
      <c r="P97" s="58"/>
      <c r="Q97" s="13">
        <v>25</v>
      </c>
      <c r="R97" s="13">
        <v>3</v>
      </c>
      <c r="S97" s="13"/>
      <c r="T97" s="62"/>
      <c r="U97" s="13"/>
      <c r="V97" s="13"/>
      <c r="W97" s="13"/>
      <c r="X97" s="58"/>
      <c r="Y97" s="51">
        <f ca="1">Table25[[#This Row],[End Date]]+2-TODAY()</f>
        <v>-512</v>
      </c>
      <c r="Z97" s="13">
        <f>IF(ISBLANK(Table25[[#This Row],[Roster Received By]]),1,0)</f>
        <v>1</v>
      </c>
      <c r="AA97" s="13">
        <f ca="1">IF(Table25[[#This Row],[Start Date]]&gt;TODAY(),1,)</f>
        <v>0</v>
      </c>
    </row>
    <row r="98" spans="1:27" s="65" customFormat="1" ht="14.25" customHeight="1" x14ac:dyDescent="0.25">
      <c r="A98" s="46"/>
      <c r="B98" s="58" t="s">
        <v>77</v>
      </c>
      <c r="C98" s="59" t="s">
        <v>244</v>
      </c>
      <c r="D98" s="59" t="s">
        <v>245</v>
      </c>
      <c r="E98" s="58" t="s">
        <v>101</v>
      </c>
      <c r="F98" s="61">
        <v>45691</v>
      </c>
      <c r="G98" s="61">
        <v>45695</v>
      </c>
      <c r="H98" s="64">
        <v>0.33333333333333331</v>
      </c>
      <c r="I98" s="60"/>
      <c r="J98" s="64"/>
      <c r="K98" s="64"/>
      <c r="L98" s="64"/>
      <c r="M98" s="64"/>
      <c r="N98" s="64"/>
      <c r="O98" s="58"/>
      <c r="P98" s="58"/>
      <c r="Q98" s="13">
        <v>30</v>
      </c>
      <c r="R98" s="13">
        <v>5</v>
      </c>
      <c r="S98" s="13"/>
      <c r="T98" s="62"/>
      <c r="U98" s="13"/>
      <c r="V98" s="13"/>
      <c r="W98" s="13"/>
      <c r="X98" s="58"/>
      <c r="Y98" s="51">
        <f ca="1">Table25[[#This Row],[End Date]]+2-TODAY()</f>
        <v>-547</v>
      </c>
      <c r="Z98" s="13">
        <f>IF(ISBLANK(Table25[[#This Row],[Roster Received By]]),1,0)</f>
        <v>1</v>
      </c>
      <c r="AA98" s="13">
        <f ca="1">IF(Table25[[#This Row],[Start Date]]&gt;TODAY(),1,)</f>
        <v>0</v>
      </c>
    </row>
    <row r="99" spans="1:27" s="65" customFormat="1" ht="14.25" customHeight="1" x14ac:dyDescent="0.25">
      <c r="A99" s="46"/>
      <c r="B99" s="58" t="s">
        <v>77</v>
      </c>
      <c r="C99" s="59" t="s">
        <v>244</v>
      </c>
      <c r="D99" s="59" t="s">
        <v>245</v>
      </c>
      <c r="E99" s="58" t="s">
        <v>101</v>
      </c>
      <c r="F99" s="49">
        <v>45733</v>
      </c>
      <c r="G99" s="61">
        <v>45737</v>
      </c>
      <c r="H99" s="64">
        <v>0.33333333333333331</v>
      </c>
      <c r="I99" s="60"/>
      <c r="J99" s="60"/>
      <c r="K99" s="60"/>
      <c r="L99" s="60"/>
      <c r="M99" s="60"/>
      <c r="N99" s="60"/>
      <c r="O99" s="58"/>
      <c r="P99" s="58"/>
      <c r="Q99" s="13">
        <v>30</v>
      </c>
      <c r="R99" s="13">
        <v>5</v>
      </c>
      <c r="S99" s="13"/>
      <c r="T99" s="62"/>
      <c r="U99" s="13"/>
      <c r="V99" s="13"/>
      <c r="W99" s="13"/>
      <c r="X99" s="58"/>
      <c r="Y99" s="51">
        <f ca="1">Table25[[#This Row],[End Date]]+2-TODAY()</f>
        <v>-505</v>
      </c>
      <c r="Z99" s="13">
        <f>IF(ISBLANK(Table25[[#This Row],[Roster Received By]]),1,0)</f>
        <v>1</v>
      </c>
      <c r="AA99" s="13">
        <f ca="1">IF(Table25[[#This Row],[Start Date]]&gt;TODAY(),1,)</f>
        <v>0</v>
      </c>
    </row>
    <row r="100" spans="1:27" s="65" customFormat="1" ht="14.25" customHeight="1" x14ac:dyDescent="0.25">
      <c r="A100" s="46"/>
      <c r="B100" s="58" t="s">
        <v>77</v>
      </c>
      <c r="C100" s="59" t="s">
        <v>244</v>
      </c>
      <c r="D100" s="59" t="s">
        <v>245</v>
      </c>
      <c r="E100" s="58" t="s">
        <v>101</v>
      </c>
      <c r="F100" s="61">
        <v>45908</v>
      </c>
      <c r="G100" s="61">
        <v>45912</v>
      </c>
      <c r="H100" s="64">
        <v>0.33333333333333331</v>
      </c>
      <c r="I100" s="64"/>
      <c r="J100" s="64"/>
      <c r="K100" s="64"/>
      <c r="L100" s="64"/>
      <c r="M100" s="64"/>
      <c r="N100" s="64"/>
      <c r="O100" s="58"/>
      <c r="P100" s="58"/>
      <c r="Q100" s="13">
        <v>30</v>
      </c>
      <c r="R100" s="13">
        <v>5</v>
      </c>
      <c r="S100" s="13"/>
      <c r="T100" s="62"/>
      <c r="U100" s="13"/>
      <c r="V100" s="13"/>
      <c r="W100" s="13"/>
      <c r="X100" s="58"/>
      <c r="Y100" s="51">
        <f ca="1">Table25[[#This Row],[End Date]]+2-TODAY()</f>
        <v>-330</v>
      </c>
      <c r="Z100" s="13">
        <f>IF(ISBLANK(Table25[[#This Row],[Roster Received By]]),1,0)</f>
        <v>1</v>
      </c>
      <c r="AA100" s="13">
        <f ca="1">IF(Table25[[#This Row],[Start Date]]&gt;TODAY(),1,)</f>
        <v>0</v>
      </c>
    </row>
    <row r="101" spans="1:27" s="65" customFormat="1" ht="14.25" hidden="1" customHeight="1" x14ac:dyDescent="0.25">
      <c r="A101" s="46"/>
      <c r="B101" s="58" t="s">
        <v>72</v>
      </c>
      <c r="C101" s="59" t="s">
        <v>136</v>
      </c>
      <c r="D101" s="59">
        <v>5891</v>
      </c>
      <c r="E101" s="58" t="s">
        <v>122</v>
      </c>
      <c r="F101" s="61">
        <v>45917</v>
      </c>
      <c r="G101" s="61">
        <v>45919</v>
      </c>
      <c r="H101" s="64">
        <v>0.33333333333333331</v>
      </c>
      <c r="I101" s="64"/>
      <c r="J101" s="64"/>
      <c r="K101" s="64"/>
      <c r="L101" s="64"/>
      <c r="M101" s="64"/>
      <c r="N101" s="61"/>
      <c r="O101" s="58"/>
      <c r="P101" s="58"/>
      <c r="Q101" s="13">
        <v>25</v>
      </c>
      <c r="R101" s="13">
        <v>3</v>
      </c>
      <c r="S101" s="13"/>
      <c r="T101" s="62"/>
      <c r="U101" s="13"/>
      <c r="V101" s="13"/>
      <c r="W101" s="13"/>
      <c r="X101" s="58"/>
      <c r="Y101" s="51">
        <f ca="1">Table25[[#This Row],[End Date]]+2-TODAY()</f>
        <v>-323</v>
      </c>
      <c r="Z101" s="13">
        <f>IF(ISBLANK(Table25[[#This Row],[Roster Received By]]),1,0)</f>
        <v>1</v>
      </c>
      <c r="AA101" s="13">
        <f ca="1">IF(Table25[[#This Row],[Start Date]]&gt;TODAY(),1,)</f>
        <v>0</v>
      </c>
    </row>
    <row r="102" spans="1:27" s="65" customFormat="1" ht="14.25" customHeight="1" x14ac:dyDescent="0.25">
      <c r="A102" s="46"/>
      <c r="B102" s="58" t="s">
        <v>77</v>
      </c>
      <c r="C102" s="59" t="s">
        <v>244</v>
      </c>
      <c r="D102" s="59" t="s">
        <v>245</v>
      </c>
      <c r="E102" s="58" t="s">
        <v>122</v>
      </c>
      <c r="F102" s="61">
        <v>45922</v>
      </c>
      <c r="G102" s="61">
        <v>45926</v>
      </c>
      <c r="H102" s="64">
        <v>0.33333333333333331</v>
      </c>
      <c r="I102" s="64"/>
      <c r="J102" s="61"/>
      <c r="K102" s="61"/>
      <c r="L102" s="61"/>
      <c r="M102" s="61"/>
      <c r="N102" s="61"/>
      <c r="O102" s="58"/>
      <c r="P102" s="58"/>
      <c r="Q102" s="13">
        <v>30</v>
      </c>
      <c r="R102" s="13">
        <v>5</v>
      </c>
      <c r="S102" s="13"/>
      <c r="T102" s="62"/>
      <c r="U102" s="13"/>
      <c r="V102" s="13"/>
      <c r="W102" s="13"/>
      <c r="X102" s="58"/>
      <c r="Y102" s="51">
        <f ca="1">Table25[[#This Row],[End Date]]+2-TODAY()</f>
        <v>-316</v>
      </c>
      <c r="Z102" s="13">
        <f>IF(ISBLANK(Table25[[#This Row],[Roster Received By]]),1,0)</f>
        <v>1</v>
      </c>
      <c r="AA102" s="13">
        <f ca="1">IF(Table25[[#This Row],[Start Date]]&gt;TODAY(),1,)</f>
        <v>0</v>
      </c>
    </row>
    <row r="103" spans="1:27" s="65" customFormat="1" ht="14.25" customHeight="1" x14ac:dyDescent="0.25">
      <c r="A103" s="46"/>
      <c r="B103" s="58" t="s">
        <v>77</v>
      </c>
      <c r="C103" s="59" t="s">
        <v>244</v>
      </c>
      <c r="D103" s="59" t="s">
        <v>245</v>
      </c>
      <c r="E103" s="58" t="s">
        <v>71</v>
      </c>
      <c r="F103" s="49">
        <v>45866</v>
      </c>
      <c r="G103" s="49">
        <v>45870</v>
      </c>
      <c r="H103" s="64">
        <v>0.33333333333333331</v>
      </c>
      <c r="I103" s="60"/>
      <c r="J103" s="60"/>
      <c r="K103" s="60"/>
      <c r="L103" s="60"/>
      <c r="M103" s="60"/>
      <c r="N103" s="60"/>
      <c r="O103" s="58"/>
      <c r="P103" s="58"/>
      <c r="Q103" s="13">
        <v>30</v>
      </c>
      <c r="R103" s="13">
        <v>5</v>
      </c>
      <c r="S103" s="13"/>
      <c r="T103" s="62"/>
      <c r="U103" s="13"/>
      <c r="V103" s="13"/>
      <c r="W103" s="59"/>
      <c r="X103" s="58"/>
      <c r="Y103" s="51">
        <f ca="1">Table25[[#This Row],[End Date]]+2-TODAY()</f>
        <v>-372</v>
      </c>
      <c r="Z103" s="13">
        <f>IF(ISBLANK(Table25[[#This Row],[Roster Received By]]),1,0)</f>
        <v>1</v>
      </c>
      <c r="AA103" s="13">
        <f ca="1">IF(Table25[[#This Row],[Start Date]]&gt;TODAY(),1,)</f>
        <v>0</v>
      </c>
    </row>
    <row r="104" spans="1:27" s="94" customFormat="1" hidden="1" x14ac:dyDescent="0.25">
      <c r="A104" s="58"/>
      <c r="B104" s="58" t="s">
        <v>72</v>
      </c>
      <c r="C104" s="59" t="s">
        <v>136</v>
      </c>
      <c r="D104" s="59">
        <v>5891</v>
      </c>
      <c r="E104" s="58" t="s">
        <v>117</v>
      </c>
      <c r="F104" s="61">
        <v>45882</v>
      </c>
      <c r="G104" s="61">
        <v>45884</v>
      </c>
      <c r="H104" s="64">
        <v>0.33333333333333331</v>
      </c>
      <c r="I104" s="60"/>
      <c r="J104" s="60"/>
      <c r="K104" s="60"/>
      <c r="L104" s="60"/>
      <c r="M104" s="60"/>
      <c r="N104" s="60"/>
      <c r="O104" s="58"/>
      <c r="P104" s="58"/>
      <c r="Q104" s="13">
        <v>25</v>
      </c>
      <c r="R104" s="13">
        <v>3</v>
      </c>
      <c r="S104" s="13"/>
      <c r="T104" s="62"/>
      <c r="U104" s="13"/>
      <c r="V104" s="13"/>
      <c r="W104" s="13"/>
      <c r="X104" s="58"/>
      <c r="Y104" s="51">
        <f ca="1">Table25[[#This Row],[End Date]]+2-TODAY()</f>
        <v>-358</v>
      </c>
      <c r="Z104" s="13">
        <f>IF(ISBLANK(Table25[[#This Row],[Roster Received By]]),1,0)</f>
        <v>1</v>
      </c>
      <c r="AA104" s="13">
        <f ca="1">IF(Table25[[#This Row],[Start Date]]&gt;TODAY(),1,)</f>
        <v>0</v>
      </c>
    </row>
    <row r="105" spans="1:27" s="65" customFormat="1" ht="14.25" customHeight="1" x14ac:dyDescent="0.25">
      <c r="A105" s="46"/>
      <c r="B105" s="58" t="s">
        <v>77</v>
      </c>
      <c r="C105" s="59" t="s">
        <v>244</v>
      </c>
      <c r="D105" s="59" t="s">
        <v>245</v>
      </c>
      <c r="E105" s="47" t="s">
        <v>117</v>
      </c>
      <c r="F105" s="61">
        <v>45887</v>
      </c>
      <c r="G105" s="61">
        <v>45891</v>
      </c>
      <c r="H105" s="64">
        <v>0.33333333333333331</v>
      </c>
      <c r="I105" s="64"/>
      <c r="J105" s="61"/>
      <c r="K105" s="61"/>
      <c r="L105" s="61"/>
      <c r="M105" s="61"/>
      <c r="N105" s="61"/>
      <c r="O105" s="58"/>
      <c r="P105" s="58"/>
      <c r="Q105" s="13">
        <v>30</v>
      </c>
      <c r="R105" s="13">
        <v>5</v>
      </c>
      <c r="S105" s="13"/>
      <c r="T105" s="62"/>
      <c r="U105" s="13"/>
      <c r="V105" s="13"/>
      <c r="W105" s="13"/>
      <c r="X105" s="58"/>
      <c r="Y105" s="51">
        <f ca="1">Table25[[#This Row],[End Date]]+2-TODAY()</f>
        <v>-351</v>
      </c>
      <c r="Z105" s="13">
        <f>IF(ISBLANK(Table25[[#This Row],[Roster Received By]]),1,0)</f>
        <v>1</v>
      </c>
      <c r="AA105" s="13">
        <f ca="1">IF(Table25[[#This Row],[Start Date]]&gt;TODAY(),1,)</f>
        <v>0</v>
      </c>
    </row>
    <row r="106" spans="1:27" s="94" customFormat="1" ht="14.25" hidden="1" customHeight="1" x14ac:dyDescent="0.25">
      <c r="A106" s="46"/>
      <c r="B106" s="58" t="s">
        <v>72</v>
      </c>
      <c r="C106" s="59" t="s">
        <v>136</v>
      </c>
      <c r="D106" s="59">
        <v>5891</v>
      </c>
      <c r="E106" s="58" t="s">
        <v>51</v>
      </c>
      <c r="F106" s="61">
        <v>45707</v>
      </c>
      <c r="G106" s="61">
        <v>45709</v>
      </c>
      <c r="H106" s="64">
        <v>0.33333333333333331</v>
      </c>
      <c r="I106" s="60"/>
      <c r="J106" s="60"/>
      <c r="K106" s="60"/>
      <c r="L106" s="60"/>
      <c r="M106" s="60"/>
      <c r="N106" s="60"/>
      <c r="O106" s="58"/>
      <c r="P106" s="58"/>
      <c r="Q106" s="13">
        <v>25</v>
      </c>
      <c r="R106" s="13">
        <v>3</v>
      </c>
      <c r="S106" s="13"/>
      <c r="T106" s="62"/>
      <c r="U106" s="13"/>
      <c r="V106" s="13"/>
      <c r="W106" s="13"/>
      <c r="X106" s="58"/>
      <c r="Y106" s="51">
        <f ca="1">Table25[[#This Row],[End Date]]+2-TODAY()</f>
        <v>-533</v>
      </c>
      <c r="Z106" s="13">
        <f>IF(ISBLANK(Table25[[#This Row],[Roster Received By]]),1,0)</f>
        <v>1</v>
      </c>
      <c r="AA106" s="13">
        <f ca="1">IF(Table25[[#This Row],[Start Date]]&gt;TODAY(),1,)</f>
        <v>0</v>
      </c>
    </row>
    <row r="107" spans="1:27" s="65" customFormat="1" ht="16.5" customHeight="1" x14ac:dyDescent="0.25">
      <c r="A107" s="46"/>
      <c r="B107" s="58" t="s">
        <v>77</v>
      </c>
      <c r="C107" s="59" t="s">
        <v>244</v>
      </c>
      <c r="D107" s="59" t="s">
        <v>245</v>
      </c>
      <c r="E107" s="47" t="s">
        <v>51</v>
      </c>
      <c r="F107" s="61">
        <v>45712</v>
      </c>
      <c r="G107" s="61">
        <v>45716</v>
      </c>
      <c r="H107" s="64">
        <v>0.33333333333333331</v>
      </c>
      <c r="I107" s="67"/>
      <c r="J107" s="61"/>
      <c r="K107" s="61"/>
      <c r="L107" s="61"/>
      <c r="M107" s="61"/>
      <c r="N107" s="61"/>
      <c r="O107" s="58"/>
      <c r="P107" s="58"/>
      <c r="Q107" s="13">
        <v>30</v>
      </c>
      <c r="R107" s="13">
        <v>5</v>
      </c>
      <c r="S107" s="13"/>
      <c r="T107" s="62"/>
      <c r="U107" s="13"/>
      <c r="V107" s="13"/>
      <c r="W107" s="62"/>
      <c r="X107" s="58"/>
      <c r="Y107" s="51">
        <f ca="1">Table25[[#This Row],[End Date]]+2-TODAY()</f>
        <v>-526</v>
      </c>
      <c r="Z107" s="13">
        <f>IF(ISBLANK(Table25[[#This Row],[Roster Received By]]),1,0)</f>
        <v>1</v>
      </c>
      <c r="AA107" s="13">
        <f ca="1">IF(Table25[[#This Row],[Start Date]]&gt;TODAY(),1,)</f>
        <v>0</v>
      </c>
    </row>
    <row r="108" spans="1:27" s="65" customFormat="1" ht="14.25" hidden="1" customHeight="1" x14ac:dyDescent="0.25">
      <c r="A108" s="46" t="s">
        <v>266</v>
      </c>
      <c r="B108" s="58" t="s">
        <v>72</v>
      </c>
      <c r="C108" s="59" t="s">
        <v>136</v>
      </c>
      <c r="D108" s="59">
        <v>5891</v>
      </c>
      <c r="E108" s="58"/>
      <c r="F108" s="61">
        <v>45609</v>
      </c>
      <c r="G108" s="61">
        <v>45611</v>
      </c>
      <c r="H108" s="64">
        <v>0.33333333333333331</v>
      </c>
      <c r="I108" s="64"/>
      <c r="J108" s="64"/>
      <c r="K108" s="64"/>
      <c r="L108" s="64"/>
      <c r="M108" s="64"/>
      <c r="N108" s="61"/>
      <c r="O108" s="58"/>
      <c r="P108" s="58"/>
      <c r="Q108" s="13">
        <v>25</v>
      </c>
      <c r="R108" s="13">
        <v>3</v>
      </c>
      <c r="S108" s="13"/>
      <c r="T108" s="62"/>
      <c r="U108" s="13"/>
      <c r="V108" s="13"/>
      <c r="W108" s="13"/>
      <c r="X108" s="58"/>
      <c r="Y108" s="51">
        <f ca="1">Table25[[#This Row],[End Date]]+2-TODAY()</f>
        <v>-631</v>
      </c>
      <c r="Z108" s="13">
        <f>IF(ISBLANK(Table25[[#This Row],[Roster Received By]]),1,0)</f>
        <v>1</v>
      </c>
      <c r="AA108" s="13">
        <f ca="1">IF(Table25[[#This Row],[Start Date]]&gt;TODAY(),1,)</f>
        <v>0</v>
      </c>
    </row>
    <row r="109" spans="1:27" s="65" customFormat="1" ht="14.25" hidden="1" customHeight="1" x14ac:dyDescent="0.25">
      <c r="A109" s="46" t="s">
        <v>266</v>
      </c>
      <c r="B109" s="58" t="s">
        <v>72</v>
      </c>
      <c r="C109" s="59" t="s">
        <v>136</v>
      </c>
      <c r="D109" s="59">
        <v>5891</v>
      </c>
      <c r="E109" s="58"/>
      <c r="F109" s="61">
        <v>45629</v>
      </c>
      <c r="G109" s="61">
        <v>45631</v>
      </c>
      <c r="H109" s="64">
        <v>0.33333333333333331</v>
      </c>
      <c r="I109" s="64"/>
      <c r="J109" s="60"/>
      <c r="K109" s="60"/>
      <c r="L109" s="60"/>
      <c r="M109" s="60"/>
      <c r="N109" s="60"/>
      <c r="O109" s="58"/>
      <c r="P109" s="58"/>
      <c r="Q109" s="13">
        <v>25</v>
      </c>
      <c r="R109" s="13">
        <v>3</v>
      </c>
      <c r="S109" s="13"/>
      <c r="T109" s="62"/>
      <c r="U109" s="13"/>
      <c r="V109" s="13"/>
      <c r="W109" s="13"/>
      <c r="X109" s="58"/>
      <c r="Y109" s="51">
        <f ca="1">Table25[[#This Row],[End Date]]+2-TODAY()</f>
        <v>-611</v>
      </c>
      <c r="Z109" s="13">
        <f>IF(ISBLANK(Table25[[#This Row],[Roster Received By]]),1,0)</f>
        <v>1</v>
      </c>
      <c r="AA109" s="13">
        <f ca="1">IF(Table25[[#This Row],[Start Date]]&gt;TODAY(),1,)</f>
        <v>0</v>
      </c>
    </row>
    <row r="110" spans="1:27" s="65" customFormat="1" ht="14.25" hidden="1" customHeight="1" x14ac:dyDescent="0.25">
      <c r="A110" s="46" t="s">
        <v>266</v>
      </c>
      <c r="B110" s="58" t="s">
        <v>72</v>
      </c>
      <c r="C110" s="59" t="s">
        <v>136</v>
      </c>
      <c r="D110" s="59">
        <v>5891</v>
      </c>
      <c r="E110" s="58"/>
      <c r="F110" s="61">
        <v>45748</v>
      </c>
      <c r="G110" s="61">
        <v>45750</v>
      </c>
      <c r="H110" s="64">
        <v>0.33333333333333331</v>
      </c>
      <c r="I110" s="60"/>
      <c r="J110" s="60"/>
      <c r="K110" s="60"/>
      <c r="L110" s="60"/>
      <c r="M110" s="60"/>
      <c r="N110" s="60"/>
      <c r="O110" s="58"/>
      <c r="P110" s="58"/>
      <c r="Q110" s="13">
        <v>25</v>
      </c>
      <c r="R110" s="13">
        <v>3</v>
      </c>
      <c r="S110" s="13"/>
      <c r="T110" s="62"/>
      <c r="U110" s="13"/>
      <c r="V110" s="13"/>
      <c r="W110" s="59"/>
      <c r="X110" s="58"/>
      <c r="Y110" s="51">
        <f ca="1">Table25[[#This Row],[End Date]]+2-TODAY()</f>
        <v>-492</v>
      </c>
      <c r="Z110" s="13">
        <f>IF(ISBLANK(Table25[[#This Row],[Roster Received By]]),1,0)</f>
        <v>1</v>
      </c>
      <c r="AA110" s="13">
        <f ca="1">IF(Table25[[#This Row],[Start Date]]&gt;TODAY(),1,)</f>
        <v>0</v>
      </c>
    </row>
    <row r="111" spans="1:27" s="65" customFormat="1" ht="14.25" customHeight="1" x14ac:dyDescent="0.25">
      <c r="A111" s="46" t="s">
        <v>266</v>
      </c>
      <c r="B111" s="58" t="s">
        <v>77</v>
      </c>
      <c r="C111" s="59" t="s">
        <v>244</v>
      </c>
      <c r="D111" s="59" t="s">
        <v>245</v>
      </c>
      <c r="E111" s="47"/>
      <c r="F111" s="61">
        <v>45635</v>
      </c>
      <c r="G111" s="61">
        <v>45639</v>
      </c>
      <c r="H111" s="64">
        <v>0.33333333333333331</v>
      </c>
      <c r="I111" s="67"/>
      <c r="J111" s="61"/>
      <c r="K111" s="61"/>
      <c r="L111" s="61"/>
      <c r="M111" s="61"/>
      <c r="N111" s="61"/>
      <c r="O111" s="58"/>
      <c r="P111" s="58"/>
      <c r="Q111" s="13">
        <v>30</v>
      </c>
      <c r="R111" s="13">
        <v>5</v>
      </c>
      <c r="S111" s="13"/>
      <c r="T111" s="62"/>
      <c r="U111" s="13"/>
      <c r="V111" s="13"/>
      <c r="W111" s="13"/>
      <c r="X111" s="58"/>
      <c r="Y111" s="51">
        <f ca="1">Table25[[#This Row],[End Date]]+2-TODAY()</f>
        <v>-603</v>
      </c>
      <c r="Z111" s="13">
        <f>IF(ISBLANK(Table25[[#This Row],[Roster Received By]]),1,0)</f>
        <v>1</v>
      </c>
      <c r="AA111" s="13">
        <f ca="1">IF(Table25[[#This Row],[Start Date]]&gt;TODAY(),1,)</f>
        <v>0</v>
      </c>
    </row>
    <row r="112" spans="1:27" s="65" customFormat="1" ht="14.25" customHeight="1" x14ac:dyDescent="0.25">
      <c r="A112" s="46" t="s">
        <v>266</v>
      </c>
      <c r="B112" s="58" t="s">
        <v>77</v>
      </c>
      <c r="C112" s="59" t="s">
        <v>244</v>
      </c>
      <c r="D112" s="59" t="s">
        <v>245</v>
      </c>
      <c r="E112" s="58"/>
      <c r="F112" s="49">
        <v>45810</v>
      </c>
      <c r="G112" s="49">
        <v>45814</v>
      </c>
      <c r="H112" s="64">
        <v>0.33333333333333331</v>
      </c>
      <c r="I112" s="60"/>
      <c r="J112" s="60"/>
      <c r="K112" s="60"/>
      <c r="L112" s="60"/>
      <c r="M112" s="60"/>
      <c r="N112" s="60"/>
      <c r="O112" s="58"/>
      <c r="P112" s="58"/>
      <c r="Q112" s="13">
        <v>30</v>
      </c>
      <c r="R112" s="13">
        <v>5</v>
      </c>
      <c r="S112" s="66"/>
      <c r="T112" s="62"/>
      <c r="U112" s="13"/>
      <c r="V112" s="13"/>
      <c r="W112" s="13"/>
      <c r="X112" s="58"/>
      <c r="Y112" s="51">
        <f ca="1">Table25[[#This Row],[End Date]]+2-TODAY()</f>
        <v>-428</v>
      </c>
      <c r="Z112" s="13">
        <f>IF(ISBLANK(Table25[[#This Row],[Roster Received By]]),1,0)</f>
        <v>1</v>
      </c>
      <c r="AA112" s="13">
        <f ca="1">IF(Table25[[#This Row],[Start Date]]&gt;TODAY(),1,)</f>
        <v>0</v>
      </c>
    </row>
    <row r="113" spans="1:27" s="65" customFormat="1" ht="14.25" hidden="1" customHeight="1" x14ac:dyDescent="0.25">
      <c r="A113" s="46"/>
      <c r="B113" s="58"/>
      <c r="C113" s="59" t="e">
        <v>#N/A</v>
      </c>
      <c r="D113" s="59" t="e">
        <v>#N/A</v>
      </c>
      <c r="E113" s="47"/>
      <c r="F113" s="49"/>
      <c r="G113" s="49"/>
      <c r="H113" s="60"/>
      <c r="I113" s="60"/>
      <c r="J113" s="61"/>
      <c r="K113" s="61"/>
      <c r="L113" s="61"/>
      <c r="M113" s="61"/>
      <c r="N113" s="61"/>
      <c r="O113" s="58"/>
      <c r="P113" s="58"/>
      <c r="Q113" s="13" t="e">
        <v>#N/A</v>
      </c>
      <c r="R113" s="13" t="e">
        <v>#N/A</v>
      </c>
      <c r="S113" s="13"/>
      <c r="T113" s="62"/>
      <c r="U113" s="13"/>
      <c r="V113" s="13"/>
      <c r="W113" s="13"/>
      <c r="X113" s="58"/>
      <c r="Y113" s="51">
        <f ca="1">Table25[[#This Row],[End Date]]+2-TODAY()</f>
        <v>-46242</v>
      </c>
      <c r="Z113" s="13">
        <f>IF(ISBLANK(Table25[[#This Row],[Roster Received By]]),1,0)</f>
        <v>1</v>
      </c>
      <c r="AA113" s="13">
        <f ca="1">IF(Table25[[#This Row],[Start Date]]&gt;TODAY(),1,)</f>
        <v>0</v>
      </c>
    </row>
    <row r="114" spans="1:27" s="65" customFormat="1" ht="14.25" hidden="1" customHeight="1" x14ac:dyDescent="0.25">
      <c r="A114" s="46"/>
      <c r="B114" s="58"/>
      <c r="C114" s="59" t="e">
        <v>#N/A</v>
      </c>
      <c r="D114" s="59" t="e">
        <v>#N/A</v>
      </c>
      <c r="E114" s="58"/>
      <c r="F114" s="49"/>
      <c r="G114" s="61"/>
      <c r="H114" s="61"/>
      <c r="I114" s="60"/>
      <c r="J114" s="60"/>
      <c r="K114" s="60"/>
      <c r="L114" s="60"/>
      <c r="M114" s="60"/>
      <c r="N114" s="60"/>
      <c r="O114" s="58"/>
      <c r="P114" s="58"/>
      <c r="Q114" s="13" t="e">
        <v>#N/A</v>
      </c>
      <c r="R114" s="13" t="e">
        <v>#N/A</v>
      </c>
      <c r="S114" s="13"/>
      <c r="T114" s="62"/>
      <c r="U114" s="13"/>
      <c r="V114" s="13"/>
      <c r="W114" s="13"/>
      <c r="X114" s="58"/>
      <c r="Y114" s="51">
        <f ca="1">Table25[[#This Row],[End Date]]+2-TODAY()</f>
        <v>-46242</v>
      </c>
      <c r="Z114" s="13">
        <f>IF(ISBLANK(Table25[[#This Row],[Roster Received By]]),1,0)</f>
        <v>1</v>
      </c>
      <c r="AA114" s="13">
        <f ca="1">IF(Table25[[#This Row],[Start Date]]&gt;TODAY(),1,)</f>
        <v>0</v>
      </c>
    </row>
    <row r="115" spans="1:27" s="65" customFormat="1" ht="14.25" hidden="1" customHeight="1" x14ac:dyDescent="0.25">
      <c r="A115" s="46"/>
      <c r="B115" s="58"/>
      <c r="C115" s="59" t="e">
        <v>#N/A</v>
      </c>
      <c r="D115" s="59" t="e">
        <v>#N/A</v>
      </c>
      <c r="E115" s="58"/>
      <c r="F115" s="61"/>
      <c r="G115" s="61"/>
      <c r="H115" s="64"/>
      <c r="I115" s="64"/>
      <c r="J115" s="61"/>
      <c r="K115" s="61"/>
      <c r="L115" s="61"/>
      <c r="M115" s="61"/>
      <c r="N115" s="61"/>
      <c r="O115" s="58"/>
      <c r="P115" s="58"/>
      <c r="Q115" s="13" t="e">
        <v>#N/A</v>
      </c>
      <c r="R115" s="13" t="e">
        <v>#N/A</v>
      </c>
      <c r="S115" s="13"/>
      <c r="T115" s="62"/>
      <c r="U115" s="13"/>
      <c r="V115" s="13"/>
      <c r="W115" s="13"/>
      <c r="X115" s="58"/>
      <c r="Y115" s="51">
        <f ca="1">Table25[[#This Row],[End Date]]+2-TODAY()</f>
        <v>-46242</v>
      </c>
      <c r="Z115" s="13">
        <f>IF(ISBLANK(Table25[[#This Row],[Roster Received By]]),1,0)</f>
        <v>1</v>
      </c>
      <c r="AA115" s="13">
        <f ca="1">IF(Table25[[#This Row],[Start Date]]&gt;TODAY(),1,)</f>
        <v>0</v>
      </c>
    </row>
    <row r="116" spans="1:27" s="65" customFormat="1" ht="14.25" hidden="1" customHeight="1" x14ac:dyDescent="0.25">
      <c r="A116" s="46"/>
      <c r="B116" s="58"/>
      <c r="C116" s="59" t="e">
        <v>#N/A</v>
      </c>
      <c r="D116" s="59" t="e">
        <v>#N/A</v>
      </c>
      <c r="E116" s="58"/>
      <c r="F116" s="61"/>
      <c r="G116" s="61"/>
      <c r="H116" s="64"/>
      <c r="I116" s="64"/>
      <c r="J116" s="64"/>
      <c r="K116" s="64"/>
      <c r="L116" s="64"/>
      <c r="M116" s="64"/>
      <c r="N116" s="61"/>
      <c r="O116" s="58"/>
      <c r="P116" s="58"/>
      <c r="Q116" s="13" t="e">
        <v>#N/A</v>
      </c>
      <c r="R116" s="13" t="e">
        <v>#N/A</v>
      </c>
      <c r="S116" s="13"/>
      <c r="T116" s="62"/>
      <c r="U116" s="13"/>
      <c r="V116" s="13"/>
      <c r="W116" s="13"/>
      <c r="X116" s="58"/>
      <c r="Y116" s="51">
        <f ca="1">Table25[[#This Row],[End Date]]+2-TODAY()</f>
        <v>-46242</v>
      </c>
      <c r="Z116" s="13">
        <f>IF(ISBLANK(Table25[[#This Row],[Roster Received By]]),1,0)</f>
        <v>1</v>
      </c>
      <c r="AA116" s="13">
        <f ca="1">IF(Table25[[#This Row],[Start Date]]&gt;TODAY(),1,)</f>
        <v>0</v>
      </c>
    </row>
    <row r="117" spans="1:27" s="65" customFormat="1" ht="14.25" hidden="1" customHeight="1" x14ac:dyDescent="0.25">
      <c r="A117" s="46"/>
      <c r="B117" s="58"/>
      <c r="C117" s="59" t="e">
        <v>#N/A</v>
      </c>
      <c r="D117" s="59" t="e">
        <v>#N/A</v>
      </c>
      <c r="E117" s="58"/>
      <c r="F117" s="61"/>
      <c r="G117" s="61"/>
      <c r="H117" s="64"/>
      <c r="I117" s="64"/>
      <c r="J117" s="61"/>
      <c r="K117" s="61"/>
      <c r="L117" s="61"/>
      <c r="M117" s="61"/>
      <c r="N117" s="61"/>
      <c r="O117" s="58"/>
      <c r="P117" s="58"/>
      <c r="Q117" s="13" t="e">
        <v>#N/A</v>
      </c>
      <c r="R117" s="13" t="e">
        <v>#N/A</v>
      </c>
      <c r="S117" s="13"/>
      <c r="T117" s="62"/>
      <c r="U117" s="13"/>
      <c r="V117" s="13"/>
      <c r="W117" s="13"/>
      <c r="X117" s="58"/>
      <c r="Y117" s="51">
        <f ca="1">Table25[[#This Row],[End Date]]+2-TODAY()</f>
        <v>-46242</v>
      </c>
      <c r="Z117" s="13">
        <f>IF(ISBLANK(Table25[[#This Row],[Roster Received By]]),1,0)</f>
        <v>1</v>
      </c>
      <c r="AA117" s="13">
        <f ca="1">IF(Table25[[#This Row],[Start Date]]&gt;TODAY(),1,)</f>
        <v>0</v>
      </c>
    </row>
    <row r="118" spans="1:27" s="65" customFormat="1" ht="14.25" hidden="1" customHeight="1" x14ac:dyDescent="0.25">
      <c r="A118" s="46"/>
      <c r="B118" s="58"/>
      <c r="C118" s="59" t="e">
        <v>#N/A</v>
      </c>
      <c r="D118" s="59" t="e">
        <v>#N/A</v>
      </c>
      <c r="E118" s="58"/>
      <c r="F118" s="61"/>
      <c r="G118" s="61"/>
      <c r="H118" s="61"/>
      <c r="I118" s="60"/>
      <c r="J118" s="60"/>
      <c r="K118" s="60"/>
      <c r="L118" s="60"/>
      <c r="M118" s="60"/>
      <c r="N118" s="60"/>
      <c r="O118" s="58"/>
      <c r="P118" s="58"/>
      <c r="Q118" s="13" t="e">
        <v>#N/A</v>
      </c>
      <c r="R118" s="13" t="e">
        <v>#N/A</v>
      </c>
      <c r="S118" s="13"/>
      <c r="T118" s="62"/>
      <c r="U118" s="13"/>
      <c r="V118" s="13"/>
      <c r="W118" s="13"/>
      <c r="X118" s="58"/>
      <c r="Y118" s="51">
        <f ca="1">Table25[[#This Row],[End Date]]+2-TODAY()</f>
        <v>-46242</v>
      </c>
      <c r="Z118" s="13">
        <f>IF(ISBLANK(Table25[[#This Row],[Roster Received By]]),1,0)</f>
        <v>1</v>
      </c>
      <c r="AA118" s="13">
        <f ca="1">IF(Table25[[#This Row],[Start Date]]&gt;TODAY(),1,)</f>
        <v>0</v>
      </c>
    </row>
    <row r="119" spans="1:27" s="65" customFormat="1" ht="14.25" hidden="1" customHeight="1" x14ac:dyDescent="0.25">
      <c r="A119" s="46"/>
      <c r="B119" s="58"/>
      <c r="C119" s="59" t="e">
        <v>#N/A</v>
      </c>
      <c r="D119" s="59" t="e">
        <v>#N/A</v>
      </c>
      <c r="E119" s="58"/>
      <c r="F119" s="49"/>
      <c r="G119" s="49"/>
      <c r="H119" s="49"/>
      <c r="I119" s="60"/>
      <c r="J119" s="60"/>
      <c r="K119" s="60"/>
      <c r="L119" s="60"/>
      <c r="M119" s="60"/>
      <c r="N119" s="60"/>
      <c r="O119" s="58"/>
      <c r="P119" s="58"/>
      <c r="Q119" s="13" t="e">
        <v>#N/A</v>
      </c>
      <c r="R119" s="13" t="e">
        <v>#N/A</v>
      </c>
      <c r="S119" s="13"/>
      <c r="T119" s="62"/>
      <c r="U119" s="13"/>
      <c r="V119" s="13"/>
      <c r="W119" s="13"/>
      <c r="X119" s="58"/>
      <c r="Y119" s="51">
        <f ca="1">Table25[[#This Row],[End Date]]+2-TODAY()</f>
        <v>-46242</v>
      </c>
      <c r="Z119" s="13">
        <f>IF(ISBLANK(Table25[[#This Row],[Roster Received By]]),1,0)</f>
        <v>1</v>
      </c>
      <c r="AA119" s="13">
        <f ca="1">IF(Table25[[#This Row],[Start Date]]&gt;TODAY(),1,)</f>
        <v>0</v>
      </c>
    </row>
    <row r="120" spans="1:27" s="65" customFormat="1" ht="14.25" hidden="1" customHeight="1" x14ac:dyDescent="0.25">
      <c r="A120" s="58"/>
      <c r="B120" s="58"/>
      <c r="C120" s="59" t="e">
        <v>#N/A</v>
      </c>
      <c r="D120" s="59" t="e">
        <v>#N/A</v>
      </c>
      <c r="E120" s="58"/>
      <c r="F120" s="61"/>
      <c r="G120" s="61"/>
      <c r="H120" s="61"/>
      <c r="I120" s="60"/>
      <c r="J120" s="60"/>
      <c r="K120" s="60"/>
      <c r="L120" s="60"/>
      <c r="M120" s="60"/>
      <c r="N120" s="60"/>
      <c r="O120" s="58"/>
      <c r="P120" s="58"/>
      <c r="Q120" s="13" t="e">
        <v>#N/A</v>
      </c>
      <c r="R120" s="13" t="e">
        <v>#N/A</v>
      </c>
      <c r="S120" s="13"/>
      <c r="T120" s="62"/>
      <c r="U120" s="13"/>
      <c r="V120" s="13"/>
      <c r="W120" s="13"/>
      <c r="X120" s="58"/>
      <c r="Y120" s="51">
        <f ca="1">Table25[[#This Row],[End Date]]+2-TODAY()</f>
        <v>-46242</v>
      </c>
      <c r="Z120" s="13">
        <f>IF(ISBLANK(Table25[[#This Row],[Roster Received By]]),1,0)</f>
        <v>1</v>
      </c>
      <c r="AA120" s="13">
        <f ca="1">IF(Table25[[#This Row],[Start Date]]&gt;TODAY(),1,)</f>
        <v>0</v>
      </c>
    </row>
    <row r="121" spans="1:27" s="65" customFormat="1" ht="14.25" hidden="1" customHeight="1" x14ac:dyDescent="0.25">
      <c r="A121" s="46"/>
      <c r="B121" s="58"/>
      <c r="C121" s="59" t="e">
        <v>#N/A</v>
      </c>
      <c r="D121" s="59" t="e">
        <v>#N/A</v>
      </c>
      <c r="E121" s="100"/>
      <c r="F121" s="49"/>
      <c r="G121" s="61"/>
      <c r="H121" s="64"/>
      <c r="I121" s="64"/>
      <c r="J121" s="61"/>
      <c r="K121" s="61"/>
      <c r="L121" s="61"/>
      <c r="M121" s="61"/>
      <c r="N121" s="61"/>
      <c r="O121" s="58"/>
      <c r="P121" s="58"/>
      <c r="Q121" s="13" t="e">
        <v>#N/A</v>
      </c>
      <c r="R121" s="13" t="e">
        <v>#N/A</v>
      </c>
      <c r="S121" s="13"/>
      <c r="T121" s="62"/>
      <c r="U121" s="13"/>
      <c r="V121" s="13"/>
      <c r="W121" s="59"/>
      <c r="X121" s="58"/>
      <c r="Y121" s="51">
        <f ca="1">Table25[[#This Row],[End Date]]+2-TODAY()</f>
        <v>-46242</v>
      </c>
      <c r="Z121" s="13">
        <f>IF(ISBLANK(Table25[[#This Row],[Roster Received By]]),1,0)</f>
        <v>1</v>
      </c>
      <c r="AA121" s="13">
        <f ca="1">IF(Table25[[#This Row],[Start Date]]&gt;TODAY(),1,)</f>
        <v>0</v>
      </c>
    </row>
    <row r="122" spans="1:27" s="65" customFormat="1" ht="14.25" hidden="1" customHeight="1" x14ac:dyDescent="0.25">
      <c r="A122" s="46"/>
      <c r="B122" s="58"/>
      <c r="C122" s="59" t="e">
        <v>#N/A</v>
      </c>
      <c r="D122" s="59" t="e">
        <v>#N/A</v>
      </c>
      <c r="E122" s="58"/>
      <c r="F122" s="61"/>
      <c r="G122" s="61"/>
      <c r="H122" s="64"/>
      <c r="I122" s="64"/>
      <c r="J122" s="61"/>
      <c r="K122" s="61"/>
      <c r="L122" s="61"/>
      <c r="M122" s="61"/>
      <c r="N122" s="61"/>
      <c r="O122" s="58"/>
      <c r="P122" s="58"/>
      <c r="Q122" s="13" t="e">
        <v>#N/A</v>
      </c>
      <c r="R122" s="13" t="e">
        <v>#N/A</v>
      </c>
      <c r="S122" s="13"/>
      <c r="T122" s="62"/>
      <c r="U122" s="13"/>
      <c r="V122" s="13"/>
      <c r="W122" s="13"/>
      <c r="X122" s="58"/>
      <c r="Y122" s="51">
        <f ca="1">Table25[[#This Row],[End Date]]+2-TODAY()</f>
        <v>-46242</v>
      </c>
      <c r="Z122" s="13">
        <f>IF(ISBLANK(Table25[[#This Row],[Roster Received By]]),1,0)</f>
        <v>1</v>
      </c>
      <c r="AA122" s="13">
        <f ca="1">IF(Table25[[#This Row],[Start Date]]&gt;TODAY(),1,)</f>
        <v>0</v>
      </c>
    </row>
    <row r="123" spans="1:27" s="65" customFormat="1" ht="14.25" hidden="1" customHeight="1" x14ac:dyDescent="0.25">
      <c r="A123" s="46"/>
      <c r="B123" s="58"/>
      <c r="C123" s="59" t="e">
        <v>#N/A</v>
      </c>
      <c r="D123" s="59" t="e">
        <v>#N/A</v>
      </c>
      <c r="E123" s="58"/>
      <c r="F123" s="61"/>
      <c r="G123" s="61"/>
      <c r="H123" s="64"/>
      <c r="I123" s="64"/>
      <c r="J123" s="61"/>
      <c r="K123" s="61"/>
      <c r="L123" s="61"/>
      <c r="M123" s="61"/>
      <c r="N123" s="61"/>
      <c r="O123" s="58"/>
      <c r="P123" s="58"/>
      <c r="Q123" s="13" t="e">
        <v>#N/A</v>
      </c>
      <c r="R123" s="13" t="e">
        <v>#N/A</v>
      </c>
      <c r="S123" s="13"/>
      <c r="T123" s="62"/>
      <c r="U123" s="13"/>
      <c r="V123" s="13"/>
      <c r="W123" s="13"/>
      <c r="X123" s="58"/>
      <c r="Y123" s="51">
        <f ca="1">Table25[[#This Row],[End Date]]+2-TODAY()</f>
        <v>-46242</v>
      </c>
      <c r="Z123" s="13">
        <f>IF(ISBLANK(Table25[[#This Row],[Roster Received By]]),1,0)</f>
        <v>1</v>
      </c>
      <c r="AA123" s="13">
        <f ca="1">IF(Table25[[#This Row],[Start Date]]&gt;TODAY(),1,)</f>
        <v>0</v>
      </c>
    </row>
    <row r="124" spans="1:27" s="65" customFormat="1" ht="14.25" hidden="1" customHeight="1" x14ac:dyDescent="0.25">
      <c r="A124" s="46"/>
      <c r="B124" s="58"/>
      <c r="C124" s="59" t="e">
        <v>#N/A</v>
      </c>
      <c r="D124" s="59" t="e">
        <v>#N/A</v>
      </c>
      <c r="E124" s="58"/>
      <c r="F124" s="61"/>
      <c r="G124" s="61"/>
      <c r="H124" s="61"/>
      <c r="I124" s="60"/>
      <c r="J124" s="60"/>
      <c r="K124" s="60"/>
      <c r="L124" s="60"/>
      <c r="M124" s="60"/>
      <c r="N124" s="60"/>
      <c r="O124" s="58"/>
      <c r="P124" s="58"/>
      <c r="Q124" s="13" t="e">
        <v>#N/A</v>
      </c>
      <c r="R124" s="13" t="e">
        <v>#N/A</v>
      </c>
      <c r="S124" s="13"/>
      <c r="T124" s="62"/>
      <c r="U124" s="13"/>
      <c r="V124" s="13"/>
      <c r="W124" s="13"/>
      <c r="X124" s="58"/>
      <c r="Y124" s="51">
        <f ca="1">Table25[[#This Row],[End Date]]+2-TODAY()</f>
        <v>-46242</v>
      </c>
      <c r="Z124" s="13">
        <f>IF(ISBLANK(Table25[[#This Row],[Roster Received By]]),1,0)</f>
        <v>1</v>
      </c>
      <c r="AA124" s="13">
        <f ca="1">IF(Table25[[#This Row],[Start Date]]&gt;TODAY(),1,)</f>
        <v>0</v>
      </c>
    </row>
    <row r="125" spans="1:27" s="65" customFormat="1" ht="14.25" hidden="1" customHeight="1" x14ac:dyDescent="0.25">
      <c r="A125" s="46"/>
      <c r="B125" s="58"/>
      <c r="C125" s="59" t="e">
        <v>#N/A</v>
      </c>
      <c r="D125" s="59" t="e">
        <v>#N/A</v>
      </c>
      <c r="E125" s="58"/>
      <c r="F125" s="61"/>
      <c r="G125" s="61"/>
      <c r="H125" s="61"/>
      <c r="I125" s="60"/>
      <c r="J125" s="60"/>
      <c r="K125" s="60"/>
      <c r="L125" s="60"/>
      <c r="M125" s="60"/>
      <c r="N125" s="60"/>
      <c r="O125" s="58"/>
      <c r="P125" s="58"/>
      <c r="Q125" s="13" t="e">
        <v>#N/A</v>
      </c>
      <c r="R125" s="13" t="e">
        <v>#N/A</v>
      </c>
      <c r="S125" s="13"/>
      <c r="T125" s="62"/>
      <c r="U125" s="13"/>
      <c r="V125" s="13"/>
      <c r="W125" s="13"/>
      <c r="X125" s="58"/>
      <c r="Y125" s="51">
        <f ca="1">Table25[[#This Row],[End Date]]+2-TODAY()</f>
        <v>-46242</v>
      </c>
      <c r="Z125" s="13">
        <f>IF(ISBLANK(Table25[[#This Row],[Roster Received By]]),1,0)</f>
        <v>1</v>
      </c>
      <c r="AA125" s="13">
        <f ca="1">IF(Table25[[#This Row],[Start Date]]&gt;TODAY(),1,)</f>
        <v>0</v>
      </c>
    </row>
    <row r="126" spans="1:27" s="65" customFormat="1" ht="14.25" hidden="1" customHeight="1" x14ac:dyDescent="0.25">
      <c r="A126" s="46"/>
      <c r="B126" s="58"/>
      <c r="C126" s="59" t="e">
        <v>#N/A</v>
      </c>
      <c r="D126" s="59" t="e">
        <v>#N/A</v>
      </c>
      <c r="E126" s="58"/>
      <c r="F126" s="61"/>
      <c r="G126" s="61"/>
      <c r="H126" s="64"/>
      <c r="I126" s="64"/>
      <c r="J126" s="61"/>
      <c r="K126" s="61"/>
      <c r="L126" s="61"/>
      <c r="M126" s="61"/>
      <c r="N126" s="61"/>
      <c r="O126" s="58"/>
      <c r="P126" s="58"/>
      <c r="Q126" s="13" t="e">
        <v>#N/A</v>
      </c>
      <c r="R126" s="13" t="e">
        <v>#N/A</v>
      </c>
      <c r="S126" s="13"/>
      <c r="T126" s="62"/>
      <c r="U126" s="13"/>
      <c r="V126" s="13"/>
      <c r="W126" s="13"/>
      <c r="X126" s="58"/>
      <c r="Y126" s="51">
        <f ca="1">Table25[[#This Row],[End Date]]+2-TODAY()</f>
        <v>-46242</v>
      </c>
      <c r="Z126" s="13">
        <f>IF(ISBLANK(Table25[[#This Row],[Roster Received By]]),1,0)</f>
        <v>1</v>
      </c>
      <c r="AA126" s="13">
        <f ca="1">IF(Table25[[#This Row],[Start Date]]&gt;TODAY(),1,)</f>
        <v>0</v>
      </c>
    </row>
    <row r="127" spans="1:27" s="65" customFormat="1" ht="14.25" hidden="1" customHeight="1" x14ac:dyDescent="0.25">
      <c r="A127" s="46"/>
      <c r="B127" s="58"/>
      <c r="C127" s="59" t="e">
        <v>#N/A</v>
      </c>
      <c r="D127" s="59" t="e">
        <v>#N/A</v>
      </c>
      <c r="E127" s="58"/>
      <c r="F127" s="61"/>
      <c r="G127" s="61"/>
      <c r="H127" s="61"/>
      <c r="I127" s="60"/>
      <c r="J127" s="60"/>
      <c r="K127" s="60"/>
      <c r="L127" s="60"/>
      <c r="M127" s="60"/>
      <c r="N127" s="60"/>
      <c r="O127" s="58"/>
      <c r="P127" s="58"/>
      <c r="Q127" s="13" t="e">
        <v>#N/A</v>
      </c>
      <c r="R127" s="13" t="e">
        <v>#N/A</v>
      </c>
      <c r="S127" s="13"/>
      <c r="T127" s="62"/>
      <c r="U127" s="13"/>
      <c r="V127" s="13"/>
      <c r="W127" s="13"/>
      <c r="X127" s="58"/>
      <c r="Y127" s="51">
        <f ca="1">Table25[[#This Row],[End Date]]+2-TODAY()</f>
        <v>-46242</v>
      </c>
      <c r="Z127" s="13">
        <f>IF(ISBLANK(Table25[[#This Row],[Roster Received By]]),1,0)</f>
        <v>1</v>
      </c>
      <c r="AA127" s="13">
        <f ca="1">IF(Table25[[#This Row],[Start Date]]&gt;TODAY(),1,)</f>
        <v>0</v>
      </c>
    </row>
    <row r="128" spans="1:27" s="65" customFormat="1" ht="14.25" hidden="1" customHeight="1" x14ac:dyDescent="0.25">
      <c r="A128" s="58"/>
      <c r="B128" s="58"/>
      <c r="C128" s="59" t="e">
        <v>#N/A</v>
      </c>
      <c r="D128" s="59" t="e">
        <v>#N/A</v>
      </c>
      <c r="E128" s="58"/>
      <c r="F128" s="61"/>
      <c r="G128" s="61"/>
      <c r="H128" s="64"/>
      <c r="I128" s="64"/>
      <c r="J128" s="61"/>
      <c r="K128" s="61"/>
      <c r="L128" s="61"/>
      <c r="M128" s="61"/>
      <c r="N128" s="61"/>
      <c r="O128" s="58"/>
      <c r="P128" s="58"/>
      <c r="Q128" s="13" t="e">
        <v>#N/A</v>
      </c>
      <c r="R128" s="13" t="e">
        <v>#N/A</v>
      </c>
      <c r="S128" s="13"/>
      <c r="T128" s="62"/>
      <c r="U128" s="13"/>
      <c r="V128" s="13"/>
      <c r="W128" s="13"/>
      <c r="X128" s="58"/>
      <c r="Y128" s="51">
        <f ca="1">Table25[[#This Row],[End Date]]+2-TODAY()</f>
        <v>-46242</v>
      </c>
      <c r="Z128" s="13">
        <f>IF(ISBLANK(Table25[[#This Row],[Roster Received By]]),1,0)</f>
        <v>1</v>
      </c>
      <c r="AA128" s="13">
        <f ca="1">IF(Table25[[#This Row],[Start Date]]&gt;TODAY(),1,)</f>
        <v>0</v>
      </c>
    </row>
    <row r="129" spans="1:27" s="94" customFormat="1" hidden="1" x14ac:dyDescent="0.25">
      <c r="A129" s="46"/>
      <c r="B129" s="58"/>
      <c r="C129" s="59" t="e">
        <v>#N/A</v>
      </c>
      <c r="D129" s="59" t="e">
        <v>#N/A</v>
      </c>
      <c r="E129" s="58"/>
      <c r="F129" s="61"/>
      <c r="G129" s="61"/>
      <c r="H129" s="64"/>
      <c r="I129" s="64"/>
      <c r="J129" s="61"/>
      <c r="K129" s="61"/>
      <c r="L129" s="61"/>
      <c r="M129" s="61"/>
      <c r="N129" s="61"/>
      <c r="O129" s="58"/>
      <c r="P129" s="58"/>
      <c r="Q129" s="13" t="e">
        <v>#N/A</v>
      </c>
      <c r="R129" s="13" t="e">
        <v>#N/A</v>
      </c>
      <c r="S129" s="13"/>
      <c r="T129" s="62"/>
      <c r="U129" s="13"/>
      <c r="V129" s="13"/>
      <c r="W129" s="13"/>
      <c r="X129" s="58"/>
      <c r="Y129" s="51">
        <f ca="1">Table25[[#This Row],[End Date]]+2-TODAY()</f>
        <v>-46242</v>
      </c>
      <c r="Z129" s="13">
        <f>IF(ISBLANK(Table25[[#This Row],[Roster Received By]]),1,0)</f>
        <v>1</v>
      </c>
      <c r="AA129" s="13">
        <f ca="1">IF(Table25[[#This Row],[Start Date]]&gt;TODAY(),1,)</f>
        <v>0</v>
      </c>
    </row>
    <row r="130" spans="1:27" s="65" customFormat="1" ht="14.25" hidden="1" customHeight="1" x14ac:dyDescent="0.25">
      <c r="A130" s="46"/>
      <c r="B130" s="58"/>
      <c r="C130" s="59" t="e">
        <v>#N/A</v>
      </c>
      <c r="D130" s="59" t="e">
        <v>#N/A</v>
      </c>
      <c r="E130" s="58"/>
      <c r="F130" s="61"/>
      <c r="G130" s="61"/>
      <c r="H130" s="61"/>
      <c r="I130" s="60"/>
      <c r="J130" s="60"/>
      <c r="K130" s="60"/>
      <c r="L130" s="60"/>
      <c r="M130" s="60"/>
      <c r="N130" s="60"/>
      <c r="O130" s="58"/>
      <c r="P130" s="58"/>
      <c r="Q130" s="13" t="e">
        <v>#N/A</v>
      </c>
      <c r="R130" s="13" t="e">
        <v>#N/A</v>
      </c>
      <c r="S130" s="13"/>
      <c r="T130" s="62"/>
      <c r="U130" s="13"/>
      <c r="V130" s="13"/>
      <c r="W130" s="13"/>
      <c r="X130" s="58"/>
      <c r="Y130" s="51">
        <f ca="1">Table25[[#This Row],[End Date]]+2-TODAY()</f>
        <v>-46242</v>
      </c>
      <c r="Z130" s="13">
        <f>IF(ISBLANK(Table25[[#This Row],[Roster Received By]]),1,0)</f>
        <v>1</v>
      </c>
      <c r="AA130" s="13">
        <f ca="1">IF(Table25[[#This Row],[Start Date]]&gt;TODAY(),1,)</f>
        <v>0</v>
      </c>
    </row>
    <row r="131" spans="1:27" s="65" customFormat="1" ht="14.25" hidden="1" customHeight="1" x14ac:dyDescent="0.25">
      <c r="A131" s="46"/>
      <c r="B131" s="58"/>
      <c r="C131" s="59" t="e">
        <v>#N/A</v>
      </c>
      <c r="D131" s="59" t="e">
        <v>#N/A</v>
      </c>
      <c r="E131" s="58"/>
      <c r="F131" s="61"/>
      <c r="G131" s="61"/>
      <c r="H131" s="64"/>
      <c r="I131" s="64"/>
      <c r="J131" s="61"/>
      <c r="K131" s="61"/>
      <c r="L131" s="61"/>
      <c r="M131" s="61"/>
      <c r="N131" s="61"/>
      <c r="O131" s="58"/>
      <c r="P131" s="58"/>
      <c r="Q131" s="13" t="e">
        <v>#N/A</v>
      </c>
      <c r="R131" s="13" t="e">
        <v>#N/A</v>
      </c>
      <c r="S131" s="13"/>
      <c r="T131" s="62"/>
      <c r="U131" s="13"/>
      <c r="V131" s="13"/>
      <c r="W131" s="66"/>
      <c r="X131" s="58"/>
      <c r="Y131" s="51">
        <f ca="1">Table25[[#This Row],[End Date]]+2-TODAY()</f>
        <v>-46242</v>
      </c>
      <c r="Z131" s="13">
        <f>IF(ISBLANK(Table25[[#This Row],[Roster Received By]]),1,0)</f>
        <v>1</v>
      </c>
      <c r="AA131" s="13">
        <f ca="1">IF(Table25[[#This Row],[Start Date]]&gt;TODAY(),1,)</f>
        <v>0</v>
      </c>
    </row>
    <row r="132" spans="1:27" s="65" customFormat="1" ht="14.25" hidden="1" customHeight="1" x14ac:dyDescent="0.25">
      <c r="A132" s="46"/>
      <c r="B132" s="58"/>
      <c r="C132" s="59" t="e">
        <v>#N/A</v>
      </c>
      <c r="D132" s="59" t="e">
        <v>#N/A</v>
      </c>
      <c r="E132" s="58"/>
      <c r="F132" s="61"/>
      <c r="G132" s="61"/>
      <c r="H132" s="61"/>
      <c r="I132" s="60"/>
      <c r="J132" s="60"/>
      <c r="K132" s="60"/>
      <c r="L132" s="60"/>
      <c r="M132" s="60"/>
      <c r="N132" s="60"/>
      <c r="O132" s="58"/>
      <c r="P132" s="58"/>
      <c r="Q132" s="13" t="e">
        <v>#N/A</v>
      </c>
      <c r="R132" s="13" t="e">
        <v>#N/A</v>
      </c>
      <c r="S132" s="13"/>
      <c r="T132" s="62"/>
      <c r="U132" s="13"/>
      <c r="V132" s="13"/>
      <c r="W132" s="13"/>
      <c r="X132" s="58"/>
      <c r="Y132" s="51">
        <f ca="1">Table25[[#This Row],[End Date]]+2-TODAY()</f>
        <v>-46242</v>
      </c>
      <c r="Z132" s="13">
        <f>IF(ISBLANK(Table25[[#This Row],[Roster Received By]]),1,0)</f>
        <v>1</v>
      </c>
      <c r="AA132" s="13">
        <f ca="1">IF(Table25[[#This Row],[Start Date]]&gt;TODAY(),1,)</f>
        <v>0</v>
      </c>
    </row>
    <row r="133" spans="1:27" s="65" customFormat="1" ht="14.25" hidden="1" customHeight="1" x14ac:dyDescent="0.25">
      <c r="A133" s="46"/>
      <c r="B133" s="58"/>
      <c r="C133" s="59" t="e">
        <v>#N/A</v>
      </c>
      <c r="D133" s="59" t="e">
        <v>#N/A</v>
      </c>
      <c r="E133" s="58"/>
      <c r="F133" s="61"/>
      <c r="G133" s="61"/>
      <c r="H133" s="61"/>
      <c r="I133" s="60"/>
      <c r="J133" s="60"/>
      <c r="K133" s="60"/>
      <c r="L133" s="60"/>
      <c r="M133" s="60"/>
      <c r="N133" s="60"/>
      <c r="O133" s="58"/>
      <c r="P133" s="58"/>
      <c r="Q133" s="13" t="e">
        <v>#N/A</v>
      </c>
      <c r="R133" s="13" t="e">
        <v>#N/A</v>
      </c>
      <c r="S133" s="13"/>
      <c r="T133" s="62"/>
      <c r="U133" s="13"/>
      <c r="V133" s="13"/>
      <c r="W133" s="13"/>
      <c r="X133" s="58"/>
      <c r="Y133" s="51">
        <f ca="1">Table25[[#This Row],[End Date]]+2-TODAY()</f>
        <v>-46242</v>
      </c>
      <c r="Z133" s="13">
        <f>IF(ISBLANK(Table25[[#This Row],[Roster Received By]]),1,0)</f>
        <v>1</v>
      </c>
      <c r="AA133" s="13">
        <f ca="1">IF(Table25[[#This Row],[Start Date]]&gt;TODAY(),1,)</f>
        <v>0</v>
      </c>
    </row>
    <row r="134" spans="1:27" s="65" customFormat="1" ht="14.25" hidden="1" customHeight="1" x14ac:dyDescent="0.25">
      <c r="A134" s="46"/>
      <c r="B134" s="58"/>
      <c r="C134" s="59" t="e">
        <v>#N/A</v>
      </c>
      <c r="D134" s="59" t="e">
        <v>#N/A</v>
      </c>
      <c r="E134" s="58"/>
      <c r="F134" s="61"/>
      <c r="G134" s="61"/>
      <c r="H134" s="61"/>
      <c r="I134" s="60"/>
      <c r="J134" s="60"/>
      <c r="K134" s="60"/>
      <c r="L134" s="60"/>
      <c r="M134" s="60"/>
      <c r="N134" s="60"/>
      <c r="O134" s="58"/>
      <c r="P134" s="58"/>
      <c r="Q134" s="13" t="e">
        <v>#N/A</v>
      </c>
      <c r="R134" s="13" t="e">
        <v>#N/A</v>
      </c>
      <c r="S134" s="13"/>
      <c r="T134" s="62"/>
      <c r="U134" s="13"/>
      <c r="V134" s="13"/>
      <c r="W134" s="59"/>
      <c r="X134" s="58"/>
      <c r="Y134" s="51">
        <f ca="1">Table25[[#This Row],[End Date]]+2-TODAY()</f>
        <v>-46242</v>
      </c>
      <c r="Z134" s="13">
        <f>IF(ISBLANK(Table25[[#This Row],[Roster Received By]]),1,0)</f>
        <v>1</v>
      </c>
      <c r="AA134" s="13">
        <f ca="1">IF(Table25[[#This Row],[Start Date]]&gt;TODAY(),1,)</f>
        <v>0</v>
      </c>
    </row>
    <row r="135" spans="1:27" s="65" customFormat="1" ht="14.25" hidden="1" customHeight="1" x14ac:dyDescent="0.25">
      <c r="A135" s="58"/>
      <c r="B135" s="58"/>
      <c r="C135" s="59" t="e">
        <v>#N/A</v>
      </c>
      <c r="D135" s="59" t="e">
        <v>#N/A</v>
      </c>
      <c r="E135" s="58"/>
      <c r="F135" s="61"/>
      <c r="G135" s="61"/>
      <c r="H135" s="67"/>
      <c r="I135" s="67"/>
      <c r="J135" s="61"/>
      <c r="K135" s="61"/>
      <c r="L135" s="61"/>
      <c r="M135" s="61"/>
      <c r="N135" s="61"/>
      <c r="O135" s="58"/>
      <c r="P135" s="58"/>
      <c r="Q135" s="13" t="e">
        <v>#N/A</v>
      </c>
      <c r="R135" s="13" t="e">
        <v>#N/A</v>
      </c>
      <c r="S135" s="13"/>
      <c r="T135" s="62"/>
      <c r="U135" s="13"/>
      <c r="V135" s="13"/>
      <c r="W135" s="59"/>
      <c r="X135" s="58"/>
      <c r="Y135" s="51">
        <f ca="1">Table25[[#This Row],[End Date]]+2-TODAY()</f>
        <v>-46242</v>
      </c>
      <c r="Z135" s="13">
        <f>IF(ISBLANK(Table25[[#This Row],[Roster Received By]]),1,0)</f>
        <v>1</v>
      </c>
      <c r="AA135" s="13">
        <f ca="1">IF(Table25[[#This Row],[Start Date]]&gt;TODAY(),1,)</f>
        <v>0</v>
      </c>
    </row>
    <row r="136" spans="1:27" s="65" customFormat="1" ht="14.25" hidden="1" customHeight="1" x14ac:dyDescent="0.25">
      <c r="A136" s="46"/>
      <c r="B136" s="58"/>
      <c r="C136" s="59" t="e">
        <v>#N/A</v>
      </c>
      <c r="D136" s="59" t="e">
        <v>#N/A</v>
      </c>
      <c r="E136" s="58"/>
      <c r="F136" s="61"/>
      <c r="G136" s="61"/>
      <c r="H136" s="61"/>
      <c r="I136" s="60"/>
      <c r="J136" s="60"/>
      <c r="K136" s="60"/>
      <c r="L136" s="60"/>
      <c r="M136" s="60"/>
      <c r="N136" s="60"/>
      <c r="O136" s="58"/>
      <c r="P136" s="58"/>
      <c r="Q136" s="13" t="e">
        <v>#N/A</v>
      </c>
      <c r="R136" s="13" t="e">
        <v>#N/A</v>
      </c>
      <c r="S136" s="13"/>
      <c r="T136" s="62"/>
      <c r="U136" s="13"/>
      <c r="V136" s="13"/>
      <c r="W136" s="13"/>
      <c r="X136" s="58"/>
      <c r="Y136" s="51">
        <f ca="1">Table25[[#This Row],[End Date]]+2-TODAY()</f>
        <v>-46242</v>
      </c>
      <c r="Z136" s="13">
        <f>IF(ISBLANK(Table25[[#This Row],[Roster Received By]]),1,0)</f>
        <v>1</v>
      </c>
      <c r="AA136" s="13">
        <f ca="1">IF(Table25[[#This Row],[Start Date]]&gt;TODAY(),1,)</f>
        <v>0</v>
      </c>
    </row>
    <row r="137" spans="1:27" s="46" customFormat="1" hidden="1" x14ac:dyDescent="0.25">
      <c r="B137" s="58"/>
      <c r="C137" s="59" t="e">
        <v>#N/A</v>
      </c>
      <c r="D137" s="59" t="e">
        <v>#N/A</v>
      </c>
      <c r="E137" s="58"/>
      <c r="F137" s="61"/>
      <c r="G137" s="61"/>
      <c r="H137" s="61"/>
      <c r="I137" s="60"/>
      <c r="J137" s="60"/>
      <c r="K137" s="60"/>
      <c r="L137" s="60"/>
      <c r="M137" s="60"/>
      <c r="N137" s="60"/>
      <c r="O137" s="58"/>
      <c r="P137" s="58"/>
      <c r="Q137" s="13" t="e">
        <v>#N/A</v>
      </c>
      <c r="R137" s="13" t="e">
        <v>#N/A</v>
      </c>
      <c r="S137" s="13"/>
      <c r="T137" s="62"/>
      <c r="U137" s="13"/>
      <c r="V137" s="13"/>
      <c r="W137" s="62"/>
      <c r="X137" s="58"/>
      <c r="Y137" s="51">
        <f ca="1">Table25[[#This Row],[End Date]]+2-TODAY()</f>
        <v>-46242</v>
      </c>
      <c r="Z137" s="13">
        <f>IF(ISBLANK(Table25[[#This Row],[Roster Received By]]),1,0)</f>
        <v>1</v>
      </c>
      <c r="AA137" s="13">
        <f ca="1">IF(Table25[[#This Row],[Start Date]]&gt;TODAY(),1,)</f>
        <v>0</v>
      </c>
    </row>
    <row r="138" spans="1:27" s="94" customFormat="1" ht="14.25" hidden="1" customHeight="1" x14ac:dyDescent="0.25">
      <c r="A138" s="46"/>
      <c r="B138" s="58"/>
      <c r="C138" s="59" t="e">
        <v>#N/A</v>
      </c>
      <c r="D138" s="59" t="e">
        <v>#N/A</v>
      </c>
      <c r="E138" s="58"/>
      <c r="F138" s="61"/>
      <c r="G138" s="61"/>
      <c r="H138" s="61"/>
      <c r="I138" s="60"/>
      <c r="J138" s="60"/>
      <c r="K138" s="60"/>
      <c r="L138" s="60"/>
      <c r="M138" s="60"/>
      <c r="N138" s="60"/>
      <c r="O138" s="58"/>
      <c r="P138" s="58"/>
      <c r="Q138" s="13" t="e">
        <v>#N/A</v>
      </c>
      <c r="R138" s="13" t="e">
        <v>#N/A</v>
      </c>
      <c r="S138" s="13"/>
      <c r="T138" s="62"/>
      <c r="U138" s="13"/>
      <c r="V138" s="13"/>
      <c r="W138" s="13"/>
      <c r="X138" s="58"/>
      <c r="Y138" s="51">
        <f ca="1">Table25[[#This Row],[End Date]]+2-TODAY()</f>
        <v>-46242</v>
      </c>
      <c r="Z138" s="13">
        <f>IF(ISBLANK(Table25[[#This Row],[Roster Received By]]),1,0)</f>
        <v>1</v>
      </c>
      <c r="AA138" s="13">
        <f ca="1">IF(Table25[[#This Row],[Start Date]]&gt;TODAY(),1,)</f>
        <v>0</v>
      </c>
    </row>
    <row r="139" spans="1:27" s="94" customFormat="1" ht="14.25" hidden="1" customHeight="1" x14ac:dyDescent="0.25">
      <c r="A139" s="46"/>
      <c r="B139" s="58"/>
      <c r="C139" s="59" t="e">
        <v>#N/A</v>
      </c>
      <c r="D139" s="59" t="e">
        <v>#N/A</v>
      </c>
      <c r="E139" s="58"/>
      <c r="F139" s="61"/>
      <c r="G139" s="61"/>
      <c r="H139" s="64"/>
      <c r="I139" s="64"/>
      <c r="J139" s="61"/>
      <c r="K139" s="61"/>
      <c r="L139" s="61"/>
      <c r="M139" s="61"/>
      <c r="N139" s="61"/>
      <c r="O139" s="58"/>
      <c r="P139" s="58"/>
      <c r="Q139" s="13" t="e">
        <v>#N/A</v>
      </c>
      <c r="R139" s="13" t="e">
        <v>#N/A</v>
      </c>
      <c r="S139" s="13"/>
      <c r="T139" s="62"/>
      <c r="U139" s="13"/>
      <c r="V139" s="13"/>
      <c r="W139" s="59"/>
      <c r="X139" s="58"/>
      <c r="Y139" s="51">
        <f ca="1">Table25[[#This Row],[End Date]]+2-TODAY()</f>
        <v>-46242</v>
      </c>
      <c r="Z139" s="13">
        <f>IF(ISBLANK(Table25[[#This Row],[Roster Received By]]),1,0)</f>
        <v>1</v>
      </c>
      <c r="AA139" s="13">
        <f ca="1">IF(Table25[[#This Row],[Start Date]]&gt;TODAY(),1,)</f>
        <v>0</v>
      </c>
    </row>
    <row r="140" spans="1:27" s="94" customFormat="1" ht="16.5" hidden="1" customHeight="1" x14ac:dyDescent="0.25">
      <c r="A140" s="46"/>
      <c r="B140" s="58"/>
      <c r="C140" s="59" t="e">
        <v>#N/A</v>
      </c>
      <c r="D140" s="59" t="e">
        <v>#N/A</v>
      </c>
      <c r="E140" s="58"/>
      <c r="F140" s="61"/>
      <c r="G140" s="61"/>
      <c r="H140" s="61"/>
      <c r="I140" s="60"/>
      <c r="J140" s="60"/>
      <c r="K140" s="60"/>
      <c r="L140" s="60"/>
      <c r="M140" s="60"/>
      <c r="N140" s="60"/>
      <c r="O140" s="58"/>
      <c r="P140" s="58"/>
      <c r="Q140" s="13" t="e">
        <v>#N/A</v>
      </c>
      <c r="R140" s="13" t="e">
        <v>#N/A</v>
      </c>
      <c r="S140" s="13"/>
      <c r="T140" s="62"/>
      <c r="U140" s="13"/>
      <c r="V140" s="13"/>
      <c r="W140" s="13"/>
      <c r="X140" s="58"/>
      <c r="Y140" s="51">
        <f ca="1">Table25[[#This Row],[End Date]]+2-TODAY()</f>
        <v>-46242</v>
      </c>
      <c r="Z140" s="13">
        <f>IF(ISBLANK(Table25[[#This Row],[Roster Received By]]),1,0)</f>
        <v>1</v>
      </c>
      <c r="AA140" s="13">
        <f ca="1">IF(Table25[[#This Row],[Start Date]]&gt;TODAY(),1,)</f>
        <v>0</v>
      </c>
    </row>
    <row r="141" spans="1:27" s="65" customFormat="1" ht="16.5" hidden="1" customHeight="1" x14ac:dyDescent="0.25">
      <c r="A141" s="46"/>
      <c r="B141" s="58"/>
      <c r="C141" s="59" t="e">
        <v>#N/A</v>
      </c>
      <c r="D141" s="59" t="e">
        <v>#N/A</v>
      </c>
      <c r="E141" s="58"/>
      <c r="F141" s="49"/>
      <c r="G141" s="61"/>
      <c r="H141" s="61"/>
      <c r="I141" s="60"/>
      <c r="J141" s="60"/>
      <c r="K141" s="60"/>
      <c r="L141" s="60"/>
      <c r="M141" s="60"/>
      <c r="N141" s="60"/>
      <c r="O141" s="58"/>
      <c r="P141" s="58"/>
      <c r="Q141" s="13" t="e">
        <v>#N/A</v>
      </c>
      <c r="R141" s="13" t="e">
        <v>#N/A</v>
      </c>
      <c r="S141" s="13"/>
      <c r="T141" s="62"/>
      <c r="U141" s="13"/>
      <c r="V141" s="13"/>
      <c r="W141" s="13"/>
      <c r="X141" s="58"/>
      <c r="Y141" s="51">
        <f ca="1">Table25[[#This Row],[End Date]]+2-TODAY()</f>
        <v>-46242</v>
      </c>
      <c r="Z141" s="13">
        <f>IF(ISBLANK(Table25[[#This Row],[Roster Received By]]),1,0)</f>
        <v>1</v>
      </c>
      <c r="AA141" s="13">
        <f ca="1">IF(Table25[[#This Row],[Start Date]]&gt;TODAY(),1,)</f>
        <v>0</v>
      </c>
    </row>
    <row r="142" spans="1:27" s="65" customFormat="1" ht="16.5" hidden="1" customHeight="1" x14ac:dyDescent="0.25">
      <c r="A142" s="58"/>
      <c r="B142" s="58"/>
      <c r="C142" s="59" t="e">
        <v>#N/A</v>
      </c>
      <c r="D142" s="59" t="e">
        <v>#N/A</v>
      </c>
      <c r="E142" s="47"/>
      <c r="F142" s="61"/>
      <c r="G142" s="61"/>
      <c r="H142" s="64"/>
      <c r="I142" s="64"/>
      <c r="J142" s="61"/>
      <c r="K142" s="61"/>
      <c r="L142" s="61"/>
      <c r="M142" s="61"/>
      <c r="N142" s="61"/>
      <c r="O142" s="58"/>
      <c r="P142" s="58"/>
      <c r="Q142" s="13" t="e">
        <v>#N/A</v>
      </c>
      <c r="R142" s="13" t="e">
        <v>#N/A</v>
      </c>
      <c r="S142" s="13"/>
      <c r="T142" s="62"/>
      <c r="U142" s="13"/>
      <c r="V142" s="13"/>
      <c r="W142" s="13"/>
      <c r="X142" s="58"/>
      <c r="Y142" s="51">
        <f ca="1">Table25[[#This Row],[End Date]]+2-TODAY()</f>
        <v>-46242</v>
      </c>
      <c r="Z142" s="13">
        <f>IF(ISBLANK(Table25[[#This Row],[Roster Received By]]),1,0)</f>
        <v>1</v>
      </c>
      <c r="AA142" s="13">
        <f ca="1">IF(Table25[[#This Row],[Start Date]]&gt;TODAY(),1,)</f>
        <v>0</v>
      </c>
    </row>
    <row r="143" spans="1:27" s="65" customFormat="1" ht="14.25" hidden="1" customHeight="1" x14ac:dyDescent="0.25">
      <c r="A143" s="46"/>
      <c r="B143" s="58"/>
      <c r="C143" s="59" t="e">
        <v>#N/A</v>
      </c>
      <c r="D143" s="59" t="e">
        <v>#N/A</v>
      </c>
      <c r="E143" s="58"/>
      <c r="F143" s="61"/>
      <c r="G143" s="61"/>
      <c r="H143" s="61"/>
      <c r="I143" s="60"/>
      <c r="J143" s="60"/>
      <c r="K143" s="60"/>
      <c r="L143" s="60"/>
      <c r="M143" s="60"/>
      <c r="N143" s="60"/>
      <c r="O143" s="58"/>
      <c r="P143" s="58"/>
      <c r="Q143" s="13" t="e">
        <v>#N/A</v>
      </c>
      <c r="R143" s="13" t="e">
        <v>#N/A</v>
      </c>
      <c r="S143" s="13"/>
      <c r="T143" s="62"/>
      <c r="U143" s="13"/>
      <c r="V143" s="13"/>
      <c r="W143" s="13"/>
      <c r="X143" s="58"/>
      <c r="Y143" s="51">
        <f ca="1">Table25[[#This Row],[End Date]]+2-TODAY()</f>
        <v>-46242</v>
      </c>
      <c r="Z143" s="13">
        <f>IF(ISBLANK(Table25[[#This Row],[Roster Received By]]),1,0)</f>
        <v>1</v>
      </c>
      <c r="AA143" s="13">
        <f ca="1">IF(Table25[[#This Row],[Start Date]]&gt;TODAY(),1,)</f>
        <v>0</v>
      </c>
    </row>
    <row r="144" spans="1:27" s="65" customFormat="1" ht="14.25" hidden="1" customHeight="1" x14ac:dyDescent="0.25">
      <c r="A144" s="46"/>
      <c r="B144" s="58"/>
      <c r="C144" s="59" t="e">
        <v>#N/A</v>
      </c>
      <c r="D144" s="59" t="e">
        <v>#N/A</v>
      </c>
      <c r="E144" s="58"/>
      <c r="F144" s="61"/>
      <c r="G144" s="61"/>
      <c r="H144" s="61"/>
      <c r="I144" s="60"/>
      <c r="J144" s="60"/>
      <c r="K144" s="60"/>
      <c r="L144" s="60"/>
      <c r="M144" s="60"/>
      <c r="N144" s="60"/>
      <c r="O144" s="58"/>
      <c r="P144" s="58"/>
      <c r="Q144" s="13" t="e">
        <v>#N/A</v>
      </c>
      <c r="R144" s="13" t="e">
        <v>#N/A</v>
      </c>
      <c r="S144" s="13"/>
      <c r="T144" s="62"/>
      <c r="U144" s="13"/>
      <c r="V144" s="13"/>
      <c r="W144" s="13"/>
      <c r="X144" s="58"/>
      <c r="Y144" s="51">
        <f ca="1">Table25[[#This Row],[End Date]]+2-TODAY()</f>
        <v>-46242</v>
      </c>
      <c r="Z144" s="13">
        <f>IF(ISBLANK(Table25[[#This Row],[Roster Received By]]),1,0)</f>
        <v>1</v>
      </c>
      <c r="AA144" s="13">
        <f ca="1">IF(Table25[[#This Row],[Start Date]]&gt;TODAY(),1,)</f>
        <v>0</v>
      </c>
    </row>
    <row r="145" spans="1:27" s="65" customFormat="1" ht="14.25" hidden="1" customHeight="1" x14ac:dyDescent="0.25">
      <c r="A145" s="46"/>
      <c r="B145" s="58"/>
      <c r="C145" s="59" t="e">
        <v>#N/A</v>
      </c>
      <c r="D145" s="59" t="e">
        <v>#N/A</v>
      </c>
      <c r="E145" s="58"/>
      <c r="F145" s="61"/>
      <c r="G145" s="61"/>
      <c r="H145" s="64"/>
      <c r="I145" s="64"/>
      <c r="J145" s="61"/>
      <c r="K145" s="61"/>
      <c r="L145" s="61"/>
      <c r="M145" s="61"/>
      <c r="N145" s="61"/>
      <c r="O145" s="58"/>
      <c r="P145" s="58"/>
      <c r="Q145" s="13" t="e">
        <v>#N/A</v>
      </c>
      <c r="R145" s="13" t="e">
        <v>#N/A</v>
      </c>
      <c r="S145" s="13"/>
      <c r="T145" s="62"/>
      <c r="U145" s="13"/>
      <c r="V145" s="13"/>
      <c r="W145" s="13"/>
      <c r="X145" s="58"/>
      <c r="Y145" s="51">
        <f ca="1">Table25[[#This Row],[End Date]]+2-TODAY()</f>
        <v>-46242</v>
      </c>
      <c r="Z145" s="13">
        <f>IF(ISBLANK(Table25[[#This Row],[Roster Received By]]),1,0)</f>
        <v>1</v>
      </c>
      <c r="AA145" s="13">
        <f ca="1">IF(Table25[[#This Row],[Start Date]]&gt;TODAY(),1,)</f>
        <v>0</v>
      </c>
    </row>
    <row r="146" spans="1:27" s="65" customFormat="1" ht="14.25" hidden="1" customHeight="1" x14ac:dyDescent="0.25">
      <c r="A146" s="46"/>
      <c r="B146" s="58"/>
      <c r="C146" s="59" t="e">
        <v>#N/A</v>
      </c>
      <c r="D146" s="59" t="e">
        <v>#N/A</v>
      </c>
      <c r="E146" s="58"/>
      <c r="F146" s="61"/>
      <c r="G146" s="61"/>
      <c r="H146" s="61"/>
      <c r="I146" s="60"/>
      <c r="J146" s="60"/>
      <c r="K146" s="60"/>
      <c r="L146" s="60"/>
      <c r="M146" s="60"/>
      <c r="N146" s="60"/>
      <c r="O146" s="58"/>
      <c r="P146" s="58"/>
      <c r="Q146" s="13" t="e">
        <v>#N/A</v>
      </c>
      <c r="R146" s="13" t="e">
        <v>#N/A</v>
      </c>
      <c r="S146" s="13"/>
      <c r="T146" s="62"/>
      <c r="U146" s="13"/>
      <c r="V146" s="13"/>
      <c r="W146" s="13"/>
      <c r="X146" s="58"/>
      <c r="Y146" s="51">
        <f ca="1">Table25[[#This Row],[End Date]]+2-TODAY()</f>
        <v>-46242</v>
      </c>
      <c r="Z146" s="13">
        <f>IF(ISBLANK(Table25[[#This Row],[Roster Received By]]),1,0)</f>
        <v>1</v>
      </c>
      <c r="AA146" s="13">
        <f ca="1">IF(Table25[[#This Row],[Start Date]]&gt;TODAY(),1,)</f>
        <v>0</v>
      </c>
    </row>
    <row r="147" spans="1:27" s="65" customFormat="1" ht="14.25" hidden="1" customHeight="1" x14ac:dyDescent="0.25">
      <c r="A147" s="46"/>
      <c r="B147" s="58"/>
      <c r="C147" s="59" t="e">
        <v>#N/A</v>
      </c>
      <c r="D147" s="59" t="e">
        <v>#N/A</v>
      </c>
      <c r="E147" s="58"/>
      <c r="F147" s="61"/>
      <c r="G147" s="61"/>
      <c r="H147" s="61"/>
      <c r="I147" s="60"/>
      <c r="J147" s="60"/>
      <c r="K147" s="60"/>
      <c r="L147" s="60"/>
      <c r="M147" s="60"/>
      <c r="N147" s="60"/>
      <c r="O147" s="58"/>
      <c r="P147" s="58"/>
      <c r="Q147" s="13" t="e">
        <v>#N/A</v>
      </c>
      <c r="R147" s="13" t="e">
        <v>#N/A</v>
      </c>
      <c r="S147" s="13"/>
      <c r="T147" s="62"/>
      <c r="U147" s="13"/>
      <c r="V147" s="13"/>
      <c r="W147" s="13"/>
      <c r="X147" s="58"/>
      <c r="Y147" s="51">
        <f ca="1">Table25[[#This Row],[End Date]]+2-TODAY()</f>
        <v>-46242</v>
      </c>
      <c r="Z147" s="13">
        <f>IF(ISBLANK(Table25[[#This Row],[Roster Received By]]),1,0)</f>
        <v>1</v>
      </c>
      <c r="AA147" s="13">
        <f ca="1">IF(Table25[[#This Row],[Start Date]]&gt;TODAY(),1,)</f>
        <v>0</v>
      </c>
    </row>
    <row r="148" spans="1:27" s="65" customFormat="1" ht="16.5" hidden="1" customHeight="1" x14ac:dyDescent="0.25">
      <c r="A148" s="46"/>
      <c r="B148" s="58"/>
      <c r="C148" s="59" t="e">
        <v>#N/A</v>
      </c>
      <c r="D148" s="59" t="e">
        <v>#N/A</v>
      </c>
      <c r="E148" s="58"/>
      <c r="F148" s="49"/>
      <c r="G148" s="49"/>
      <c r="H148" s="49"/>
      <c r="I148" s="60"/>
      <c r="J148" s="60"/>
      <c r="K148" s="60"/>
      <c r="L148" s="60"/>
      <c r="M148" s="60"/>
      <c r="N148" s="60"/>
      <c r="O148" s="58"/>
      <c r="P148" s="58"/>
      <c r="Q148" s="13" t="e">
        <v>#N/A</v>
      </c>
      <c r="R148" s="13" t="e">
        <v>#N/A</v>
      </c>
      <c r="S148" s="13"/>
      <c r="T148" s="62"/>
      <c r="U148" s="13"/>
      <c r="V148" s="13"/>
      <c r="W148" s="13"/>
      <c r="X148" s="58"/>
      <c r="Y148" s="51">
        <f ca="1">Table25[[#This Row],[End Date]]+2-TODAY()</f>
        <v>-46242</v>
      </c>
      <c r="Z148" s="13">
        <f>IF(ISBLANK(Table25[[#This Row],[Roster Received By]]),1,0)</f>
        <v>1</v>
      </c>
      <c r="AA148" s="13">
        <f ca="1">IF(Table25[[#This Row],[Start Date]]&gt;TODAY(),1,)</f>
        <v>0</v>
      </c>
    </row>
    <row r="149" spans="1:27" s="65" customFormat="1" ht="14.25" hidden="1" customHeight="1" x14ac:dyDescent="0.25">
      <c r="A149" s="58"/>
      <c r="B149" s="58"/>
      <c r="C149" s="59" t="e">
        <v>#N/A</v>
      </c>
      <c r="D149" s="59" t="e">
        <v>#N/A</v>
      </c>
      <c r="E149" s="58"/>
      <c r="F149" s="61"/>
      <c r="G149" s="61"/>
      <c r="H149" s="61"/>
      <c r="I149" s="60"/>
      <c r="J149" s="60"/>
      <c r="K149" s="60"/>
      <c r="L149" s="60"/>
      <c r="M149" s="60"/>
      <c r="N149" s="60"/>
      <c r="O149" s="58"/>
      <c r="P149" s="58"/>
      <c r="Q149" s="13" t="e">
        <v>#N/A</v>
      </c>
      <c r="R149" s="13" t="e">
        <v>#N/A</v>
      </c>
      <c r="S149" s="13"/>
      <c r="T149" s="62"/>
      <c r="U149" s="13"/>
      <c r="V149" s="13"/>
      <c r="W149" s="13"/>
      <c r="X149" s="58"/>
      <c r="Y149" s="51">
        <f ca="1">Table25[[#This Row],[End Date]]+2-TODAY()</f>
        <v>-46242</v>
      </c>
      <c r="Z149" s="13">
        <f>IF(ISBLANK(Table25[[#This Row],[Roster Received By]]),1,0)</f>
        <v>1</v>
      </c>
      <c r="AA149" s="13">
        <f ca="1">IF(Table25[[#This Row],[Start Date]]&gt;TODAY(),1,)</f>
        <v>0</v>
      </c>
    </row>
    <row r="150" spans="1:27" s="65" customFormat="1" ht="14.25" hidden="1" customHeight="1" x14ac:dyDescent="0.25">
      <c r="A150" s="46"/>
      <c r="B150" s="58"/>
      <c r="C150" s="59" t="e">
        <v>#N/A</v>
      </c>
      <c r="D150" s="59" t="e">
        <v>#N/A</v>
      </c>
      <c r="E150" s="58"/>
      <c r="F150" s="49"/>
      <c r="G150" s="49"/>
      <c r="H150" s="64"/>
      <c r="I150" s="64"/>
      <c r="J150" s="61"/>
      <c r="K150" s="61"/>
      <c r="L150" s="61"/>
      <c r="M150" s="61"/>
      <c r="N150" s="61"/>
      <c r="O150" s="58"/>
      <c r="P150" s="58"/>
      <c r="Q150" s="13" t="e">
        <v>#N/A</v>
      </c>
      <c r="R150" s="13" t="e">
        <v>#N/A</v>
      </c>
      <c r="S150" s="13"/>
      <c r="T150" s="62"/>
      <c r="U150" s="13"/>
      <c r="V150" s="13"/>
      <c r="W150" s="59"/>
      <c r="X150" s="58"/>
      <c r="Y150" s="68">
        <f ca="1">Table25[[#This Row],[End Date]]+2-TODAY()</f>
        <v>-46242</v>
      </c>
      <c r="Z150" s="13">
        <f>IF(ISBLANK(Table25[[#This Row],[Roster Received By]]),1,0)</f>
        <v>1</v>
      </c>
      <c r="AA150" s="59">
        <f ca="1">IF(Table25[[#This Row],[Start Date]]&gt;TODAY(),1,)</f>
        <v>0</v>
      </c>
    </row>
    <row r="151" spans="1:27" s="65" customFormat="1" ht="14.25" hidden="1" customHeight="1" x14ac:dyDescent="0.25">
      <c r="A151" s="46"/>
      <c r="B151" s="58"/>
      <c r="C151" s="59" t="e">
        <v>#N/A</v>
      </c>
      <c r="D151" s="59" t="e">
        <v>#N/A</v>
      </c>
      <c r="E151" s="58"/>
      <c r="F151" s="61"/>
      <c r="G151" s="61"/>
      <c r="H151" s="61"/>
      <c r="I151" s="60"/>
      <c r="J151" s="60"/>
      <c r="K151" s="60"/>
      <c r="L151" s="60"/>
      <c r="M151" s="60"/>
      <c r="N151" s="60"/>
      <c r="O151" s="58"/>
      <c r="P151" s="58"/>
      <c r="Q151" s="13" t="e">
        <v>#N/A</v>
      </c>
      <c r="R151" s="13" t="e">
        <v>#N/A</v>
      </c>
      <c r="S151" s="13"/>
      <c r="T151" s="62"/>
      <c r="U151" s="13"/>
      <c r="V151" s="13"/>
      <c r="W151" s="13"/>
      <c r="X151" s="58"/>
      <c r="Y151" s="51">
        <f ca="1">Table25[[#This Row],[End Date]]+2-TODAY()</f>
        <v>-46242</v>
      </c>
      <c r="Z151" s="13">
        <f>IF(ISBLANK(Table25[[#This Row],[Roster Received By]]),1,0)</f>
        <v>1</v>
      </c>
      <c r="AA151" s="13">
        <f ca="1">IF(Table25[[#This Row],[Start Date]]&gt;TODAY(),1,)</f>
        <v>0</v>
      </c>
    </row>
    <row r="152" spans="1:27" s="65" customFormat="1" ht="14.25" hidden="1" customHeight="1" x14ac:dyDescent="0.25">
      <c r="A152" s="58"/>
      <c r="B152" s="58"/>
      <c r="C152" s="59" t="e">
        <v>#N/A</v>
      </c>
      <c r="D152" s="59" t="e">
        <v>#N/A</v>
      </c>
      <c r="E152" s="47"/>
      <c r="F152" s="61"/>
      <c r="G152" s="61"/>
      <c r="H152" s="64"/>
      <c r="I152" s="64"/>
      <c r="J152" s="61"/>
      <c r="K152" s="61"/>
      <c r="L152" s="61"/>
      <c r="M152" s="61"/>
      <c r="N152" s="61"/>
      <c r="O152" s="58"/>
      <c r="P152" s="58"/>
      <c r="Q152" s="13" t="e">
        <v>#N/A</v>
      </c>
      <c r="R152" s="13" t="e">
        <v>#N/A</v>
      </c>
      <c r="S152" s="13"/>
      <c r="T152" s="62"/>
      <c r="U152" s="13"/>
      <c r="V152" s="13"/>
      <c r="W152" s="13"/>
      <c r="X152" s="58"/>
      <c r="Y152" s="51">
        <f ca="1">Table25[[#This Row],[End Date]]+2-TODAY()</f>
        <v>-46242</v>
      </c>
      <c r="Z152" s="13">
        <f>IF(ISBLANK(Table25[[#This Row],[Roster Received By]]),1,0)</f>
        <v>1</v>
      </c>
      <c r="AA152" s="13">
        <f ca="1">IF(Table25[[#This Row],[Start Date]]&gt;TODAY(),1,)</f>
        <v>0</v>
      </c>
    </row>
    <row r="153" spans="1:27" s="94" customFormat="1" hidden="1" x14ac:dyDescent="0.25">
      <c r="A153" s="46"/>
      <c r="B153" s="58"/>
      <c r="C153" s="59" t="e">
        <v>#N/A</v>
      </c>
      <c r="D153" s="59" t="e">
        <v>#N/A</v>
      </c>
      <c r="E153" s="58"/>
      <c r="F153" s="61"/>
      <c r="G153" s="61"/>
      <c r="H153" s="64"/>
      <c r="I153" s="64"/>
      <c r="J153" s="61"/>
      <c r="K153" s="61"/>
      <c r="L153" s="61"/>
      <c r="M153" s="61"/>
      <c r="N153" s="61"/>
      <c r="O153" s="58"/>
      <c r="P153" s="58"/>
      <c r="Q153" s="13" t="e">
        <v>#N/A</v>
      </c>
      <c r="R153" s="13" t="e">
        <v>#N/A</v>
      </c>
      <c r="S153" s="13"/>
      <c r="T153" s="62"/>
      <c r="U153" s="13"/>
      <c r="V153" s="13"/>
      <c r="W153" s="13"/>
      <c r="X153" s="58"/>
      <c r="Y153" s="51">
        <f ca="1">Table25[[#This Row],[End Date]]+2-TODAY()</f>
        <v>-46242</v>
      </c>
      <c r="Z153" s="13">
        <f>IF(ISBLANK(Table25[[#This Row],[Roster Received By]]),1,0)</f>
        <v>1</v>
      </c>
      <c r="AA153" s="13">
        <f ca="1">IF(Table25[[#This Row],[Start Date]]&gt;TODAY(),1,)</f>
        <v>0</v>
      </c>
    </row>
    <row r="154" spans="1:27" s="65" customFormat="1" ht="14.25" hidden="1" customHeight="1" x14ac:dyDescent="0.25">
      <c r="A154" s="46"/>
      <c r="B154" s="58"/>
      <c r="C154" s="59" t="e">
        <v>#N/A</v>
      </c>
      <c r="D154" s="59" t="e">
        <v>#N/A</v>
      </c>
      <c r="E154" s="58"/>
      <c r="F154" s="61"/>
      <c r="G154" s="61"/>
      <c r="H154" s="64"/>
      <c r="I154" s="64"/>
      <c r="J154" s="61"/>
      <c r="K154" s="61"/>
      <c r="L154" s="61"/>
      <c r="M154" s="61"/>
      <c r="N154" s="61"/>
      <c r="O154" s="58"/>
      <c r="P154" s="58"/>
      <c r="Q154" s="13" t="e">
        <v>#N/A</v>
      </c>
      <c r="R154" s="13" t="e">
        <v>#N/A</v>
      </c>
      <c r="S154" s="13"/>
      <c r="T154" s="62"/>
      <c r="U154" s="13"/>
      <c r="V154" s="13"/>
      <c r="W154" s="13"/>
      <c r="X154" s="58"/>
      <c r="Y154" s="51">
        <f ca="1">Table25[[#This Row],[End Date]]+2-TODAY()</f>
        <v>-46242</v>
      </c>
      <c r="Z154" s="13">
        <f>IF(ISBLANK(Table25[[#This Row],[Roster Received By]]),1,0)</f>
        <v>1</v>
      </c>
      <c r="AA154" s="13">
        <f ca="1">IF(Table25[[#This Row],[Start Date]]&gt;TODAY(),1,)</f>
        <v>0</v>
      </c>
    </row>
    <row r="155" spans="1:27" s="46" customFormat="1" hidden="1" x14ac:dyDescent="0.25">
      <c r="B155" s="58"/>
      <c r="C155" s="59" t="e">
        <v>#N/A</v>
      </c>
      <c r="D155" s="59" t="e">
        <v>#N/A</v>
      </c>
      <c r="E155" s="58"/>
      <c r="F155" s="61"/>
      <c r="G155" s="61"/>
      <c r="H155" s="64"/>
      <c r="I155" s="64"/>
      <c r="J155" s="61"/>
      <c r="K155" s="61"/>
      <c r="L155" s="61"/>
      <c r="M155" s="61"/>
      <c r="N155" s="61"/>
      <c r="O155" s="58"/>
      <c r="P155" s="58"/>
      <c r="Q155" s="13" t="e">
        <v>#N/A</v>
      </c>
      <c r="R155" s="13" t="e">
        <v>#N/A</v>
      </c>
      <c r="S155" s="13"/>
      <c r="T155" s="62"/>
      <c r="U155" s="13"/>
      <c r="V155" s="13"/>
      <c r="W155" s="13"/>
      <c r="X155" s="58"/>
      <c r="Y155" s="51">
        <f ca="1">Table25[[#This Row],[End Date]]+2-TODAY()</f>
        <v>-46242</v>
      </c>
      <c r="Z155" s="13">
        <f>IF(ISBLANK(Table25[[#This Row],[Roster Received By]]),1,0)</f>
        <v>1</v>
      </c>
      <c r="AA155" s="13">
        <f ca="1">IF(Table25[[#This Row],[Start Date]]&gt;TODAY(),1,)</f>
        <v>0</v>
      </c>
    </row>
    <row r="156" spans="1:27" s="46" customFormat="1" hidden="1" x14ac:dyDescent="0.25">
      <c r="A156" s="58"/>
      <c r="B156" s="58"/>
      <c r="C156" s="59" t="e">
        <v>#N/A</v>
      </c>
      <c r="D156" s="59" t="e">
        <v>#N/A</v>
      </c>
      <c r="E156" s="58"/>
      <c r="F156" s="61"/>
      <c r="G156" s="61"/>
      <c r="H156" s="64"/>
      <c r="I156" s="64"/>
      <c r="J156" s="61"/>
      <c r="K156" s="61"/>
      <c r="L156" s="61"/>
      <c r="M156" s="61"/>
      <c r="N156" s="61"/>
      <c r="O156" s="58"/>
      <c r="P156" s="58"/>
      <c r="Q156" s="13" t="e">
        <v>#N/A</v>
      </c>
      <c r="R156" s="13" t="e">
        <v>#N/A</v>
      </c>
      <c r="S156" s="13"/>
      <c r="T156" s="62"/>
      <c r="U156" s="13"/>
      <c r="V156" s="13"/>
      <c r="W156" s="13"/>
      <c r="X156" s="58"/>
      <c r="Y156" s="51">
        <f ca="1">Table25[[#This Row],[End Date]]+2-TODAY()</f>
        <v>-46242</v>
      </c>
      <c r="Z156" s="13">
        <f>IF(ISBLANK(Table25[[#This Row],[Roster Received By]]),1,0)</f>
        <v>1</v>
      </c>
      <c r="AA156" s="13">
        <f ca="1">IF(Table25[[#This Row],[Start Date]]&gt;TODAY(),1,)</f>
        <v>0</v>
      </c>
    </row>
    <row r="157" spans="1:27" s="46" customFormat="1" hidden="1" x14ac:dyDescent="0.25">
      <c r="B157" s="58"/>
      <c r="C157" s="59" t="e">
        <v>#N/A</v>
      </c>
      <c r="D157" s="59" t="e">
        <v>#N/A</v>
      </c>
      <c r="E157" s="58"/>
      <c r="F157" s="61"/>
      <c r="G157" s="61"/>
      <c r="H157" s="61"/>
      <c r="I157" s="60"/>
      <c r="J157" s="60"/>
      <c r="K157" s="60"/>
      <c r="L157" s="60"/>
      <c r="M157" s="60"/>
      <c r="N157" s="60"/>
      <c r="O157" s="58"/>
      <c r="P157" s="58"/>
      <c r="Q157" s="13" t="e">
        <v>#N/A</v>
      </c>
      <c r="R157" s="13" t="e">
        <v>#N/A</v>
      </c>
      <c r="S157" s="13"/>
      <c r="T157" s="62"/>
      <c r="U157" s="13"/>
      <c r="V157" s="13"/>
      <c r="W157" s="13"/>
      <c r="X157" s="58"/>
      <c r="Y157" s="51">
        <f ca="1">Table25[[#This Row],[End Date]]+2-TODAY()</f>
        <v>-46242</v>
      </c>
      <c r="Z157" s="13">
        <f>IF(ISBLANK(Table25[[#This Row],[Roster Received By]]),1,0)</f>
        <v>1</v>
      </c>
      <c r="AA157" s="13">
        <f ca="1">IF(Table25[[#This Row],[Start Date]]&gt;TODAY(),1,)</f>
        <v>0</v>
      </c>
    </row>
    <row r="158" spans="1:27" s="46" customFormat="1" hidden="1" x14ac:dyDescent="0.25">
      <c r="B158" s="58"/>
      <c r="C158" s="59" t="e">
        <v>#N/A</v>
      </c>
      <c r="D158" s="59" t="e">
        <v>#N/A</v>
      </c>
      <c r="E158" s="58"/>
      <c r="F158" s="61"/>
      <c r="G158" s="61"/>
      <c r="H158" s="61"/>
      <c r="I158" s="60"/>
      <c r="J158" s="60"/>
      <c r="K158" s="60"/>
      <c r="L158" s="60"/>
      <c r="M158" s="60"/>
      <c r="N158" s="60"/>
      <c r="O158" s="58"/>
      <c r="P158" s="58"/>
      <c r="Q158" s="13" t="e">
        <v>#N/A</v>
      </c>
      <c r="R158" s="13" t="e">
        <v>#N/A</v>
      </c>
      <c r="S158" s="13"/>
      <c r="T158" s="62"/>
      <c r="U158" s="13"/>
      <c r="V158" s="13"/>
      <c r="W158" s="13"/>
      <c r="X158" s="58"/>
      <c r="Y158" s="51">
        <f ca="1">Table25[[#This Row],[End Date]]+2-TODAY()</f>
        <v>-46242</v>
      </c>
      <c r="Z158" s="13">
        <f>IF(ISBLANK(Table25[[#This Row],[Roster Received By]]),1,0)</f>
        <v>1</v>
      </c>
      <c r="AA158" s="13">
        <f ca="1">IF(Table25[[#This Row],[Start Date]]&gt;TODAY(),1,)</f>
        <v>0</v>
      </c>
    </row>
    <row r="159" spans="1:27" s="46" customFormat="1" hidden="1" x14ac:dyDescent="0.25">
      <c r="A159" s="47"/>
      <c r="B159" s="58"/>
      <c r="C159" s="59" t="e">
        <v>#N/A</v>
      </c>
      <c r="D159" s="59" t="e">
        <v>#N/A</v>
      </c>
      <c r="E159" s="58"/>
      <c r="F159" s="61"/>
      <c r="G159" s="61"/>
      <c r="H159" s="64"/>
      <c r="I159" s="64"/>
      <c r="J159" s="61"/>
      <c r="K159" s="61"/>
      <c r="L159" s="61"/>
      <c r="M159" s="61"/>
      <c r="N159" s="61"/>
      <c r="O159" s="58"/>
      <c r="P159" s="58"/>
      <c r="Q159" s="13" t="e">
        <v>#N/A</v>
      </c>
      <c r="R159" s="13" t="e">
        <v>#N/A</v>
      </c>
      <c r="S159" s="62"/>
      <c r="T159" s="62"/>
      <c r="U159" s="13"/>
      <c r="V159" s="13"/>
      <c r="W159" s="59"/>
      <c r="X159" s="58"/>
      <c r="Y159" s="68">
        <f ca="1">Table25[[#This Row],[End Date]]+2-TODAY()</f>
        <v>-46242</v>
      </c>
      <c r="Z159" s="13">
        <f>IF(ISBLANK(Table25[[#This Row],[Roster Received By]]),1,0)</f>
        <v>1</v>
      </c>
      <c r="AA159" s="59">
        <f ca="1">IF(Table25[[#This Row],[Start Date]]&gt;TODAY(),1,)</f>
        <v>0</v>
      </c>
    </row>
    <row r="160" spans="1:27" s="46" customFormat="1" hidden="1" x14ac:dyDescent="0.25">
      <c r="A160" s="59"/>
      <c r="B160" s="58"/>
      <c r="C160" s="59" t="e">
        <v>#N/A</v>
      </c>
      <c r="D160" s="59" t="e">
        <v>#N/A</v>
      </c>
      <c r="E160" s="58"/>
      <c r="F160" s="61"/>
      <c r="G160" s="61"/>
      <c r="H160" s="67"/>
      <c r="I160" s="67"/>
      <c r="J160" s="61"/>
      <c r="K160" s="61"/>
      <c r="L160" s="61"/>
      <c r="M160" s="61"/>
      <c r="N160" s="61"/>
      <c r="O160" s="58"/>
      <c r="P160" s="58"/>
      <c r="Q160" s="13" t="e">
        <v>#N/A</v>
      </c>
      <c r="R160" s="13" t="e">
        <v>#N/A</v>
      </c>
      <c r="S160" s="66"/>
      <c r="T160" s="62"/>
      <c r="U160" s="13"/>
      <c r="V160" s="13"/>
      <c r="W160" s="13"/>
      <c r="X160" s="58"/>
      <c r="Y160" s="51">
        <f ca="1">Table25[[#This Row],[End Date]]+2-TODAY()</f>
        <v>-46242</v>
      </c>
      <c r="Z160" s="13">
        <f>IF(ISBLANK(Table25[[#This Row],[Roster Received By]]),1,0)</f>
        <v>1</v>
      </c>
      <c r="AA160" s="13">
        <f ca="1">IF(Table25[[#This Row],[Start Date]]&gt;TODAY(),1,)</f>
        <v>0</v>
      </c>
    </row>
    <row r="161" spans="1:27" s="46" customFormat="1" ht="15" hidden="1" customHeight="1" x14ac:dyDescent="0.25">
      <c r="B161" s="58"/>
      <c r="C161" s="59" t="e">
        <v>#N/A</v>
      </c>
      <c r="D161" s="59" t="e">
        <v>#N/A</v>
      </c>
      <c r="E161" s="58"/>
      <c r="F161" s="61"/>
      <c r="G161" s="61"/>
      <c r="H161" s="67"/>
      <c r="I161" s="67"/>
      <c r="J161" s="61"/>
      <c r="K161" s="61"/>
      <c r="L161" s="61"/>
      <c r="M161" s="61"/>
      <c r="N161" s="61"/>
      <c r="O161" s="58"/>
      <c r="P161" s="58"/>
      <c r="Q161" s="13" t="e">
        <v>#N/A</v>
      </c>
      <c r="R161" s="13" t="e">
        <v>#N/A</v>
      </c>
      <c r="S161" s="13"/>
      <c r="T161" s="62"/>
      <c r="U161" s="13"/>
      <c r="V161" s="13"/>
      <c r="W161" s="13"/>
      <c r="X161" s="58"/>
      <c r="Y161" s="51">
        <f ca="1">Table25[[#This Row],[End Date]]+2-TODAY()</f>
        <v>-46242</v>
      </c>
      <c r="Z161" s="13">
        <f>IF(ISBLANK(Table25[[#This Row],[Roster Received By]]),1,0)</f>
        <v>1</v>
      </c>
      <c r="AA161" s="13">
        <f ca="1">IF(Table25[[#This Row],[Start Date]]&gt;TODAY(),1,)</f>
        <v>0</v>
      </c>
    </row>
    <row r="162" spans="1:27" s="46" customFormat="1" hidden="1" x14ac:dyDescent="0.25">
      <c r="B162" s="58"/>
      <c r="C162" s="59" t="e">
        <v>#N/A</v>
      </c>
      <c r="D162" s="59" t="e">
        <v>#N/A</v>
      </c>
      <c r="E162" s="58"/>
      <c r="F162" s="61"/>
      <c r="G162" s="61"/>
      <c r="H162" s="64"/>
      <c r="I162" s="64"/>
      <c r="J162" s="61"/>
      <c r="K162" s="61"/>
      <c r="L162" s="61"/>
      <c r="M162" s="61"/>
      <c r="N162" s="61"/>
      <c r="O162" s="58"/>
      <c r="P162" s="58"/>
      <c r="Q162" s="13" t="e">
        <v>#N/A</v>
      </c>
      <c r="R162" s="13" t="e">
        <v>#N/A</v>
      </c>
      <c r="S162" s="13"/>
      <c r="T162" s="62"/>
      <c r="U162" s="13"/>
      <c r="V162" s="13"/>
      <c r="W162" s="13"/>
      <c r="X162" s="58"/>
      <c r="Y162" s="51">
        <f ca="1">Table25[[#This Row],[End Date]]+2-TODAY()</f>
        <v>-46242</v>
      </c>
      <c r="Z162" s="13">
        <f>IF(ISBLANK(Table25[[#This Row],[Roster Received By]]),1,0)</f>
        <v>1</v>
      </c>
      <c r="AA162" s="13">
        <f ca="1">IF(Table25[[#This Row],[Start Date]]&gt;TODAY(),1,)</f>
        <v>0</v>
      </c>
    </row>
    <row r="163" spans="1:27" s="46" customFormat="1" hidden="1" x14ac:dyDescent="0.25">
      <c r="B163" s="58"/>
      <c r="C163" s="59" t="e">
        <v>#N/A</v>
      </c>
      <c r="D163" s="59" t="e">
        <v>#N/A</v>
      </c>
      <c r="E163" s="58"/>
      <c r="F163" s="61"/>
      <c r="G163" s="61"/>
      <c r="H163" s="64"/>
      <c r="I163" s="64"/>
      <c r="J163" s="61"/>
      <c r="K163" s="61"/>
      <c r="L163" s="61"/>
      <c r="M163" s="61"/>
      <c r="N163" s="61"/>
      <c r="O163" s="58"/>
      <c r="P163" s="58"/>
      <c r="Q163" s="13" t="e">
        <v>#N/A</v>
      </c>
      <c r="R163" s="13" t="e">
        <v>#N/A</v>
      </c>
      <c r="S163" s="62"/>
      <c r="T163" s="62"/>
      <c r="U163" s="13"/>
      <c r="V163" s="13"/>
      <c r="W163" s="13"/>
      <c r="X163" s="58"/>
      <c r="Y163" s="51">
        <f ca="1">Table25[[#This Row],[End Date]]+2-TODAY()</f>
        <v>-46242</v>
      </c>
      <c r="Z163" s="13">
        <f>IF(ISBLANK(Table25[[#This Row],[Roster Received By]]),1,0)</f>
        <v>1</v>
      </c>
      <c r="AA163" s="13">
        <f ca="1">IF(Table25[[#This Row],[Start Date]]&gt;TODAY(),1,)</f>
        <v>0</v>
      </c>
    </row>
    <row r="164" spans="1:27" s="46" customFormat="1" hidden="1" x14ac:dyDescent="0.25">
      <c r="B164" s="58"/>
      <c r="C164" s="59" t="e">
        <v>#N/A</v>
      </c>
      <c r="D164" s="59" t="e">
        <v>#N/A</v>
      </c>
      <c r="E164" s="58"/>
      <c r="F164" s="61"/>
      <c r="G164" s="61"/>
      <c r="H164" s="64"/>
      <c r="I164" s="64"/>
      <c r="J164" s="61"/>
      <c r="K164" s="61"/>
      <c r="L164" s="61"/>
      <c r="M164" s="61"/>
      <c r="N164" s="61"/>
      <c r="O164" s="58"/>
      <c r="P164" s="58"/>
      <c r="Q164" s="13" t="e">
        <v>#N/A</v>
      </c>
      <c r="R164" s="13" t="e">
        <v>#N/A</v>
      </c>
      <c r="S164" s="13"/>
      <c r="T164" s="62"/>
      <c r="U164" s="13"/>
      <c r="V164" s="13"/>
      <c r="W164" s="13"/>
      <c r="X164" s="58"/>
      <c r="Y164" s="51">
        <f ca="1">Table25[[#This Row],[End Date]]+2-TODAY()</f>
        <v>-46242</v>
      </c>
      <c r="Z164" s="13">
        <f>IF(ISBLANK(Table25[[#This Row],[Roster Received By]]),1,0)</f>
        <v>1</v>
      </c>
      <c r="AA164" s="13">
        <f ca="1">IF(Table25[[#This Row],[Start Date]]&gt;TODAY(),1,)</f>
        <v>0</v>
      </c>
    </row>
    <row r="165" spans="1:27" s="46" customFormat="1" hidden="1" x14ac:dyDescent="0.25">
      <c r="B165" s="58"/>
      <c r="C165" s="59" t="e">
        <v>#N/A</v>
      </c>
      <c r="D165" s="59" t="e">
        <v>#N/A</v>
      </c>
      <c r="E165" s="100"/>
      <c r="F165" s="61"/>
      <c r="G165" s="61"/>
      <c r="H165" s="64"/>
      <c r="I165" s="60"/>
      <c r="J165" s="60"/>
      <c r="K165" s="60"/>
      <c r="L165" s="60"/>
      <c r="M165" s="60"/>
      <c r="N165" s="60"/>
      <c r="O165" s="58"/>
      <c r="P165" s="58"/>
      <c r="Q165" s="13" t="e">
        <v>#N/A</v>
      </c>
      <c r="R165" s="13" t="e">
        <v>#N/A</v>
      </c>
      <c r="S165" s="13"/>
      <c r="T165" s="62"/>
      <c r="U165" s="13"/>
      <c r="V165" s="13"/>
      <c r="W165" s="13"/>
      <c r="X165" s="58"/>
      <c r="Y165" s="51">
        <f ca="1">Table25[[#This Row],[End Date]]+2-TODAY()</f>
        <v>-46242</v>
      </c>
      <c r="Z165" s="13">
        <f>IF(ISBLANK(Table25[[#This Row],[Roster Received By]]),1,0)</f>
        <v>1</v>
      </c>
      <c r="AA165" s="13">
        <f ca="1">IF(Table25[[#This Row],[Start Date]]&gt;TODAY(),1,)</f>
        <v>0</v>
      </c>
    </row>
    <row r="166" spans="1:27" s="46" customFormat="1" hidden="1" x14ac:dyDescent="0.25">
      <c r="A166" s="58"/>
      <c r="B166" s="58"/>
      <c r="C166" s="59" t="e">
        <v>#N/A</v>
      </c>
      <c r="D166" s="59" t="e">
        <v>#N/A</v>
      </c>
      <c r="E166" s="47"/>
      <c r="F166" s="49"/>
      <c r="G166" s="49"/>
      <c r="H166" s="64"/>
      <c r="I166" s="64"/>
      <c r="J166" s="61"/>
      <c r="K166" s="61"/>
      <c r="L166" s="61"/>
      <c r="M166" s="61"/>
      <c r="N166" s="61"/>
      <c r="O166" s="58"/>
      <c r="P166" s="58"/>
      <c r="Q166" s="13" t="e">
        <v>#N/A</v>
      </c>
      <c r="R166" s="13" t="e">
        <v>#N/A</v>
      </c>
      <c r="S166" s="13"/>
      <c r="T166" s="62"/>
      <c r="U166" s="13"/>
      <c r="V166" s="13"/>
      <c r="W166" s="13"/>
      <c r="X166" s="58"/>
      <c r="Y166" s="51">
        <f ca="1">Table25[[#This Row],[End Date]]+2-TODAY()</f>
        <v>-46242</v>
      </c>
      <c r="Z166" s="13">
        <f>IF(ISBLANK(Table25[[#This Row],[Roster Received By]]),1,0)</f>
        <v>1</v>
      </c>
      <c r="AA166" s="13">
        <f ca="1">IF(Table25[[#This Row],[Start Date]]&gt;TODAY(),1,)</f>
        <v>0</v>
      </c>
    </row>
    <row r="167" spans="1:27" s="46" customFormat="1" hidden="1" x14ac:dyDescent="0.25">
      <c r="B167" s="58"/>
      <c r="C167" s="59" t="e">
        <v>#N/A</v>
      </c>
      <c r="D167" s="59" t="e">
        <v>#N/A</v>
      </c>
      <c r="E167" s="58"/>
      <c r="F167" s="61"/>
      <c r="G167" s="61"/>
      <c r="H167" s="61"/>
      <c r="I167" s="60"/>
      <c r="J167" s="60"/>
      <c r="K167" s="60"/>
      <c r="L167" s="60"/>
      <c r="M167" s="60"/>
      <c r="N167" s="60"/>
      <c r="O167" s="58"/>
      <c r="P167" s="58"/>
      <c r="Q167" s="13" t="e">
        <v>#N/A</v>
      </c>
      <c r="R167" s="13" t="e">
        <v>#N/A</v>
      </c>
      <c r="S167" s="13"/>
      <c r="T167" s="62"/>
      <c r="U167" s="13"/>
      <c r="V167" s="13"/>
      <c r="W167" s="13"/>
      <c r="X167" s="58"/>
      <c r="Y167" s="51">
        <f ca="1">Table25[[#This Row],[End Date]]+2-TODAY()</f>
        <v>-46242</v>
      </c>
      <c r="Z167" s="13">
        <f>IF(ISBLANK(Table25[[#This Row],[Roster Received By]]),1,0)</f>
        <v>1</v>
      </c>
      <c r="AA167" s="13">
        <f ca="1">IF(Table25[[#This Row],[Start Date]]&gt;TODAY(),1,)</f>
        <v>0</v>
      </c>
    </row>
    <row r="168" spans="1:27" s="46" customFormat="1" hidden="1" x14ac:dyDescent="0.25">
      <c r="B168" s="58"/>
      <c r="C168" s="59" t="e">
        <v>#N/A</v>
      </c>
      <c r="D168" s="59" t="e">
        <v>#N/A</v>
      </c>
      <c r="E168" s="58"/>
      <c r="F168" s="61"/>
      <c r="G168" s="61"/>
      <c r="H168" s="61"/>
      <c r="I168" s="60"/>
      <c r="J168" s="60"/>
      <c r="K168" s="60"/>
      <c r="L168" s="60"/>
      <c r="M168" s="60"/>
      <c r="N168" s="60"/>
      <c r="O168" s="58"/>
      <c r="P168" s="58"/>
      <c r="Q168" s="13" t="e">
        <v>#N/A</v>
      </c>
      <c r="R168" s="13" t="e">
        <v>#N/A</v>
      </c>
      <c r="S168" s="13"/>
      <c r="T168" s="62"/>
      <c r="U168" s="13"/>
      <c r="V168" s="13"/>
      <c r="W168" s="59"/>
      <c r="X168" s="58"/>
      <c r="Y168" s="51">
        <f ca="1">Table25[[#This Row],[End Date]]+2-TODAY()</f>
        <v>-46242</v>
      </c>
      <c r="Z168" s="13">
        <f>IF(ISBLANK(Table25[[#This Row],[Roster Received By]]),1,0)</f>
        <v>1</v>
      </c>
      <c r="AA168" s="13">
        <f ca="1">IF(Table25[[#This Row],[Start Date]]&gt;TODAY(),1,)</f>
        <v>0</v>
      </c>
    </row>
    <row r="169" spans="1:27" s="46" customFormat="1" hidden="1" x14ac:dyDescent="0.25">
      <c r="B169" s="58"/>
      <c r="C169" s="59" t="e">
        <v>#N/A</v>
      </c>
      <c r="D169" s="59" t="e">
        <v>#N/A</v>
      </c>
      <c r="E169" s="58"/>
      <c r="F169" s="69"/>
      <c r="G169" s="69"/>
      <c r="H169" s="64"/>
      <c r="I169" s="60"/>
      <c r="J169" s="60"/>
      <c r="K169" s="60"/>
      <c r="L169" s="60"/>
      <c r="M169" s="60"/>
      <c r="N169" s="60"/>
      <c r="O169" s="58"/>
      <c r="P169" s="58"/>
      <c r="Q169" s="13" t="e">
        <v>#N/A</v>
      </c>
      <c r="R169" s="13" t="e">
        <v>#N/A</v>
      </c>
      <c r="S169" s="62"/>
      <c r="T169" s="62"/>
      <c r="U169" s="13"/>
      <c r="V169" s="13"/>
      <c r="W169" s="59"/>
      <c r="X169" s="58"/>
      <c r="Y169" s="51">
        <f ca="1">Table25[[#This Row],[End Date]]+2-TODAY()</f>
        <v>-46242</v>
      </c>
      <c r="Z169" s="13">
        <f>IF(ISBLANK(Table25[[#This Row],[Roster Received By]]),1,0)</f>
        <v>1</v>
      </c>
      <c r="AA169" s="13">
        <f ca="1">IF(Table25[[#This Row],[Start Date]]&gt;TODAY(),1,)</f>
        <v>0</v>
      </c>
    </row>
    <row r="170" spans="1:27" s="46" customFormat="1" hidden="1" x14ac:dyDescent="0.25">
      <c r="B170" s="58"/>
      <c r="C170" s="59" t="e">
        <v>#N/A</v>
      </c>
      <c r="D170" s="59" t="e">
        <v>#N/A</v>
      </c>
      <c r="E170" s="83"/>
      <c r="F170" s="57"/>
      <c r="G170" s="57"/>
      <c r="H170" s="60"/>
      <c r="I170" s="60"/>
      <c r="J170" s="60"/>
      <c r="K170" s="60"/>
      <c r="L170" s="60"/>
      <c r="M170" s="60"/>
      <c r="N170" s="60"/>
      <c r="O170" s="58"/>
      <c r="P170" s="58"/>
      <c r="Q170" s="13" t="e">
        <v>#N/A</v>
      </c>
      <c r="R170" s="13" t="e">
        <v>#N/A</v>
      </c>
      <c r="S170" s="13"/>
      <c r="T170" s="62"/>
      <c r="U170" s="13"/>
      <c r="V170" s="13"/>
      <c r="W170" s="13"/>
      <c r="X170" s="58"/>
      <c r="Y170" s="51">
        <f ca="1">Table25[[#This Row],[End Date]]+2-TODAY()</f>
        <v>-46242</v>
      </c>
      <c r="Z170" s="13">
        <f>IF(ISBLANK(Table25[[#This Row],[Roster Received By]]),1,0)</f>
        <v>1</v>
      </c>
      <c r="AA170" s="13">
        <f ca="1">IF(Table25[[#This Row],[Start Date]]&gt;TODAY(),1,)</f>
        <v>0</v>
      </c>
    </row>
    <row r="171" spans="1:27" s="46" customFormat="1" hidden="1" x14ac:dyDescent="0.25">
      <c r="B171" s="58"/>
      <c r="C171" s="59" t="e">
        <v>#N/A</v>
      </c>
      <c r="D171" s="59" t="e">
        <v>#N/A</v>
      </c>
      <c r="E171"/>
      <c r="F171" s="69"/>
      <c r="G171" s="69"/>
      <c r="H171" s="64"/>
      <c r="I171" s="64"/>
      <c r="J171" s="61"/>
      <c r="K171" s="61"/>
      <c r="L171" s="61"/>
      <c r="M171" s="61"/>
      <c r="N171" s="61"/>
      <c r="O171" s="58"/>
      <c r="P171" s="58"/>
      <c r="Q171" s="13" t="e">
        <v>#N/A</v>
      </c>
      <c r="R171" s="13" t="e">
        <v>#N/A</v>
      </c>
      <c r="S171" s="13"/>
      <c r="T171" s="62"/>
      <c r="U171" s="13"/>
      <c r="V171" s="13"/>
      <c r="W171" s="13"/>
      <c r="X171" s="58"/>
      <c r="Y171" s="51">
        <f ca="1">Table25[[#This Row],[End Date]]+2-TODAY()</f>
        <v>-46242</v>
      </c>
      <c r="Z171" s="13">
        <f>IF(ISBLANK(Table25[[#This Row],[Roster Received By]]),1,0)</f>
        <v>1</v>
      </c>
      <c r="AA171" s="13">
        <f ca="1">IF(Table25[[#This Row],[Start Date]]&gt;TODAY(),1,)</f>
        <v>0</v>
      </c>
    </row>
    <row r="172" spans="1:27" s="46" customFormat="1" hidden="1" x14ac:dyDescent="0.25">
      <c r="B172" s="58"/>
      <c r="C172" s="59" t="e">
        <v>#N/A</v>
      </c>
      <c r="D172" s="59" t="e">
        <v>#N/A</v>
      </c>
      <c r="E172" s="58"/>
      <c r="F172" s="69"/>
      <c r="G172" s="69"/>
      <c r="H172" s="61"/>
      <c r="I172" s="60"/>
      <c r="J172" s="60"/>
      <c r="K172" s="60"/>
      <c r="L172" s="60"/>
      <c r="M172" s="60"/>
      <c r="N172" s="60"/>
      <c r="O172" s="58"/>
      <c r="P172" s="58"/>
      <c r="Q172" s="13" t="e">
        <v>#N/A</v>
      </c>
      <c r="R172" s="13" t="e">
        <v>#N/A</v>
      </c>
      <c r="S172" s="13"/>
      <c r="T172" s="62"/>
      <c r="U172" s="13"/>
      <c r="V172" s="13"/>
      <c r="W172" s="13"/>
      <c r="X172" s="58"/>
      <c r="Y172" s="51">
        <f ca="1">Table25[[#This Row],[End Date]]+2-TODAY()</f>
        <v>-46242</v>
      </c>
      <c r="Z172" s="13">
        <f>IF(ISBLANK(Table25[[#This Row],[Roster Received By]]),1,0)</f>
        <v>1</v>
      </c>
      <c r="AA172" s="13">
        <f ca="1">IF(Table25[[#This Row],[Start Date]]&gt;TODAY(),1,)</f>
        <v>0</v>
      </c>
    </row>
    <row r="173" spans="1:27" s="46" customFormat="1" hidden="1" x14ac:dyDescent="0.25">
      <c r="B173" s="58"/>
      <c r="C173" s="59" t="e">
        <v>#N/A</v>
      </c>
      <c r="D173" s="59" t="e">
        <v>#N/A</v>
      </c>
      <c r="E173" s="58"/>
      <c r="F173" s="61"/>
      <c r="G173" s="61"/>
      <c r="H173" s="61"/>
      <c r="I173" s="60"/>
      <c r="J173" s="60"/>
      <c r="K173" s="60"/>
      <c r="L173" s="60"/>
      <c r="M173" s="60"/>
      <c r="N173" s="60"/>
      <c r="O173" s="58"/>
      <c r="P173" s="58"/>
      <c r="Q173" s="13" t="e">
        <v>#N/A</v>
      </c>
      <c r="R173" s="13" t="e">
        <v>#N/A</v>
      </c>
      <c r="S173" s="13"/>
      <c r="T173" s="62"/>
      <c r="U173" s="13"/>
      <c r="V173" s="13"/>
      <c r="W173" s="13"/>
      <c r="X173" s="58"/>
      <c r="Y173" s="51">
        <f ca="1">Table25[[#This Row],[End Date]]+2-TODAY()</f>
        <v>-46242</v>
      </c>
      <c r="Z173" s="13">
        <f>IF(ISBLANK(Table25[[#This Row],[Roster Received By]]),1,0)</f>
        <v>1</v>
      </c>
      <c r="AA173" s="13">
        <f ca="1">IF(Table25[[#This Row],[Start Date]]&gt;TODAY(),1,)</f>
        <v>0</v>
      </c>
    </row>
    <row r="174" spans="1:27" s="46" customFormat="1" hidden="1" x14ac:dyDescent="0.25">
      <c r="B174" s="58"/>
      <c r="C174" s="59" t="e">
        <v>#N/A</v>
      </c>
      <c r="D174" s="59" t="e">
        <v>#N/A</v>
      </c>
      <c r="E174" s="58"/>
      <c r="F174" s="69"/>
      <c r="G174" s="69"/>
      <c r="H174" s="61"/>
      <c r="I174" s="60"/>
      <c r="J174" s="60"/>
      <c r="K174" s="60"/>
      <c r="L174" s="60"/>
      <c r="M174" s="60"/>
      <c r="N174" s="60"/>
      <c r="O174" s="58"/>
      <c r="P174" s="58"/>
      <c r="Q174" s="13" t="e">
        <v>#N/A</v>
      </c>
      <c r="R174" s="13" t="e">
        <v>#N/A</v>
      </c>
      <c r="S174" s="13"/>
      <c r="T174" s="62"/>
      <c r="U174" s="13"/>
      <c r="V174" s="13"/>
      <c r="W174" s="13"/>
      <c r="X174" s="58"/>
      <c r="Y174" s="51">
        <f ca="1">Table25[[#This Row],[End Date]]+2-TODAY()</f>
        <v>-46242</v>
      </c>
      <c r="Z174" s="13">
        <f>IF(ISBLANK(Table25[[#This Row],[Roster Received By]]),1,0)</f>
        <v>1</v>
      </c>
      <c r="AA174" s="13">
        <f ca="1">IF(Table25[[#This Row],[Start Date]]&gt;TODAY(),1,)</f>
        <v>0</v>
      </c>
    </row>
    <row r="175" spans="1:27" s="46" customFormat="1" hidden="1" x14ac:dyDescent="0.25">
      <c r="B175" s="58"/>
      <c r="C175" s="59" t="e">
        <v>#N/A</v>
      </c>
      <c r="D175" s="59" t="e">
        <v>#N/A</v>
      </c>
      <c r="E175" s="58"/>
      <c r="F175" s="69"/>
      <c r="G175" s="69"/>
      <c r="H175" s="61"/>
      <c r="I175" s="60"/>
      <c r="J175" s="60"/>
      <c r="K175" s="60"/>
      <c r="L175" s="60"/>
      <c r="M175" s="60"/>
      <c r="N175" s="60"/>
      <c r="O175" s="58"/>
      <c r="P175" s="58"/>
      <c r="Q175" s="13" t="e">
        <v>#N/A</v>
      </c>
      <c r="R175" s="13" t="e">
        <v>#N/A</v>
      </c>
      <c r="S175" s="13"/>
      <c r="T175" s="62"/>
      <c r="U175" s="13"/>
      <c r="V175" s="13"/>
      <c r="W175" s="13"/>
      <c r="X175" s="58"/>
      <c r="Y175" s="51">
        <f ca="1">Table25[[#This Row],[End Date]]+2-TODAY()</f>
        <v>-46242</v>
      </c>
      <c r="Z175" s="13">
        <f>IF(ISBLANK(Table25[[#This Row],[Roster Received By]]),1,0)</f>
        <v>1</v>
      </c>
      <c r="AA175" s="13">
        <f ca="1">IF(Table25[[#This Row],[Start Date]]&gt;TODAY(),1,)</f>
        <v>0</v>
      </c>
    </row>
    <row r="176" spans="1:27" s="46" customFormat="1" hidden="1" x14ac:dyDescent="0.25">
      <c r="B176" s="58"/>
      <c r="C176" s="59" t="e">
        <v>#N/A</v>
      </c>
      <c r="D176" s="59" t="e">
        <v>#N/A</v>
      </c>
      <c r="E176" s="58"/>
      <c r="F176" s="69"/>
      <c r="G176" s="69"/>
      <c r="H176" s="61"/>
      <c r="I176" s="60"/>
      <c r="J176" s="60"/>
      <c r="K176" s="60"/>
      <c r="L176" s="60"/>
      <c r="M176" s="60"/>
      <c r="N176" s="60"/>
      <c r="O176" s="58"/>
      <c r="P176" s="58"/>
      <c r="Q176" s="13" t="e">
        <v>#N/A</v>
      </c>
      <c r="R176" s="13" t="e">
        <v>#N/A</v>
      </c>
      <c r="S176" s="13"/>
      <c r="T176" s="62"/>
      <c r="U176" s="13"/>
      <c r="V176" s="13"/>
      <c r="W176" s="13"/>
      <c r="X176" s="58"/>
      <c r="Y176" s="51">
        <f ca="1">Table25[[#This Row],[End Date]]+2-TODAY()</f>
        <v>-46242</v>
      </c>
      <c r="Z176" s="13">
        <f>IF(ISBLANK(Table25[[#This Row],[Roster Received By]]),1,0)</f>
        <v>1</v>
      </c>
      <c r="AA176" s="13">
        <f ca="1">IF(Table25[[#This Row],[Start Date]]&gt;TODAY(),1,)</f>
        <v>0</v>
      </c>
    </row>
    <row r="177" spans="1:27" s="46" customFormat="1" hidden="1" x14ac:dyDescent="0.25">
      <c r="B177" s="58"/>
      <c r="C177" s="59" t="e">
        <v>#N/A</v>
      </c>
      <c r="D177" s="59" t="e">
        <v>#N/A</v>
      </c>
      <c r="E177" s="58"/>
      <c r="F177" s="69"/>
      <c r="G177" s="69"/>
      <c r="H177" s="61"/>
      <c r="I177" s="60"/>
      <c r="J177" s="60"/>
      <c r="K177" s="60"/>
      <c r="L177" s="60"/>
      <c r="M177" s="60"/>
      <c r="N177" s="60"/>
      <c r="O177" s="58"/>
      <c r="P177" s="58"/>
      <c r="Q177" s="13" t="e">
        <v>#N/A</v>
      </c>
      <c r="R177" s="13" t="e">
        <v>#N/A</v>
      </c>
      <c r="S177" s="13"/>
      <c r="T177" s="62"/>
      <c r="U177" s="13"/>
      <c r="V177" s="13"/>
      <c r="W177" s="59"/>
      <c r="X177" s="58"/>
      <c r="Y177" s="51">
        <f ca="1">Table25[[#This Row],[End Date]]+2-TODAY()</f>
        <v>-46242</v>
      </c>
      <c r="Z177" s="13">
        <f>IF(ISBLANK(Table25[[#This Row],[Roster Received By]]),1,0)</f>
        <v>1</v>
      </c>
      <c r="AA177" s="13">
        <f ca="1">IF(Table25[[#This Row],[Start Date]]&gt;TODAY(),1,)</f>
        <v>0</v>
      </c>
    </row>
    <row r="178" spans="1:27" s="46" customFormat="1" hidden="1" x14ac:dyDescent="0.25">
      <c r="B178" s="58"/>
      <c r="C178" s="59" t="e">
        <v>#N/A</v>
      </c>
      <c r="D178" s="59" t="e">
        <v>#N/A</v>
      </c>
      <c r="E178" s="58"/>
      <c r="F178" s="69"/>
      <c r="G178" s="69"/>
      <c r="H178" s="61"/>
      <c r="I178" s="60"/>
      <c r="J178" s="60"/>
      <c r="K178" s="60"/>
      <c r="L178" s="60"/>
      <c r="M178" s="60"/>
      <c r="N178" s="60"/>
      <c r="O178" s="58"/>
      <c r="P178" s="58"/>
      <c r="Q178" s="13" t="e">
        <v>#N/A</v>
      </c>
      <c r="R178" s="13" t="e">
        <v>#N/A</v>
      </c>
      <c r="S178" s="13"/>
      <c r="T178" s="62"/>
      <c r="U178" s="13"/>
      <c r="V178" s="13"/>
      <c r="W178" s="13"/>
      <c r="X178" s="58"/>
      <c r="Y178" s="51">
        <f ca="1">Table25[[#This Row],[End Date]]+2-TODAY()</f>
        <v>-46242</v>
      </c>
      <c r="Z178" s="13">
        <f>IF(ISBLANK(Table25[[#This Row],[Roster Received By]]),1,0)</f>
        <v>1</v>
      </c>
      <c r="AA178" s="13">
        <f ca="1">IF(Table25[[#This Row],[Start Date]]&gt;TODAY(),1,)</f>
        <v>0</v>
      </c>
    </row>
    <row r="179" spans="1:27" s="46" customFormat="1" hidden="1" x14ac:dyDescent="0.25">
      <c r="B179" s="58"/>
      <c r="C179" s="59" t="e">
        <v>#N/A</v>
      </c>
      <c r="D179" s="59" t="e">
        <v>#N/A</v>
      </c>
      <c r="E179" s="58"/>
      <c r="F179" s="69"/>
      <c r="G179" s="69"/>
      <c r="H179" s="61"/>
      <c r="I179" s="60"/>
      <c r="J179" s="60"/>
      <c r="K179" s="60"/>
      <c r="L179" s="60"/>
      <c r="M179" s="60"/>
      <c r="N179" s="60"/>
      <c r="O179" s="58"/>
      <c r="P179" s="58"/>
      <c r="Q179" s="13" t="e">
        <v>#N/A</v>
      </c>
      <c r="R179" s="13" t="e">
        <v>#N/A</v>
      </c>
      <c r="S179" s="13"/>
      <c r="T179" s="62"/>
      <c r="U179" s="13"/>
      <c r="V179" s="13"/>
      <c r="W179" s="13"/>
      <c r="X179" s="58"/>
      <c r="Y179" s="51">
        <f ca="1">Table25[[#This Row],[End Date]]+2-TODAY()</f>
        <v>-46242</v>
      </c>
      <c r="Z179" s="13">
        <f>IF(ISBLANK(Table25[[#This Row],[Roster Received By]]),1,0)</f>
        <v>1</v>
      </c>
      <c r="AA179" s="13">
        <f ca="1">IF(Table25[[#This Row],[Start Date]]&gt;TODAY(),1,)</f>
        <v>0</v>
      </c>
    </row>
    <row r="180" spans="1:27" s="46" customFormat="1" hidden="1" x14ac:dyDescent="0.25">
      <c r="B180" s="58"/>
      <c r="C180" s="59" t="e">
        <v>#N/A</v>
      </c>
      <c r="D180" s="59" t="e">
        <v>#N/A</v>
      </c>
      <c r="E180" s="58"/>
      <c r="F180" s="69"/>
      <c r="G180" s="69"/>
      <c r="H180" s="64"/>
      <c r="I180" s="64"/>
      <c r="J180" s="64"/>
      <c r="K180" s="64"/>
      <c r="L180" s="64"/>
      <c r="M180" s="64"/>
      <c r="N180" s="61"/>
      <c r="O180" s="58"/>
      <c r="P180" s="58"/>
      <c r="Q180" s="13" t="e">
        <v>#N/A</v>
      </c>
      <c r="R180" s="13" t="e">
        <v>#N/A</v>
      </c>
      <c r="S180" s="13"/>
      <c r="T180" s="62"/>
      <c r="U180" s="13"/>
      <c r="V180" s="13"/>
      <c r="W180" s="13"/>
      <c r="X180" s="58"/>
      <c r="Y180" s="51">
        <f ca="1">Table25[[#This Row],[End Date]]+2-TODAY()</f>
        <v>-46242</v>
      </c>
      <c r="Z180" s="13">
        <f>IF(ISBLANK(Table25[[#This Row],[Roster Received By]]),1,0)</f>
        <v>1</v>
      </c>
      <c r="AA180" s="13">
        <f ca="1">IF(Table25[[#This Row],[Start Date]]&gt;TODAY(),1,)</f>
        <v>0</v>
      </c>
    </row>
    <row r="181" spans="1:27" s="46" customFormat="1" hidden="1" x14ac:dyDescent="0.25">
      <c r="B181" s="58"/>
      <c r="C181" s="59" t="e">
        <v>#N/A</v>
      </c>
      <c r="D181" s="59" t="e">
        <v>#N/A</v>
      </c>
      <c r="E181" s="58"/>
      <c r="F181" s="61"/>
      <c r="G181" s="61"/>
      <c r="H181" s="61"/>
      <c r="I181" s="60"/>
      <c r="J181" s="60"/>
      <c r="K181" s="60"/>
      <c r="L181" s="60"/>
      <c r="M181" s="60"/>
      <c r="N181" s="60"/>
      <c r="O181" s="58"/>
      <c r="P181" s="58"/>
      <c r="Q181" s="13" t="e">
        <v>#N/A</v>
      </c>
      <c r="R181" s="13" t="e">
        <v>#N/A</v>
      </c>
      <c r="S181" s="13"/>
      <c r="T181" s="62"/>
      <c r="U181" s="13"/>
      <c r="V181" s="13"/>
      <c r="W181" s="13"/>
      <c r="X181" s="58"/>
      <c r="Y181" s="51">
        <f ca="1">Table25[[#This Row],[End Date]]+2-TODAY()</f>
        <v>-46242</v>
      </c>
      <c r="Z181" s="13">
        <f>IF(ISBLANK(Table25[[#This Row],[Roster Received By]]),1,0)</f>
        <v>1</v>
      </c>
      <c r="AA181" s="13">
        <f ca="1">IF(Table25[[#This Row],[Start Date]]&gt;TODAY(),1,)</f>
        <v>0</v>
      </c>
    </row>
    <row r="182" spans="1:27" s="14" customFormat="1" ht="14.25" hidden="1" customHeight="1" x14ac:dyDescent="0.25">
      <c r="A182" s="46"/>
      <c r="B182" s="58"/>
      <c r="C182" s="59" t="e">
        <v>#N/A</v>
      </c>
      <c r="D182" s="59" t="e">
        <v>#N/A</v>
      </c>
      <c r="E182" s="58"/>
      <c r="F182" s="61"/>
      <c r="G182" s="61"/>
      <c r="H182" s="64"/>
      <c r="I182" s="64"/>
      <c r="J182" s="61"/>
      <c r="K182" s="61"/>
      <c r="L182" s="61"/>
      <c r="M182" s="61"/>
      <c r="N182" s="61"/>
      <c r="O182" s="58"/>
      <c r="P182" s="58"/>
      <c r="Q182" s="13" t="e">
        <v>#N/A</v>
      </c>
      <c r="R182" s="13" t="e">
        <v>#N/A</v>
      </c>
      <c r="S182" s="13"/>
      <c r="T182" s="62"/>
      <c r="U182" s="13"/>
      <c r="V182" s="13"/>
      <c r="W182" s="13"/>
      <c r="X182" s="58"/>
      <c r="Y182" s="51">
        <f ca="1">Table25[[#This Row],[End Date]]+2-TODAY()</f>
        <v>-46242</v>
      </c>
      <c r="Z182" s="13">
        <f>IF(ISBLANK(Table25[[#This Row],[Roster Received By]]),1,0)</f>
        <v>1</v>
      </c>
      <c r="AA182" s="13">
        <f ca="1">IF(Table25[[#This Row],[Start Date]]&gt;TODAY(),1,)</f>
        <v>0</v>
      </c>
    </row>
    <row r="183" spans="1:27" s="46" customFormat="1" ht="15" hidden="1" customHeight="1" x14ac:dyDescent="0.25">
      <c r="B183" s="58"/>
      <c r="C183" s="59" t="e">
        <v>#N/A</v>
      </c>
      <c r="D183" s="59" t="e">
        <v>#N/A</v>
      </c>
      <c r="E183" s="58"/>
      <c r="F183" s="69"/>
      <c r="G183" s="69"/>
      <c r="H183" s="64"/>
      <c r="I183" s="64"/>
      <c r="J183" s="61"/>
      <c r="K183" s="61"/>
      <c r="L183" s="61"/>
      <c r="M183" s="61"/>
      <c r="N183" s="61"/>
      <c r="O183" s="58"/>
      <c r="P183" s="58"/>
      <c r="Q183" s="13" t="e">
        <v>#N/A</v>
      </c>
      <c r="R183" s="13" t="e">
        <v>#N/A</v>
      </c>
      <c r="S183" s="13"/>
      <c r="T183" s="62"/>
      <c r="U183" s="13"/>
      <c r="V183" s="13"/>
      <c r="W183" s="13"/>
      <c r="X183" s="58"/>
      <c r="Y183" s="51">
        <f ca="1">Table25[[#This Row],[End Date]]+2-TODAY()</f>
        <v>-46242</v>
      </c>
      <c r="Z183" s="13">
        <f>IF(ISBLANK(Table25[[#This Row],[Roster Received By]]),1,0)</f>
        <v>1</v>
      </c>
      <c r="AA183" s="13">
        <f ca="1">IF(Table25[[#This Row],[Start Date]]&gt;TODAY(),1,)</f>
        <v>0</v>
      </c>
    </row>
    <row r="184" spans="1:27" s="46" customFormat="1" hidden="1" x14ac:dyDescent="0.25">
      <c r="B184" s="58"/>
      <c r="C184" s="59" t="e">
        <v>#N/A</v>
      </c>
      <c r="D184" s="59" t="e">
        <v>#N/A</v>
      </c>
      <c r="E184" s="58"/>
      <c r="F184" s="69"/>
      <c r="G184" s="69"/>
      <c r="H184" s="61"/>
      <c r="I184" s="60"/>
      <c r="J184" s="60"/>
      <c r="K184" s="60"/>
      <c r="L184" s="60"/>
      <c r="M184" s="60"/>
      <c r="N184" s="60"/>
      <c r="O184" s="58"/>
      <c r="P184" s="58"/>
      <c r="Q184" s="13" t="e">
        <v>#N/A</v>
      </c>
      <c r="R184" s="13" t="e">
        <v>#N/A</v>
      </c>
      <c r="S184" s="13"/>
      <c r="T184" s="62"/>
      <c r="U184" s="13"/>
      <c r="V184" s="13"/>
      <c r="W184" s="13"/>
      <c r="X184" s="58"/>
      <c r="Y184" s="51">
        <f ca="1">Table25[[#This Row],[End Date]]+2-TODAY()</f>
        <v>-46242</v>
      </c>
      <c r="Z184" s="13">
        <f>IF(ISBLANK(Table25[[#This Row],[Roster Received By]]),1,0)</f>
        <v>1</v>
      </c>
      <c r="AA184" s="13">
        <f ca="1">IF(Table25[[#This Row],[Start Date]]&gt;TODAY(),1,)</f>
        <v>0</v>
      </c>
    </row>
    <row r="185" spans="1:27" s="46" customFormat="1" hidden="1" x14ac:dyDescent="0.25">
      <c r="B185" s="58"/>
      <c r="C185" s="59" t="e">
        <v>#N/A</v>
      </c>
      <c r="D185" s="59" t="e">
        <v>#N/A</v>
      </c>
      <c r="E185" s="58"/>
      <c r="F185" s="61"/>
      <c r="G185" s="61"/>
      <c r="H185" s="64"/>
      <c r="I185" s="64"/>
      <c r="J185" s="61"/>
      <c r="K185" s="61"/>
      <c r="L185" s="61"/>
      <c r="M185" s="61"/>
      <c r="N185" s="61"/>
      <c r="O185" s="58"/>
      <c r="P185" s="58"/>
      <c r="Q185" s="13" t="e">
        <v>#N/A</v>
      </c>
      <c r="R185" s="13" t="e">
        <v>#N/A</v>
      </c>
      <c r="S185" s="62"/>
      <c r="T185" s="62"/>
      <c r="U185" s="13"/>
      <c r="V185" s="13"/>
      <c r="W185" s="13"/>
      <c r="X185" s="58"/>
      <c r="Y185" s="51">
        <f ca="1">Table25[[#This Row],[End Date]]+2-TODAY()</f>
        <v>-46242</v>
      </c>
      <c r="Z185" s="13">
        <f>IF(ISBLANK(Table25[[#This Row],[Roster Received By]]),1,0)</f>
        <v>1</v>
      </c>
      <c r="AA185" s="13">
        <f ca="1">IF(Table25[[#This Row],[Start Date]]&gt;TODAY(),1,)</f>
        <v>0</v>
      </c>
    </row>
    <row r="186" spans="1:27" s="46" customFormat="1" hidden="1" x14ac:dyDescent="0.25">
      <c r="B186" s="58"/>
      <c r="C186" s="59" t="e">
        <v>#N/A</v>
      </c>
      <c r="D186" s="59" t="e">
        <v>#N/A</v>
      </c>
      <c r="E186" s="58"/>
      <c r="F186" s="61"/>
      <c r="G186" s="61"/>
      <c r="H186" s="61"/>
      <c r="I186" s="60"/>
      <c r="J186" s="60"/>
      <c r="K186" s="60"/>
      <c r="L186" s="60"/>
      <c r="M186" s="60"/>
      <c r="N186" s="60"/>
      <c r="O186" s="58"/>
      <c r="P186" s="58"/>
      <c r="Q186" s="13" t="e">
        <v>#N/A</v>
      </c>
      <c r="R186" s="13" t="e">
        <v>#N/A</v>
      </c>
      <c r="S186" s="13"/>
      <c r="T186" s="62"/>
      <c r="U186" s="13"/>
      <c r="V186" s="13"/>
      <c r="W186" s="66"/>
      <c r="X186" s="58"/>
      <c r="Y186" s="51">
        <f ca="1">Table25[[#This Row],[End Date]]+2-TODAY()</f>
        <v>-46242</v>
      </c>
      <c r="Z186" s="13">
        <f>IF(ISBLANK(Table25[[#This Row],[Roster Received By]]),1,0)</f>
        <v>1</v>
      </c>
      <c r="AA186" s="13">
        <f ca="1">IF(Table25[[#This Row],[Start Date]]&gt;TODAY(),1,)</f>
        <v>0</v>
      </c>
    </row>
    <row r="187" spans="1:27" s="46" customFormat="1" hidden="1" x14ac:dyDescent="0.25">
      <c r="B187" s="58"/>
      <c r="C187" s="59" t="e">
        <v>#N/A</v>
      </c>
      <c r="D187" s="59" t="e">
        <v>#N/A</v>
      </c>
      <c r="E187" s="58"/>
      <c r="F187" s="61"/>
      <c r="G187" s="61"/>
      <c r="H187" s="61"/>
      <c r="I187" s="60"/>
      <c r="J187" s="60"/>
      <c r="K187" s="60"/>
      <c r="L187" s="60"/>
      <c r="M187" s="60"/>
      <c r="N187" s="60"/>
      <c r="O187" s="58"/>
      <c r="P187" s="58"/>
      <c r="Q187" s="13" t="e">
        <v>#N/A</v>
      </c>
      <c r="R187" s="13" t="e">
        <v>#N/A</v>
      </c>
      <c r="S187" s="13"/>
      <c r="T187" s="62"/>
      <c r="U187" s="13"/>
      <c r="V187" s="13"/>
      <c r="W187" s="62"/>
      <c r="X187" s="58"/>
      <c r="Y187" s="51">
        <f ca="1">Table25[[#This Row],[End Date]]+2-TODAY()</f>
        <v>-46242</v>
      </c>
      <c r="Z187" s="13">
        <f>IF(ISBLANK(Table25[[#This Row],[Roster Received By]]),1,0)</f>
        <v>1</v>
      </c>
      <c r="AA187" s="13">
        <f ca="1">IF(Table25[[#This Row],[Start Date]]&gt;TODAY(),1,)</f>
        <v>0</v>
      </c>
    </row>
    <row r="188" spans="1:27" s="46" customFormat="1" hidden="1" x14ac:dyDescent="0.25">
      <c r="A188" s="47"/>
      <c r="B188" s="58"/>
      <c r="C188" s="59" t="e">
        <v>#N/A</v>
      </c>
      <c r="D188" s="59" t="e">
        <v>#N/A</v>
      </c>
      <c r="E188" s="58"/>
      <c r="F188" s="61"/>
      <c r="G188" s="61"/>
      <c r="H188" s="67"/>
      <c r="I188" s="67"/>
      <c r="J188" s="61"/>
      <c r="K188" s="61"/>
      <c r="L188" s="61"/>
      <c r="M188" s="61"/>
      <c r="N188" s="61"/>
      <c r="O188" s="58"/>
      <c r="P188" s="58"/>
      <c r="Q188" s="13" t="e">
        <v>#N/A</v>
      </c>
      <c r="R188" s="13" t="e">
        <v>#N/A</v>
      </c>
      <c r="S188" s="13"/>
      <c r="T188" s="62"/>
      <c r="U188" s="13"/>
      <c r="V188" s="13"/>
      <c r="W188" s="13"/>
      <c r="X188" s="58"/>
      <c r="Y188" s="51">
        <f ca="1">Table25[[#This Row],[End Date]]+2-TODAY()</f>
        <v>-46242</v>
      </c>
      <c r="Z188" s="13">
        <f>IF(ISBLANK(Table25[[#This Row],[Roster Received By]]),1,0)</f>
        <v>1</v>
      </c>
      <c r="AA188" s="13">
        <f ca="1">IF(Table25[[#This Row],[Start Date]]&gt;TODAY(),1,)</f>
        <v>0</v>
      </c>
    </row>
    <row r="189" spans="1:27" s="46" customFormat="1" hidden="1" x14ac:dyDescent="0.25">
      <c r="B189" s="58"/>
      <c r="C189" s="59" t="e">
        <v>#N/A</v>
      </c>
      <c r="D189" s="59" t="e">
        <v>#N/A</v>
      </c>
      <c r="E189" s="58"/>
      <c r="F189" s="61"/>
      <c r="G189" s="61"/>
      <c r="H189" s="64"/>
      <c r="I189" s="67"/>
      <c r="J189" s="61"/>
      <c r="K189" s="61"/>
      <c r="L189" s="61"/>
      <c r="M189" s="61"/>
      <c r="N189" s="61"/>
      <c r="O189" s="58"/>
      <c r="P189" s="58"/>
      <c r="Q189" s="13" t="e">
        <v>#N/A</v>
      </c>
      <c r="R189" s="13" t="e">
        <v>#N/A</v>
      </c>
      <c r="S189" s="62"/>
      <c r="T189" s="62"/>
      <c r="U189" s="13"/>
      <c r="V189" s="13"/>
      <c r="W189" s="13"/>
      <c r="X189" s="58"/>
      <c r="Y189" s="51">
        <f ca="1">Table25[[#This Row],[End Date]]+2-TODAY()</f>
        <v>-46242</v>
      </c>
      <c r="Z189" s="13">
        <f>IF(ISBLANK(Table25[[#This Row],[Roster Received By]]),1,0)</f>
        <v>1</v>
      </c>
      <c r="AA189" s="13">
        <f ca="1">IF(Table25[[#This Row],[Start Date]]&gt;TODAY(),1,)</f>
        <v>0</v>
      </c>
    </row>
    <row r="190" spans="1:27" s="46" customFormat="1" hidden="1" x14ac:dyDescent="0.25">
      <c r="B190" s="58"/>
      <c r="C190" s="59" t="e">
        <v>#N/A</v>
      </c>
      <c r="D190" s="59" t="e">
        <v>#N/A</v>
      </c>
      <c r="E190" s="83"/>
      <c r="F190" s="49"/>
      <c r="G190" s="49"/>
      <c r="H190" s="60"/>
      <c r="I190" s="60"/>
      <c r="J190" s="60"/>
      <c r="K190" s="60"/>
      <c r="L190" s="60"/>
      <c r="M190" s="60"/>
      <c r="N190" s="60"/>
      <c r="O190" s="58"/>
      <c r="P190" s="58"/>
      <c r="Q190" s="13" t="e">
        <v>#N/A</v>
      </c>
      <c r="R190" s="13" t="e">
        <v>#N/A</v>
      </c>
      <c r="S190" s="13"/>
      <c r="T190" s="62"/>
      <c r="U190" s="13"/>
      <c r="V190" s="13"/>
      <c r="W190" s="13"/>
      <c r="X190" s="58"/>
      <c r="Y190" s="51">
        <f ca="1">Table25[[#This Row],[End Date]]+2-TODAY()</f>
        <v>-46242</v>
      </c>
      <c r="Z190" s="13">
        <f>IF(ISBLANK(Table25[[#This Row],[Roster Received By]]),1,0)</f>
        <v>1</v>
      </c>
      <c r="AA190" s="13">
        <f ca="1">IF(Table25[[#This Row],[Start Date]]&gt;TODAY(),1,)</f>
        <v>0</v>
      </c>
    </row>
    <row r="191" spans="1:27" s="46" customFormat="1" hidden="1" x14ac:dyDescent="0.25">
      <c r="A191" s="58"/>
      <c r="B191" s="58"/>
      <c r="C191" s="59" t="e">
        <v>#N/A</v>
      </c>
      <c r="D191" s="59" t="e">
        <v>#N/A</v>
      </c>
      <c r="E191" s="58"/>
      <c r="F191" s="61"/>
      <c r="G191" s="61"/>
      <c r="H191" s="64"/>
      <c r="I191" s="64"/>
      <c r="J191" s="61"/>
      <c r="K191" s="61"/>
      <c r="L191" s="61"/>
      <c r="M191" s="61"/>
      <c r="N191" s="61"/>
      <c r="O191" s="58"/>
      <c r="P191" s="58"/>
      <c r="Q191" s="13" t="e">
        <v>#N/A</v>
      </c>
      <c r="R191" s="13" t="e">
        <v>#N/A</v>
      </c>
      <c r="S191" s="13"/>
      <c r="T191" s="62"/>
      <c r="U191" s="13"/>
      <c r="V191" s="13"/>
      <c r="W191" s="13"/>
      <c r="X191" s="58"/>
      <c r="Y191" s="51">
        <f ca="1">Table25[[#This Row],[End Date]]+2-TODAY()</f>
        <v>-46242</v>
      </c>
      <c r="Z191" s="13">
        <f>IF(ISBLANK(Table25[[#This Row],[Roster Received By]]),1,0)</f>
        <v>1</v>
      </c>
      <c r="AA191" s="13">
        <f ca="1">IF(Table25[[#This Row],[Start Date]]&gt;TODAY(),1,)</f>
        <v>0</v>
      </c>
    </row>
    <row r="192" spans="1:27" s="46" customFormat="1" hidden="1" x14ac:dyDescent="0.25">
      <c r="A192" s="59"/>
      <c r="B192" s="58"/>
      <c r="C192" s="59" t="e">
        <v>#N/A</v>
      </c>
      <c r="D192" s="59" t="e">
        <v>#N/A</v>
      </c>
      <c r="E192" s="58"/>
      <c r="F192" s="61"/>
      <c r="G192" s="61"/>
      <c r="H192" s="64"/>
      <c r="I192" s="64"/>
      <c r="J192" s="61"/>
      <c r="K192" s="61"/>
      <c r="L192" s="61"/>
      <c r="M192" s="61"/>
      <c r="N192" s="61"/>
      <c r="O192" s="58"/>
      <c r="P192" s="58"/>
      <c r="Q192" s="13" t="e">
        <v>#N/A</v>
      </c>
      <c r="R192" s="13" t="e">
        <v>#N/A</v>
      </c>
      <c r="S192" s="66"/>
      <c r="T192" s="62"/>
      <c r="U192" s="13"/>
      <c r="V192" s="13"/>
      <c r="W192" s="13"/>
      <c r="X192" s="58"/>
      <c r="Y192" s="51">
        <f ca="1">Table25[[#This Row],[End Date]]+2-TODAY()</f>
        <v>-46242</v>
      </c>
      <c r="Z192" s="13">
        <f>IF(ISBLANK(Table25[[#This Row],[Roster Received By]]),1,0)</f>
        <v>1</v>
      </c>
      <c r="AA192" s="13">
        <f ca="1">IF(Table25[[#This Row],[Start Date]]&gt;TODAY(),1,)</f>
        <v>0</v>
      </c>
    </row>
    <row r="193" spans="1:27" s="46" customFormat="1" hidden="1" x14ac:dyDescent="0.25">
      <c r="B193" s="58"/>
      <c r="C193" s="59" t="e">
        <v>#N/A</v>
      </c>
      <c r="D193" s="59" t="e">
        <v>#N/A</v>
      </c>
      <c r="E193" s="58"/>
      <c r="F193" s="61"/>
      <c r="G193" s="61"/>
      <c r="H193" s="64"/>
      <c r="I193" s="64"/>
      <c r="J193" s="61"/>
      <c r="K193" s="61"/>
      <c r="L193" s="61"/>
      <c r="M193" s="61"/>
      <c r="N193" s="61"/>
      <c r="O193" s="58"/>
      <c r="P193" s="58"/>
      <c r="Q193" s="13" t="e">
        <v>#N/A</v>
      </c>
      <c r="R193" s="13" t="e">
        <v>#N/A</v>
      </c>
      <c r="S193" s="13"/>
      <c r="T193" s="62"/>
      <c r="U193" s="13"/>
      <c r="V193" s="13"/>
      <c r="W193" s="13"/>
      <c r="X193" s="58"/>
      <c r="Y193" s="51">
        <f ca="1">Table25[[#This Row],[End Date]]+2-TODAY()</f>
        <v>-46242</v>
      </c>
      <c r="Z193" s="13">
        <f>IF(ISBLANK(Table25[[#This Row],[Roster Received By]]),1,0)</f>
        <v>1</v>
      </c>
      <c r="AA193" s="13">
        <f ca="1">IF(Table25[[#This Row],[Start Date]]&gt;TODAY(),1,)</f>
        <v>0</v>
      </c>
    </row>
    <row r="194" spans="1:27" s="46" customFormat="1" hidden="1" x14ac:dyDescent="0.25">
      <c r="B194" s="58"/>
      <c r="C194" s="59" t="e">
        <v>#N/A</v>
      </c>
      <c r="D194" s="59" t="e">
        <v>#N/A</v>
      </c>
      <c r="E194" s="58"/>
      <c r="F194" s="61"/>
      <c r="G194" s="61"/>
      <c r="H194" s="61"/>
      <c r="I194" s="60"/>
      <c r="J194" s="60"/>
      <c r="K194" s="60"/>
      <c r="L194" s="60"/>
      <c r="M194" s="60"/>
      <c r="N194" s="60"/>
      <c r="O194" s="58"/>
      <c r="P194" s="58"/>
      <c r="Q194" s="13" t="e">
        <v>#N/A</v>
      </c>
      <c r="R194" s="13" t="e">
        <v>#N/A</v>
      </c>
      <c r="S194" s="13"/>
      <c r="T194" s="62"/>
      <c r="U194" s="13"/>
      <c r="V194" s="13"/>
      <c r="W194" s="13"/>
      <c r="X194" s="58"/>
      <c r="Y194" s="51">
        <f ca="1">Table25[[#This Row],[End Date]]+2-TODAY()</f>
        <v>-46242</v>
      </c>
      <c r="Z194" s="13">
        <f>IF(ISBLANK(Table25[[#This Row],[Roster Received By]]),1,0)</f>
        <v>1</v>
      </c>
      <c r="AA194" s="13">
        <f ca="1">IF(Table25[[#This Row],[Start Date]]&gt;TODAY(),1,)</f>
        <v>0</v>
      </c>
    </row>
    <row r="195" spans="1:27" s="46" customFormat="1" hidden="1" x14ac:dyDescent="0.25">
      <c r="B195" s="47"/>
      <c r="C195" s="59" t="e">
        <v>#N/A</v>
      </c>
      <c r="D195" s="59" t="e">
        <v>#N/A</v>
      </c>
      <c r="E195" s="47"/>
      <c r="F195" s="49"/>
      <c r="G195" s="49"/>
      <c r="H195" s="60"/>
      <c r="I195" s="60"/>
      <c r="J195" s="61"/>
      <c r="K195" s="61"/>
      <c r="L195" s="61"/>
      <c r="M195" s="61"/>
      <c r="N195" s="61"/>
      <c r="O195" s="58"/>
      <c r="P195" s="58"/>
      <c r="Q195" s="13" t="e">
        <v>#N/A</v>
      </c>
      <c r="R195" s="13" t="e">
        <v>#N/A</v>
      </c>
      <c r="S195" s="13"/>
      <c r="T195" s="62"/>
      <c r="U195" s="13"/>
      <c r="V195" s="13"/>
      <c r="W195" s="13"/>
      <c r="X195" s="58"/>
      <c r="Y195" s="51">
        <f ca="1">Table25[[#This Row],[End Date]]+2-TODAY()</f>
        <v>-46242</v>
      </c>
      <c r="Z195" s="13">
        <f>IF(ISBLANK(Table25[[#This Row],[Roster Received By]]),1,0)</f>
        <v>1</v>
      </c>
      <c r="AA195" s="13">
        <f ca="1">IF(Table25[[#This Row],[Start Date]]&gt;TODAY(),1,)</f>
        <v>0</v>
      </c>
    </row>
    <row r="196" spans="1:27" s="46" customFormat="1" hidden="1" x14ac:dyDescent="0.25">
      <c r="B196" s="58"/>
      <c r="C196" s="59" t="e">
        <v>#N/A</v>
      </c>
      <c r="D196" s="59" t="e">
        <v>#N/A</v>
      </c>
      <c r="E196" s="58"/>
      <c r="F196" s="61"/>
      <c r="G196" s="61"/>
      <c r="H196" s="61"/>
      <c r="I196" s="60"/>
      <c r="J196" s="60"/>
      <c r="K196" s="60"/>
      <c r="L196" s="60"/>
      <c r="M196" s="60"/>
      <c r="N196" s="60"/>
      <c r="O196" s="58"/>
      <c r="P196" s="58"/>
      <c r="Q196" s="13" t="e">
        <v>#N/A</v>
      </c>
      <c r="R196" s="13" t="e">
        <v>#N/A</v>
      </c>
      <c r="S196" s="13"/>
      <c r="T196" s="62"/>
      <c r="U196" s="13"/>
      <c r="V196" s="13"/>
      <c r="W196" s="13"/>
      <c r="X196" s="58"/>
      <c r="Y196" s="51">
        <f ca="1">Table25[[#This Row],[End Date]]+2-TODAY()</f>
        <v>-46242</v>
      </c>
      <c r="Z196" s="13">
        <f>IF(ISBLANK(Table25[[#This Row],[Roster Received By]]),1,0)</f>
        <v>1</v>
      </c>
      <c r="AA196" s="13">
        <f ca="1">IF(Table25[[#This Row],[Start Date]]&gt;TODAY(),1,)</f>
        <v>0</v>
      </c>
    </row>
    <row r="197" spans="1:27" s="46" customFormat="1" hidden="1" x14ac:dyDescent="0.25">
      <c r="B197" s="58"/>
      <c r="C197" s="59" t="e">
        <v>#N/A</v>
      </c>
      <c r="D197" s="59" t="e">
        <v>#N/A</v>
      </c>
      <c r="E197" s="58"/>
      <c r="F197" s="61"/>
      <c r="G197" s="61"/>
      <c r="H197" s="61"/>
      <c r="I197" s="60"/>
      <c r="J197" s="60"/>
      <c r="K197" s="60"/>
      <c r="L197" s="60"/>
      <c r="M197" s="60"/>
      <c r="N197" s="60"/>
      <c r="O197" s="58"/>
      <c r="P197" s="58"/>
      <c r="Q197" s="13" t="e">
        <v>#N/A</v>
      </c>
      <c r="R197" s="13" t="e">
        <v>#N/A</v>
      </c>
      <c r="S197" s="13"/>
      <c r="T197" s="62"/>
      <c r="U197" s="13"/>
      <c r="V197" s="13"/>
      <c r="W197" s="13"/>
      <c r="X197" s="58"/>
      <c r="Y197" s="51">
        <f ca="1">Table25[[#This Row],[End Date]]+2-TODAY()</f>
        <v>-46242</v>
      </c>
      <c r="Z197" s="13">
        <f>IF(ISBLANK(Table25[[#This Row],[Roster Received By]]),1,0)</f>
        <v>1</v>
      </c>
      <c r="AA197" s="13">
        <f ca="1">IF(Table25[[#This Row],[Start Date]]&gt;TODAY(),1,)</f>
        <v>0</v>
      </c>
    </row>
    <row r="198" spans="1:27" s="46" customFormat="1" hidden="1" x14ac:dyDescent="0.25">
      <c r="B198" s="58"/>
      <c r="C198" s="59" t="e">
        <v>#N/A</v>
      </c>
      <c r="D198" s="59" t="e">
        <v>#N/A</v>
      </c>
      <c r="E198" s="58"/>
      <c r="F198" s="61"/>
      <c r="G198" s="61"/>
      <c r="H198" s="61"/>
      <c r="I198" s="60"/>
      <c r="J198" s="60"/>
      <c r="K198" s="60"/>
      <c r="L198" s="60"/>
      <c r="M198" s="60"/>
      <c r="N198" s="60"/>
      <c r="O198" s="58"/>
      <c r="P198" s="58"/>
      <c r="Q198" s="13" t="e">
        <v>#N/A</v>
      </c>
      <c r="R198" s="13" t="e">
        <v>#N/A</v>
      </c>
      <c r="S198" s="13"/>
      <c r="T198" s="62"/>
      <c r="U198" s="13"/>
      <c r="V198" s="13"/>
      <c r="W198" s="13"/>
      <c r="X198" s="58"/>
      <c r="Y198" s="51">
        <f ca="1">Table25[[#This Row],[End Date]]+2-TODAY()</f>
        <v>-46242</v>
      </c>
      <c r="Z198" s="13">
        <f>IF(ISBLANK(Table25[[#This Row],[Roster Received By]]),1,0)</f>
        <v>1</v>
      </c>
      <c r="AA198" s="13">
        <f ca="1">IF(Table25[[#This Row],[Start Date]]&gt;TODAY(),1,)</f>
        <v>0</v>
      </c>
    </row>
    <row r="199" spans="1:27" s="46" customFormat="1" hidden="1" x14ac:dyDescent="0.25">
      <c r="A199" s="58"/>
      <c r="B199" s="58"/>
      <c r="C199" s="59" t="e">
        <v>#N/A</v>
      </c>
      <c r="D199" s="59" t="e">
        <v>#N/A</v>
      </c>
      <c r="E199" s="47"/>
      <c r="F199" s="61"/>
      <c r="G199" s="61"/>
      <c r="H199" s="64"/>
      <c r="I199" s="64"/>
      <c r="J199" s="61"/>
      <c r="K199" s="61"/>
      <c r="L199" s="61"/>
      <c r="M199" s="61"/>
      <c r="N199" s="61"/>
      <c r="O199" s="58"/>
      <c r="P199" s="58"/>
      <c r="Q199" s="13" t="e">
        <v>#N/A</v>
      </c>
      <c r="R199" s="13" t="e">
        <v>#N/A</v>
      </c>
      <c r="S199" s="13"/>
      <c r="T199" s="62"/>
      <c r="U199" s="13"/>
      <c r="V199" s="13"/>
      <c r="W199" s="13"/>
      <c r="X199" s="58"/>
      <c r="Y199" s="51">
        <f ca="1">Table25[[#This Row],[End Date]]+2-TODAY()</f>
        <v>-46242</v>
      </c>
      <c r="Z199" s="13">
        <f>IF(ISBLANK(Table25[[#This Row],[Roster Received By]]),1,0)</f>
        <v>1</v>
      </c>
      <c r="AA199" s="13">
        <f ca="1">IF(Table25[[#This Row],[Start Date]]&gt;TODAY(),1,)</f>
        <v>0</v>
      </c>
    </row>
    <row r="200" spans="1:27" s="46" customFormat="1" hidden="1" x14ac:dyDescent="0.25">
      <c r="B200" s="58"/>
      <c r="C200" s="59" t="e">
        <v>#N/A</v>
      </c>
      <c r="D200" s="59" t="e">
        <v>#N/A</v>
      </c>
      <c r="E200" s="58"/>
      <c r="F200" s="69"/>
      <c r="G200" s="69"/>
      <c r="H200" s="61"/>
      <c r="I200" s="60"/>
      <c r="J200" s="60"/>
      <c r="K200" s="60"/>
      <c r="L200" s="60"/>
      <c r="M200" s="60"/>
      <c r="N200" s="60"/>
      <c r="O200" s="58"/>
      <c r="P200" s="58"/>
      <c r="Q200" s="13" t="e">
        <v>#N/A</v>
      </c>
      <c r="R200" s="13" t="e">
        <v>#N/A</v>
      </c>
      <c r="S200" s="13"/>
      <c r="T200" s="62"/>
      <c r="U200" s="13"/>
      <c r="V200" s="13"/>
      <c r="W200" s="13"/>
      <c r="X200" s="58"/>
      <c r="Y200" s="51">
        <f ca="1">Table25[[#This Row],[End Date]]+2-TODAY()</f>
        <v>-46242</v>
      </c>
      <c r="Z200" s="13">
        <f>IF(ISBLANK(Table25[[#This Row],[Roster Received By]]),1,0)</f>
        <v>1</v>
      </c>
      <c r="AA200" s="13">
        <f ca="1">IF(Table25[[#This Row],[Start Date]]&gt;TODAY(),1,)</f>
        <v>0</v>
      </c>
    </row>
    <row r="201" spans="1:27" s="46" customFormat="1" hidden="1" x14ac:dyDescent="0.25">
      <c r="B201" s="58"/>
      <c r="C201" s="59" t="e">
        <v>#N/A</v>
      </c>
      <c r="D201" s="59" t="e">
        <v>#N/A</v>
      </c>
      <c r="E201" s="47"/>
      <c r="F201" s="49"/>
      <c r="G201" s="49"/>
      <c r="H201" s="60"/>
      <c r="I201" s="60"/>
      <c r="J201" s="61"/>
      <c r="K201" s="61"/>
      <c r="L201" s="61"/>
      <c r="M201" s="61"/>
      <c r="N201" s="61"/>
      <c r="O201" s="58"/>
      <c r="P201" s="58"/>
      <c r="Q201" s="13" t="e">
        <v>#N/A</v>
      </c>
      <c r="R201" s="13" t="e">
        <v>#N/A</v>
      </c>
      <c r="S201" s="13"/>
      <c r="T201" s="62"/>
      <c r="U201" s="13"/>
      <c r="V201" s="13"/>
      <c r="W201" s="13"/>
      <c r="X201" s="58"/>
      <c r="Y201" s="51">
        <f ca="1">Table25[[#This Row],[End Date]]+2-TODAY()</f>
        <v>-46242</v>
      </c>
      <c r="Z201" s="13">
        <f>IF(ISBLANK(Table25[[#This Row],[Roster Received By]]),1,0)</f>
        <v>1</v>
      </c>
      <c r="AA201" s="13">
        <f ca="1">IF(Table25[[#This Row],[Start Date]]&gt;TODAY(),1,)</f>
        <v>0</v>
      </c>
    </row>
    <row r="202" spans="1:27" s="46" customFormat="1" hidden="1" x14ac:dyDescent="0.25">
      <c r="B202" s="58"/>
      <c r="C202" s="59" t="e">
        <v>#N/A</v>
      </c>
      <c r="D202" s="59" t="e">
        <v>#N/A</v>
      </c>
      <c r="E202" s="58"/>
      <c r="F202" s="49"/>
      <c r="G202" s="61"/>
      <c r="H202" s="61"/>
      <c r="I202" s="60"/>
      <c r="J202" s="60"/>
      <c r="K202" s="60"/>
      <c r="L202" s="60"/>
      <c r="M202" s="60"/>
      <c r="N202" s="60"/>
      <c r="O202" s="58"/>
      <c r="P202" s="58"/>
      <c r="Q202" s="13" t="e">
        <v>#N/A</v>
      </c>
      <c r="R202" s="13" t="e">
        <v>#N/A</v>
      </c>
      <c r="S202" s="13"/>
      <c r="T202" s="62"/>
      <c r="U202" s="13"/>
      <c r="V202" s="13"/>
      <c r="W202" s="13"/>
      <c r="X202" s="58"/>
      <c r="Y202" s="51">
        <f ca="1">Table25[[#This Row],[End Date]]+2-TODAY()</f>
        <v>-46242</v>
      </c>
      <c r="Z202" s="13">
        <f>IF(ISBLANK(Table25[[#This Row],[Roster Received By]]),1,0)</f>
        <v>1</v>
      </c>
      <c r="AA202" s="13">
        <f ca="1">IF(Table25[[#This Row],[Start Date]]&gt;TODAY(),1,)</f>
        <v>0</v>
      </c>
    </row>
    <row r="203" spans="1:27" s="46" customFormat="1" hidden="1" x14ac:dyDescent="0.25">
      <c r="B203" s="58"/>
      <c r="C203" s="59" t="e">
        <v>#N/A</v>
      </c>
      <c r="D203" s="59" t="e">
        <v>#N/A</v>
      </c>
      <c r="E203" s="58"/>
      <c r="F203" s="61"/>
      <c r="G203" s="61"/>
      <c r="H203" s="64"/>
      <c r="I203" s="64"/>
      <c r="J203" s="61"/>
      <c r="K203" s="61"/>
      <c r="L203" s="61"/>
      <c r="M203" s="61"/>
      <c r="N203" s="61"/>
      <c r="O203" s="58"/>
      <c r="P203" s="58"/>
      <c r="Q203" s="13" t="e">
        <v>#N/A</v>
      </c>
      <c r="R203" s="13" t="e">
        <v>#N/A</v>
      </c>
      <c r="S203" s="13"/>
      <c r="T203" s="62"/>
      <c r="U203" s="13"/>
      <c r="V203" s="13"/>
      <c r="W203" s="13"/>
      <c r="X203" s="58"/>
      <c r="Y203" s="51">
        <f ca="1">Table25[[#This Row],[End Date]]+2-TODAY()</f>
        <v>-46242</v>
      </c>
      <c r="Z203" s="13">
        <f>IF(ISBLANK(Table25[[#This Row],[Roster Received By]]),1,0)</f>
        <v>1</v>
      </c>
      <c r="AA203" s="13">
        <f ca="1">IF(Table25[[#This Row],[Start Date]]&gt;TODAY(),1,)</f>
        <v>0</v>
      </c>
    </row>
    <row r="204" spans="1:27" s="46" customFormat="1" hidden="1" x14ac:dyDescent="0.25">
      <c r="B204" s="58"/>
      <c r="C204" s="59" t="e">
        <v>#N/A</v>
      </c>
      <c r="D204" s="59" t="e">
        <v>#N/A</v>
      </c>
      <c r="E204" s="47"/>
      <c r="F204" s="49"/>
      <c r="G204" s="61"/>
      <c r="H204" s="64"/>
      <c r="I204" s="64"/>
      <c r="J204" s="61"/>
      <c r="K204" s="61"/>
      <c r="L204" s="61"/>
      <c r="M204" s="61"/>
      <c r="N204" s="61"/>
      <c r="O204" s="58"/>
      <c r="P204" s="58"/>
      <c r="Q204" s="13" t="e">
        <v>#N/A</v>
      </c>
      <c r="R204" s="13" t="e">
        <v>#N/A</v>
      </c>
      <c r="S204" s="13"/>
      <c r="T204" s="62"/>
      <c r="U204" s="13"/>
      <c r="V204" s="13"/>
      <c r="W204" s="13"/>
      <c r="X204" s="58"/>
      <c r="Y204" s="51">
        <f ca="1">Table25[[#This Row],[End Date]]+2-TODAY()</f>
        <v>-46242</v>
      </c>
      <c r="Z204" s="13">
        <f>IF(ISBLANK(Table25[[#This Row],[Roster Received By]]),1,0)</f>
        <v>1</v>
      </c>
      <c r="AA204" s="13">
        <f ca="1">IF(Table25[[#This Row],[Start Date]]&gt;TODAY(),1,)</f>
        <v>0</v>
      </c>
    </row>
    <row r="205" spans="1:27" s="46" customFormat="1" hidden="1" x14ac:dyDescent="0.25">
      <c r="B205" s="58"/>
      <c r="C205" s="59" t="e">
        <v>#N/A</v>
      </c>
      <c r="D205" s="59" t="e">
        <v>#N/A</v>
      </c>
      <c r="E205" s="58"/>
      <c r="F205" s="49"/>
      <c r="G205" s="49"/>
      <c r="H205" s="49"/>
      <c r="I205" s="60"/>
      <c r="J205" s="60"/>
      <c r="K205" s="60"/>
      <c r="L205" s="60"/>
      <c r="M205" s="60"/>
      <c r="N205" s="60"/>
      <c r="O205" s="58"/>
      <c r="P205" s="58"/>
      <c r="Q205" s="13" t="e">
        <v>#N/A</v>
      </c>
      <c r="R205" s="13" t="e">
        <v>#N/A</v>
      </c>
      <c r="S205" s="13"/>
      <c r="T205" s="62"/>
      <c r="U205" s="13"/>
      <c r="V205" s="13"/>
      <c r="W205" s="13"/>
      <c r="X205" s="58"/>
      <c r="Y205" s="51">
        <f ca="1">Table25[[#This Row],[End Date]]+2-TODAY()</f>
        <v>-46242</v>
      </c>
      <c r="Z205" s="13">
        <f>IF(ISBLANK(Table25[[#This Row],[Roster Received By]]),1,0)</f>
        <v>1</v>
      </c>
      <c r="AA205" s="13">
        <f ca="1">IF(Table25[[#This Row],[Start Date]]&gt;TODAY(),1,)</f>
        <v>0</v>
      </c>
    </row>
    <row r="206" spans="1:27" s="46" customFormat="1" hidden="1" x14ac:dyDescent="0.25">
      <c r="B206" s="58"/>
      <c r="C206" s="59" t="e">
        <v>#N/A</v>
      </c>
      <c r="D206" s="59" t="e">
        <v>#N/A</v>
      </c>
      <c r="E206" s="58"/>
      <c r="F206" s="61"/>
      <c r="G206" s="61"/>
      <c r="H206" s="64"/>
      <c r="I206" s="64"/>
      <c r="J206" s="64"/>
      <c r="K206" s="64"/>
      <c r="L206" s="64"/>
      <c r="M206" s="64"/>
      <c r="N206" s="64"/>
      <c r="O206" s="58"/>
      <c r="P206" s="58"/>
      <c r="Q206" s="13" t="e">
        <v>#N/A</v>
      </c>
      <c r="R206" s="13" t="e">
        <v>#N/A</v>
      </c>
      <c r="S206" s="13"/>
      <c r="T206" s="62"/>
      <c r="U206" s="13"/>
      <c r="V206" s="13"/>
      <c r="W206" s="13"/>
      <c r="X206" s="58"/>
      <c r="Y206" s="51">
        <f ca="1">Table25[[#This Row],[End Date]]+2-TODAY()</f>
        <v>-46242</v>
      </c>
      <c r="Z206" s="13">
        <f>IF(ISBLANK(Table25[[#This Row],[Roster Received By]]),1,0)</f>
        <v>1</v>
      </c>
      <c r="AA206" s="13">
        <f ca="1">IF(Table25[[#This Row],[Start Date]]&gt;TODAY(),1,)</f>
        <v>0</v>
      </c>
    </row>
    <row r="207" spans="1:27" s="46" customFormat="1" hidden="1" x14ac:dyDescent="0.25">
      <c r="B207" s="58"/>
      <c r="C207" s="59" t="e">
        <v>#N/A</v>
      </c>
      <c r="D207" s="59" t="e">
        <v>#N/A</v>
      </c>
      <c r="E207" s="58"/>
      <c r="F207" s="61"/>
      <c r="G207" s="61"/>
      <c r="H207" s="64"/>
      <c r="I207" s="64"/>
      <c r="J207" s="61"/>
      <c r="K207" s="61"/>
      <c r="L207" s="61"/>
      <c r="M207" s="61"/>
      <c r="N207" s="61"/>
      <c r="O207" s="58"/>
      <c r="P207" s="58"/>
      <c r="Q207" s="13" t="e">
        <v>#N/A</v>
      </c>
      <c r="R207" s="13" t="e">
        <v>#N/A</v>
      </c>
      <c r="S207" s="13"/>
      <c r="T207" s="62"/>
      <c r="U207" s="13"/>
      <c r="V207" s="13"/>
      <c r="W207" s="13"/>
      <c r="X207" s="58"/>
      <c r="Y207" s="51">
        <f ca="1">Table25[[#This Row],[End Date]]+2-TODAY()</f>
        <v>-46242</v>
      </c>
      <c r="Z207" s="13">
        <f>IF(ISBLANK(Table25[[#This Row],[Roster Received By]]),1,0)</f>
        <v>1</v>
      </c>
      <c r="AA207" s="13">
        <f ca="1">IF(Table25[[#This Row],[Start Date]]&gt;TODAY(),1,)</f>
        <v>0</v>
      </c>
    </row>
    <row r="208" spans="1:27" s="46" customFormat="1" hidden="1" x14ac:dyDescent="0.25">
      <c r="B208" s="58"/>
      <c r="C208" s="59" t="e">
        <v>#N/A</v>
      </c>
      <c r="D208" s="59" t="e">
        <v>#N/A</v>
      </c>
      <c r="E208" s="47"/>
      <c r="F208" s="61"/>
      <c r="G208" s="61"/>
      <c r="H208" s="64"/>
      <c r="I208" s="64"/>
      <c r="J208" s="61"/>
      <c r="K208" s="61"/>
      <c r="L208" s="61"/>
      <c r="M208" s="61"/>
      <c r="N208" s="61"/>
      <c r="O208" s="58"/>
      <c r="P208" s="58"/>
      <c r="Q208" s="13" t="e">
        <v>#N/A</v>
      </c>
      <c r="R208" s="13" t="e">
        <v>#N/A</v>
      </c>
      <c r="S208" s="13"/>
      <c r="T208" s="62"/>
      <c r="U208" s="13"/>
      <c r="V208" s="13"/>
      <c r="W208" s="59"/>
      <c r="X208" s="58"/>
      <c r="Y208" s="51">
        <f ca="1">Table25[[#This Row],[End Date]]+2-TODAY()</f>
        <v>-46242</v>
      </c>
      <c r="Z208" s="13">
        <f>IF(ISBLANK(Table25[[#This Row],[Roster Received By]]),1,0)</f>
        <v>1</v>
      </c>
      <c r="AA208" s="13">
        <f ca="1">IF(Table25[[#This Row],[Start Date]]&gt;TODAY(),1,)</f>
        <v>0</v>
      </c>
    </row>
    <row r="209" spans="2:27" s="46" customFormat="1" hidden="1" x14ac:dyDescent="0.25">
      <c r="B209" s="58"/>
      <c r="C209" s="59" t="e">
        <v>#N/A</v>
      </c>
      <c r="D209" s="59" t="e">
        <v>#N/A</v>
      </c>
      <c r="E209" s="47"/>
      <c r="F209" s="61"/>
      <c r="G209" s="61"/>
      <c r="H209" s="64"/>
      <c r="I209" s="64"/>
      <c r="J209" s="61"/>
      <c r="K209" s="61"/>
      <c r="L209" s="61"/>
      <c r="M209" s="61"/>
      <c r="N209" s="61"/>
      <c r="O209" s="58"/>
      <c r="P209" s="58"/>
      <c r="Q209" s="13" t="e">
        <v>#N/A</v>
      </c>
      <c r="R209" s="13" t="e">
        <v>#N/A</v>
      </c>
      <c r="S209" s="13"/>
      <c r="T209" s="62"/>
      <c r="U209" s="13"/>
      <c r="V209" s="13"/>
      <c r="W209" s="13"/>
      <c r="X209" s="58"/>
      <c r="Y209" s="51">
        <f ca="1">Table25[[#This Row],[End Date]]+2-TODAY()</f>
        <v>-46242</v>
      </c>
      <c r="Z209" s="13">
        <f>IF(ISBLANK(Table25[[#This Row],[Roster Received By]]),1,0)</f>
        <v>1</v>
      </c>
      <c r="AA209" s="13">
        <f ca="1">IF(Table25[[#This Row],[Start Date]]&gt;TODAY(),1,)</f>
        <v>0</v>
      </c>
    </row>
    <row r="210" spans="2:27" s="46" customFormat="1" hidden="1" x14ac:dyDescent="0.25">
      <c r="B210" s="58"/>
      <c r="C210" s="59" t="e">
        <v>#N/A</v>
      </c>
      <c r="D210" s="59" t="e">
        <v>#N/A</v>
      </c>
      <c r="E210" s="47"/>
      <c r="F210" s="61"/>
      <c r="G210" s="61"/>
      <c r="H210" s="64"/>
      <c r="I210" s="64"/>
      <c r="J210" s="61"/>
      <c r="K210" s="61"/>
      <c r="L210" s="61"/>
      <c r="M210" s="61"/>
      <c r="N210" s="61"/>
      <c r="O210" s="58"/>
      <c r="P210" s="58"/>
      <c r="Q210" s="13" t="e">
        <v>#N/A</v>
      </c>
      <c r="R210" s="13" t="e">
        <v>#N/A</v>
      </c>
      <c r="S210" s="13"/>
      <c r="T210" s="62"/>
      <c r="U210" s="13"/>
      <c r="V210" s="13"/>
      <c r="W210" s="13"/>
      <c r="X210" s="58"/>
      <c r="Y210" s="51">
        <f ca="1">Table25[[#This Row],[End Date]]+2-TODAY()</f>
        <v>-46242</v>
      </c>
      <c r="Z210" s="13">
        <f>IF(ISBLANK(Table25[[#This Row],[Roster Received By]]),1,0)</f>
        <v>1</v>
      </c>
      <c r="AA210" s="13">
        <f ca="1">IF(Table25[[#This Row],[Start Date]]&gt;TODAY(),1,)</f>
        <v>0</v>
      </c>
    </row>
    <row r="211" spans="2:27" s="46" customFormat="1" hidden="1" x14ac:dyDescent="0.25">
      <c r="B211" s="58"/>
      <c r="C211" s="59" t="e">
        <v>#N/A</v>
      </c>
      <c r="D211" s="59" t="e">
        <v>#N/A</v>
      </c>
      <c r="E211" s="58"/>
      <c r="F211" s="61"/>
      <c r="G211" s="61"/>
      <c r="H211" s="64"/>
      <c r="I211" s="64"/>
      <c r="J211" s="61"/>
      <c r="K211" s="61"/>
      <c r="L211" s="61"/>
      <c r="M211" s="61"/>
      <c r="N211" s="61"/>
      <c r="O211" s="58"/>
      <c r="P211" s="58"/>
      <c r="Q211" s="13" t="e">
        <v>#N/A</v>
      </c>
      <c r="R211" s="13" t="e">
        <v>#N/A</v>
      </c>
      <c r="S211" s="13"/>
      <c r="T211" s="62"/>
      <c r="U211" s="13"/>
      <c r="V211" s="13"/>
      <c r="W211" s="13"/>
      <c r="X211" s="58"/>
      <c r="Y211" s="51">
        <f ca="1">Table25[[#This Row],[End Date]]+2-TODAY()</f>
        <v>-46242</v>
      </c>
      <c r="Z211" s="13">
        <f>IF(ISBLANK(Table25[[#This Row],[Roster Received By]]),1,0)</f>
        <v>1</v>
      </c>
      <c r="AA211" s="13">
        <f ca="1">IF(Table25[[#This Row],[Start Date]]&gt;TODAY(),1,)</f>
        <v>0</v>
      </c>
    </row>
    <row r="212" spans="2:27" s="46" customFormat="1" hidden="1" x14ac:dyDescent="0.25">
      <c r="B212" s="58"/>
      <c r="C212" s="59" t="e">
        <v>#N/A</v>
      </c>
      <c r="D212" s="59" t="e">
        <v>#N/A</v>
      </c>
      <c r="E212" s="58"/>
      <c r="F212" s="61"/>
      <c r="G212" s="61"/>
      <c r="H212" s="64"/>
      <c r="I212" s="64"/>
      <c r="J212" s="61"/>
      <c r="K212" s="61"/>
      <c r="L212" s="61"/>
      <c r="M212" s="61"/>
      <c r="N212" s="61"/>
      <c r="O212" s="58"/>
      <c r="P212" s="58"/>
      <c r="Q212" s="13" t="e">
        <v>#N/A</v>
      </c>
      <c r="R212" s="13" t="e">
        <v>#N/A</v>
      </c>
      <c r="S212" s="13"/>
      <c r="T212" s="62"/>
      <c r="U212" s="13"/>
      <c r="V212" s="13"/>
      <c r="W212" s="13"/>
      <c r="X212" s="58"/>
      <c r="Y212" s="51">
        <f ca="1">Table25[[#This Row],[End Date]]+2-TODAY()</f>
        <v>-46242</v>
      </c>
      <c r="Z212" s="13">
        <f>IF(ISBLANK(Table25[[#This Row],[Roster Received By]]),1,0)</f>
        <v>1</v>
      </c>
      <c r="AA212" s="13">
        <f ca="1">IF(Table25[[#This Row],[Start Date]]&gt;TODAY(),1,)</f>
        <v>0</v>
      </c>
    </row>
    <row r="213" spans="2:27" s="46" customFormat="1" hidden="1" x14ac:dyDescent="0.25">
      <c r="B213" s="58"/>
      <c r="C213" s="59" t="e">
        <v>#N/A</v>
      </c>
      <c r="D213" s="59" t="e">
        <v>#N/A</v>
      </c>
      <c r="E213" s="58"/>
      <c r="F213" s="61"/>
      <c r="G213" s="61"/>
      <c r="H213" s="64"/>
      <c r="I213" s="64"/>
      <c r="J213" s="61"/>
      <c r="K213" s="61"/>
      <c r="L213" s="61"/>
      <c r="M213" s="61"/>
      <c r="N213" s="61"/>
      <c r="O213" s="58"/>
      <c r="P213" s="58"/>
      <c r="Q213" s="13" t="e">
        <v>#N/A</v>
      </c>
      <c r="R213" s="13" t="e">
        <v>#N/A</v>
      </c>
      <c r="S213" s="62"/>
      <c r="T213" s="62"/>
      <c r="U213" s="13"/>
      <c r="V213" s="13"/>
      <c r="W213" s="13"/>
      <c r="X213" s="58"/>
      <c r="Y213" s="51">
        <f ca="1">Table25[[#This Row],[End Date]]+2-TODAY()</f>
        <v>-46242</v>
      </c>
      <c r="Z213" s="13">
        <f>IF(ISBLANK(Table25[[#This Row],[Roster Received By]]),1,0)</f>
        <v>1</v>
      </c>
      <c r="AA213" s="13">
        <f ca="1">IF(Table25[[#This Row],[Start Date]]&gt;TODAY(),1,)</f>
        <v>0</v>
      </c>
    </row>
    <row r="214" spans="2:27" s="46" customFormat="1" hidden="1" x14ac:dyDescent="0.25">
      <c r="B214" s="58"/>
      <c r="C214" s="59" t="e">
        <v>#N/A</v>
      </c>
      <c r="D214" s="59" t="e">
        <v>#N/A</v>
      </c>
      <c r="E214" s="58"/>
      <c r="F214" s="61"/>
      <c r="G214" s="61"/>
      <c r="H214" s="64"/>
      <c r="I214" s="64"/>
      <c r="J214" s="64"/>
      <c r="K214" s="64"/>
      <c r="L214" s="64"/>
      <c r="M214" s="64"/>
      <c r="N214" s="61"/>
      <c r="O214" s="58"/>
      <c r="P214" s="58"/>
      <c r="Q214" s="13" t="e">
        <v>#N/A</v>
      </c>
      <c r="R214" s="13" t="e">
        <v>#N/A</v>
      </c>
      <c r="S214" s="13"/>
      <c r="T214" s="62"/>
      <c r="U214" s="13"/>
      <c r="V214" s="13"/>
      <c r="W214" s="13"/>
      <c r="X214" s="58"/>
      <c r="Y214" s="51">
        <f ca="1">Table25[[#This Row],[End Date]]+2-TODAY()</f>
        <v>-46242</v>
      </c>
      <c r="Z214" s="13">
        <f>IF(ISBLANK(Table25[[#This Row],[Roster Received By]]),1,0)</f>
        <v>1</v>
      </c>
      <c r="AA214" s="13">
        <f ca="1">IF(Table25[[#This Row],[Start Date]]&gt;TODAY(),1,)</f>
        <v>0</v>
      </c>
    </row>
    <row r="215" spans="2:27" s="46" customFormat="1" hidden="1" x14ac:dyDescent="0.25">
      <c r="B215" s="58"/>
      <c r="C215" s="59" t="e">
        <v>#N/A</v>
      </c>
      <c r="D215" s="59" t="e">
        <v>#N/A</v>
      </c>
      <c r="E215" s="58"/>
      <c r="F215" s="61"/>
      <c r="G215" s="61"/>
      <c r="H215" s="61"/>
      <c r="I215" s="60"/>
      <c r="J215" s="60"/>
      <c r="K215" s="60"/>
      <c r="L215" s="60"/>
      <c r="M215" s="60"/>
      <c r="N215" s="60"/>
      <c r="O215" s="58"/>
      <c r="P215" s="58"/>
      <c r="Q215" s="13" t="e">
        <v>#N/A</v>
      </c>
      <c r="R215" s="13" t="e">
        <v>#N/A</v>
      </c>
      <c r="S215" s="13"/>
      <c r="T215" s="62"/>
      <c r="U215" s="13"/>
      <c r="V215" s="13"/>
      <c r="W215" s="13"/>
      <c r="X215" s="58"/>
      <c r="Y215" s="51">
        <f ca="1">Table25[[#This Row],[End Date]]+2-TODAY()</f>
        <v>-46242</v>
      </c>
      <c r="Z215" s="13">
        <f>IF(ISBLANK(Table25[[#This Row],[Roster Received By]]),1,0)</f>
        <v>1</v>
      </c>
      <c r="AA215" s="13">
        <f ca="1">IF(Table25[[#This Row],[Start Date]]&gt;TODAY(),1,)</f>
        <v>0</v>
      </c>
    </row>
    <row r="216" spans="2:27" s="46" customFormat="1" hidden="1" x14ac:dyDescent="0.25">
      <c r="B216" s="58"/>
      <c r="C216" s="59" t="e">
        <v>#N/A</v>
      </c>
      <c r="D216" s="59" t="e">
        <v>#N/A</v>
      </c>
      <c r="E216" s="47"/>
      <c r="F216" s="61"/>
      <c r="G216" s="61"/>
      <c r="H216" s="64"/>
      <c r="I216" s="64"/>
      <c r="J216" s="61"/>
      <c r="K216" s="61"/>
      <c r="L216" s="61"/>
      <c r="M216" s="61"/>
      <c r="N216" s="61"/>
      <c r="O216" s="58"/>
      <c r="P216" s="58"/>
      <c r="Q216" s="13" t="e">
        <v>#N/A</v>
      </c>
      <c r="R216" s="13" t="e">
        <v>#N/A</v>
      </c>
      <c r="S216" s="13"/>
      <c r="T216" s="62"/>
      <c r="U216" s="13"/>
      <c r="V216" s="13"/>
      <c r="W216" s="13"/>
      <c r="X216" s="58"/>
      <c r="Y216" s="51">
        <f ca="1">Table25[[#This Row],[End Date]]+2-TODAY()</f>
        <v>-46242</v>
      </c>
      <c r="Z216" s="13">
        <f>IF(ISBLANK(Table25[[#This Row],[Roster Received By]]),1,0)</f>
        <v>1</v>
      </c>
      <c r="AA216" s="13">
        <f ca="1">IF(Table25[[#This Row],[Start Date]]&gt;TODAY(),1,)</f>
        <v>0</v>
      </c>
    </row>
    <row r="217" spans="2:27" s="46" customFormat="1" hidden="1" x14ac:dyDescent="0.25">
      <c r="B217" s="58"/>
      <c r="C217" s="59" t="e">
        <v>#N/A</v>
      </c>
      <c r="D217" s="59" t="e">
        <v>#N/A</v>
      </c>
      <c r="E217" s="58"/>
      <c r="F217" s="61"/>
      <c r="G217" s="61"/>
      <c r="H217" s="64"/>
      <c r="I217" s="64"/>
      <c r="J217" s="93"/>
      <c r="K217" s="93"/>
      <c r="L217" s="93"/>
      <c r="M217" s="93"/>
      <c r="N217" s="61"/>
      <c r="O217" s="58"/>
      <c r="P217" s="58"/>
      <c r="Q217" s="13" t="e">
        <v>#N/A</v>
      </c>
      <c r="R217" s="13" t="e">
        <v>#N/A</v>
      </c>
      <c r="S217" s="13"/>
      <c r="T217" s="62"/>
      <c r="U217" s="13"/>
      <c r="V217" s="13"/>
      <c r="W217" s="66"/>
      <c r="X217" s="58"/>
      <c r="Y217" s="51">
        <f ca="1">Table25[[#This Row],[End Date]]+2-TODAY()</f>
        <v>-46242</v>
      </c>
      <c r="Z217" s="13">
        <f>IF(ISBLANK(Table25[[#This Row],[Roster Received By]]),1,0)</f>
        <v>1</v>
      </c>
      <c r="AA217" s="13">
        <f ca="1">IF(Table25[[#This Row],[Start Date]]&gt;TODAY(),1,)</f>
        <v>0</v>
      </c>
    </row>
    <row r="218" spans="2:27" s="46" customFormat="1" hidden="1" x14ac:dyDescent="0.25">
      <c r="B218" s="58"/>
      <c r="C218" s="59" t="e">
        <v>#N/A</v>
      </c>
      <c r="D218" s="59" t="e">
        <v>#N/A</v>
      </c>
      <c r="E218" s="58"/>
      <c r="F218" s="61"/>
      <c r="G218" s="61"/>
      <c r="H218" s="61"/>
      <c r="I218" s="60"/>
      <c r="J218" s="60"/>
      <c r="K218" s="60"/>
      <c r="L218" s="60"/>
      <c r="M218" s="60"/>
      <c r="N218" s="60"/>
      <c r="O218" s="58"/>
      <c r="P218" s="58"/>
      <c r="Q218" s="13" t="e">
        <v>#N/A</v>
      </c>
      <c r="R218" s="13" t="e">
        <v>#N/A</v>
      </c>
      <c r="S218" s="13"/>
      <c r="T218" s="62"/>
      <c r="U218" s="13"/>
      <c r="V218" s="13"/>
      <c r="W218" s="13"/>
      <c r="X218" s="58"/>
      <c r="Y218" s="51">
        <f ca="1">Table25[[#This Row],[End Date]]+2-TODAY()</f>
        <v>-46242</v>
      </c>
      <c r="Z218" s="13">
        <f>IF(ISBLANK(Table25[[#This Row],[Roster Received By]]),1,0)</f>
        <v>1</v>
      </c>
      <c r="AA218" s="13">
        <f ca="1">IF(Table25[[#This Row],[Start Date]]&gt;TODAY(),1,)</f>
        <v>0</v>
      </c>
    </row>
    <row r="219" spans="2:27" s="46" customFormat="1" hidden="1" x14ac:dyDescent="0.25">
      <c r="B219" s="58"/>
      <c r="C219" s="59" t="e">
        <v>#N/A</v>
      </c>
      <c r="D219" s="59" t="e">
        <v>#N/A</v>
      </c>
      <c r="E219" s="58"/>
      <c r="F219" s="61"/>
      <c r="G219" s="61"/>
      <c r="H219" s="61"/>
      <c r="I219" s="60"/>
      <c r="J219" s="60"/>
      <c r="K219" s="60"/>
      <c r="L219" s="60"/>
      <c r="M219" s="60"/>
      <c r="N219" s="60"/>
      <c r="O219" s="58"/>
      <c r="P219" s="58"/>
      <c r="Q219" s="13" t="e">
        <v>#N/A</v>
      </c>
      <c r="R219" s="13" t="e">
        <v>#N/A</v>
      </c>
      <c r="S219" s="13"/>
      <c r="T219" s="62"/>
      <c r="U219" s="13"/>
      <c r="V219" s="13"/>
      <c r="W219" s="13"/>
      <c r="X219" s="58"/>
      <c r="Y219" s="51">
        <f ca="1">Table25[[#This Row],[End Date]]+2-TODAY()</f>
        <v>-46242</v>
      </c>
      <c r="Z219" s="13">
        <f>IF(ISBLANK(Table25[[#This Row],[Roster Received By]]),1,0)</f>
        <v>1</v>
      </c>
      <c r="AA219" s="13">
        <f ca="1">IF(Table25[[#This Row],[Start Date]]&gt;TODAY(),1,)</f>
        <v>0</v>
      </c>
    </row>
    <row r="220" spans="2:27" s="46" customFormat="1" hidden="1" x14ac:dyDescent="0.25">
      <c r="B220" s="58"/>
      <c r="C220" s="59" t="e">
        <v>#N/A</v>
      </c>
      <c r="D220" s="59" t="e">
        <v>#N/A</v>
      </c>
      <c r="E220" s="58"/>
      <c r="F220" s="61"/>
      <c r="G220" s="61"/>
      <c r="H220" s="61"/>
      <c r="I220" s="60"/>
      <c r="J220" s="60"/>
      <c r="K220" s="60"/>
      <c r="L220" s="60"/>
      <c r="M220" s="60"/>
      <c r="N220" s="60"/>
      <c r="O220" s="58"/>
      <c r="P220" s="58"/>
      <c r="Q220" s="13" t="e">
        <v>#N/A</v>
      </c>
      <c r="R220" s="13" t="e">
        <v>#N/A</v>
      </c>
      <c r="S220" s="13"/>
      <c r="T220" s="62"/>
      <c r="U220" s="13"/>
      <c r="V220" s="13"/>
      <c r="W220" s="13"/>
      <c r="X220" s="58"/>
      <c r="Y220" s="51">
        <f ca="1">Table25[[#This Row],[End Date]]+2-TODAY()</f>
        <v>-46242</v>
      </c>
      <c r="Z220" s="13">
        <f>IF(ISBLANK(Table25[[#This Row],[Roster Received By]]),1,0)</f>
        <v>1</v>
      </c>
      <c r="AA220" s="13">
        <f ca="1">IF(Table25[[#This Row],[Start Date]]&gt;TODAY(),1,)</f>
        <v>0</v>
      </c>
    </row>
    <row r="221" spans="2:27" s="46" customFormat="1" hidden="1" x14ac:dyDescent="0.25">
      <c r="B221" s="58"/>
      <c r="C221" s="59" t="e">
        <v>#N/A</v>
      </c>
      <c r="D221" s="59" t="e">
        <v>#N/A</v>
      </c>
      <c r="E221" s="47"/>
      <c r="F221" s="61"/>
      <c r="G221" s="61"/>
      <c r="H221" s="67"/>
      <c r="I221" s="67"/>
      <c r="J221" s="61"/>
      <c r="K221" s="61"/>
      <c r="L221" s="61"/>
      <c r="M221" s="61"/>
      <c r="N221" s="61"/>
      <c r="O221" s="58"/>
      <c r="P221" s="58"/>
      <c r="Q221" s="13" t="e">
        <v>#N/A</v>
      </c>
      <c r="R221" s="13" t="e">
        <v>#N/A</v>
      </c>
      <c r="S221" s="13"/>
      <c r="T221" s="62"/>
      <c r="U221" s="13"/>
      <c r="V221" s="13"/>
      <c r="W221" s="62"/>
      <c r="X221" s="58"/>
      <c r="Y221" s="51">
        <f ca="1">Table25[[#This Row],[End Date]]+2-TODAY()</f>
        <v>-46242</v>
      </c>
      <c r="Z221" s="13">
        <f>IF(ISBLANK(Table25[[#This Row],[Roster Received By]]),1,0)</f>
        <v>1</v>
      </c>
      <c r="AA221" s="13">
        <f ca="1">IF(Table25[[#This Row],[Start Date]]&gt;TODAY(),1,)</f>
        <v>0</v>
      </c>
    </row>
    <row r="222" spans="2:27" s="46" customFormat="1" hidden="1" x14ac:dyDescent="0.25">
      <c r="B222" s="58"/>
      <c r="C222" s="59" t="e">
        <v>#N/A</v>
      </c>
      <c r="D222" s="59" t="e">
        <v>#N/A</v>
      </c>
      <c r="E222" s="58"/>
      <c r="F222" s="61"/>
      <c r="G222" s="61"/>
      <c r="H222" s="61"/>
      <c r="I222" s="60"/>
      <c r="J222" s="60"/>
      <c r="K222" s="60"/>
      <c r="L222" s="60"/>
      <c r="M222" s="60"/>
      <c r="N222" s="60"/>
      <c r="O222" s="58"/>
      <c r="P222" s="58"/>
      <c r="Q222" s="13" t="e">
        <v>#N/A</v>
      </c>
      <c r="R222" s="13" t="e">
        <v>#N/A</v>
      </c>
      <c r="S222" s="13"/>
      <c r="T222" s="62"/>
      <c r="U222" s="13"/>
      <c r="V222" s="13"/>
      <c r="W222" s="13"/>
      <c r="X222" s="58"/>
      <c r="Y222" s="51">
        <f ca="1">Table25[[#This Row],[End Date]]+2-TODAY()</f>
        <v>-46242</v>
      </c>
      <c r="Z222" s="13">
        <f>IF(ISBLANK(Table25[[#This Row],[Roster Received By]]),1,0)</f>
        <v>1</v>
      </c>
      <c r="AA222" s="13">
        <f ca="1">IF(Table25[[#This Row],[Start Date]]&gt;TODAY(),1,)</f>
        <v>0</v>
      </c>
    </row>
    <row r="223" spans="2:27" s="46" customFormat="1" hidden="1" x14ac:dyDescent="0.25">
      <c r="B223" s="58"/>
      <c r="C223" s="59" t="e">
        <v>#N/A</v>
      </c>
      <c r="D223" s="59" t="e">
        <v>#N/A</v>
      </c>
      <c r="E223" s="58"/>
      <c r="F223" s="61"/>
      <c r="G223" s="61"/>
      <c r="H223" s="61"/>
      <c r="I223" s="60"/>
      <c r="J223" s="60"/>
      <c r="K223" s="60"/>
      <c r="L223" s="60"/>
      <c r="M223" s="60"/>
      <c r="N223" s="60"/>
      <c r="O223" s="58"/>
      <c r="P223" s="58"/>
      <c r="Q223" s="13" t="e">
        <v>#N/A</v>
      </c>
      <c r="R223" s="13" t="e">
        <v>#N/A</v>
      </c>
      <c r="S223" s="13"/>
      <c r="T223" s="62"/>
      <c r="U223" s="13"/>
      <c r="V223" s="13"/>
      <c r="W223" s="63"/>
      <c r="X223" s="58"/>
      <c r="Y223" s="51">
        <f ca="1">Table25[[#This Row],[End Date]]+2-TODAY()</f>
        <v>-46242</v>
      </c>
      <c r="Z223" s="13">
        <f>IF(ISBLANK(Table25[[#This Row],[Roster Received By]]),1,0)</f>
        <v>1</v>
      </c>
      <c r="AA223" s="13">
        <f ca="1">IF(Table25[[#This Row],[Start Date]]&gt;TODAY(),1,)</f>
        <v>0</v>
      </c>
    </row>
    <row r="224" spans="2:27" s="46" customFormat="1" hidden="1" x14ac:dyDescent="0.25">
      <c r="B224" s="58"/>
      <c r="C224" s="59" t="e">
        <v>#N/A</v>
      </c>
      <c r="D224" s="59" t="e">
        <v>#N/A</v>
      </c>
      <c r="E224" s="47"/>
      <c r="F224" s="61"/>
      <c r="G224" s="61"/>
      <c r="H224" s="64"/>
      <c r="I224" s="64"/>
      <c r="J224" s="61"/>
      <c r="K224" s="61"/>
      <c r="L224" s="61"/>
      <c r="M224" s="61"/>
      <c r="N224" s="61"/>
      <c r="O224" s="58"/>
      <c r="P224" s="58"/>
      <c r="Q224" s="13" t="e">
        <v>#N/A</v>
      </c>
      <c r="R224" s="13" t="e">
        <v>#N/A</v>
      </c>
      <c r="S224" s="13"/>
      <c r="T224" s="62"/>
      <c r="U224" s="13"/>
      <c r="V224" s="13"/>
      <c r="W224" s="59"/>
      <c r="X224" s="58"/>
      <c r="Y224" s="51">
        <f ca="1">Table25[[#This Row],[End Date]]+2-TODAY()</f>
        <v>-46242</v>
      </c>
      <c r="Z224" s="13">
        <f>IF(ISBLANK(Table25[[#This Row],[Roster Received By]]),1,0)</f>
        <v>1</v>
      </c>
      <c r="AA224" s="13">
        <f ca="1">IF(Table25[[#This Row],[Start Date]]&gt;TODAY(),1,)</f>
        <v>0</v>
      </c>
    </row>
    <row r="225" spans="1:27" s="72" customFormat="1" hidden="1" x14ac:dyDescent="0.25">
      <c r="A225" s="46"/>
      <c r="B225" s="58"/>
      <c r="C225" s="59" t="e">
        <v>#N/A</v>
      </c>
      <c r="D225" s="59" t="e">
        <v>#N/A</v>
      </c>
      <c r="E225" s="58"/>
      <c r="F225" s="61"/>
      <c r="G225" s="61"/>
      <c r="H225" s="61"/>
      <c r="I225" s="60"/>
      <c r="J225" s="60"/>
      <c r="K225" s="60"/>
      <c r="L225" s="60"/>
      <c r="M225" s="60"/>
      <c r="N225" s="60"/>
      <c r="O225" s="58"/>
      <c r="P225" s="58"/>
      <c r="Q225" s="13" t="e">
        <v>#N/A</v>
      </c>
      <c r="R225" s="13" t="e">
        <v>#N/A</v>
      </c>
      <c r="S225" s="13"/>
      <c r="T225" s="62"/>
      <c r="U225" s="13"/>
      <c r="V225" s="13"/>
      <c r="W225" s="13"/>
      <c r="X225" s="58"/>
      <c r="Y225" s="51">
        <f ca="1">Table25[[#This Row],[End Date]]+2-TODAY()</f>
        <v>-46242</v>
      </c>
      <c r="Z225" s="13">
        <f>IF(ISBLANK(Table25[[#This Row],[Roster Received By]]),1,0)</f>
        <v>1</v>
      </c>
      <c r="AA225" s="13">
        <f ca="1">IF(Table25[[#This Row],[Start Date]]&gt;TODAY(),1,)</f>
        <v>0</v>
      </c>
    </row>
    <row r="226" spans="1:27" s="46" customFormat="1" hidden="1" x14ac:dyDescent="0.25">
      <c r="A226" s="58"/>
      <c r="B226" s="58"/>
      <c r="C226" s="59" t="e">
        <v>#N/A</v>
      </c>
      <c r="D226" s="59" t="e">
        <v>#N/A</v>
      </c>
      <c r="E226" s="47"/>
      <c r="F226" s="61"/>
      <c r="G226" s="61"/>
      <c r="H226" s="64"/>
      <c r="I226" s="64"/>
      <c r="J226" s="61"/>
      <c r="K226" s="61"/>
      <c r="L226" s="61"/>
      <c r="M226" s="61"/>
      <c r="N226" s="61"/>
      <c r="O226" s="58"/>
      <c r="P226" s="58"/>
      <c r="Q226" s="13" t="e">
        <v>#N/A</v>
      </c>
      <c r="R226" s="13" t="e">
        <v>#N/A</v>
      </c>
      <c r="S226" s="13"/>
      <c r="T226" s="62"/>
      <c r="U226" s="13"/>
      <c r="V226" s="13"/>
      <c r="W226" s="59"/>
      <c r="X226" s="58"/>
      <c r="Y226" s="51">
        <f ca="1">Table25[[#This Row],[End Date]]+2-TODAY()</f>
        <v>-46242</v>
      </c>
      <c r="Z226" s="13">
        <f>IF(ISBLANK(Table25[[#This Row],[Roster Received By]]),1,0)</f>
        <v>1</v>
      </c>
      <c r="AA226" s="13">
        <f ca="1">IF(Table25[[#This Row],[Start Date]]&gt;TODAY(),1,)</f>
        <v>0</v>
      </c>
    </row>
    <row r="227" spans="1:27" s="46" customFormat="1" hidden="1" x14ac:dyDescent="0.25">
      <c r="B227" s="58"/>
      <c r="C227" s="59" t="e">
        <v>#N/A</v>
      </c>
      <c r="D227" s="59" t="e">
        <v>#N/A</v>
      </c>
      <c r="E227" s="58"/>
      <c r="F227" s="61"/>
      <c r="G227" s="61"/>
      <c r="H227" s="64"/>
      <c r="I227" s="64"/>
      <c r="J227" s="61"/>
      <c r="K227" s="61"/>
      <c r="L227" s="61"/>
      <c r="M227" s="61"/>
      <c r="N227" s="61"/>
      <c r="O227" s="58"/>
      <c r="P227" s="58"/>
      <c r="Q227" s="13" t="e">
        <v>#N/A</v>
      </c>
      <c r="R227" s="13" t="e">
        <v>#N/A</v>
      </c>
      <c r="S227" s="13"/>
      <c r="T227" s="62"/>
      <c r="U227" s="13"/>
      <c r="V227" s="13"/>
      <c r="W227" s="59"/>
      <c r="X227" s="58"/>
      <c r="Y227" s="51">
        <f ca="1">Table25[[#This Row],[End Date]]+2-TODAY()</f>
        <v>-46242</v>
      </c>
      <c r="Z227" s="13">
        <f>IF(ISBLANK(Table25[[#This Row],[Roster Received By]]),1,0)</f>
        <v>1</v>
      </c>
      <c r="AA227" s="13">
        <f ca="1">IF(Table25[[#This Row],[Start Date]]&gt;TODAY(),1,)</f>
        <v>0</v>
      </c>
    </row>
    <row r="228" spans="1:27" s="46" customFormat="1" hidden="1" x14ac:dyDescent="0.25">
      <c r="B228" s="58"/>
      <c r="C228" s="59" t="e">
        <v>#N/A</v>
      </c>
      <c r="D228" s="59" t="e">
        <v>#N/A</v>
      </c>
      <c r="E228" s="58"/>
      <c r="F228" s="61"/>
      <c r="G228" s="61"/>
      <c r="H228" s="61"/>
      <c r="I228" s="60"/>
      <c r="J228" s="60"/>
      <c r="K228" s="60"/>
      <c r="L228" s="60"/>
      <c r="M228" s="60"/>
      <c r="N228" s="60"/>
      <c r="O228" s="58"/>
      <c r="P228" s="58"/>
      <c r="Q228" s="13" t="e">
        <v>#N/A</v>
      </c>
      <c r="R228" s="13" t="e">
        <v>#N/A</v>
      </c>
      <c r="S228" s="13"/>
      <c r="T228" s="62"/>
      <c r="U228" s="13"/>
      <c r="V228" s="13"/>
      <c r="W228" s="13"/>
      <c r="X228" s="58"/>
      <c r="Y228" s="51">
        <f ca="1">Table25[[#This Row],[End Date]]+2-TODAY()</f>
        <v>-46242</v>
      </c>
      <c r="Z228" s="13">
        <f>IF(ISBLANK(Table25[[#This Row],[Roster Received By]]),1,0)</f>
        <v>1</v>
      </c>
      <c r="AA228" s="13">
        <f ca="1">IF(Table25[[#This Row],[Start Date]]&gt;TODAY(),1,)</f>
        <v>0</v>
      </c>
    </row>
    <row r="229" spans="1:27" s="46" customFormat="1" hidden="1" x14ac:dyDescent="0.25">
      <c r="B229" s="58"/>
      <c r="C229" s="59" t="e">
        <v>#N/A</v>
      </c>
      <c r="D229" s="59" t="e">
        <v>#N/A</v>
      </c>
      <c r="E229" s="58"/>
      <c r="F229" s="61"/>
      <c r="G229" s="61"/>
      <c r="H229" s="64"/>
      <c r="I229" s="64"/>
      <c r="J229" s="64"/>
      <c r="K229" s="64"/>
      <c r="L229" s="64"/>
      <c r="M229" s="64"/>
      <c r="N229" s="61"/>
      <c r="O229" s="58"/>
      <c r="P229" s="58"/>
      <c r="Q229" s="13" t="e">
        <v>#N/A</v>
      </c>
      <c r="R229" s="13" t="e">
        <v>#N/A</v>
      </c>
      <c r="S229" s="13"/>
      <c r="T229" s="62"/>
      <c r="U229" s="13"/>
      <c r="V229" s="13"/>
      <c r="W229" s="13"/>
      <c r="X229" s="58"/>
      <c r="Y229" s="51">
        <f ca="1">Table25[[#This Row],[End Date]]+2-TODAY()</f>
        <v>-46242</v>
      </c>
      <c r="Z229" s="13">
        <f>IF(ISBLANK(Table25[[#This Row],[Roster Received By]]),1,0)</f>
        <v>1</v>
      </c>
      <c r="AA229" s="13">
        <f ca="1">IF(Table25[[#This Row],[Start Date]]&gt;TODAY(),1,)</f>
        <v>0</v>
      </c>
    </row>
    <row r="230" spans="1:27" s="46" customFormat="1" hidden="1" x14ac:dyDescent="0.25">
      <c r="B230" s="58"/>
      <c r="C230" s="59" t="e">
        <v>#N/A</v>
      </c>
      <c r="D230" s="59" t="e">
        <v>#N/A</v>
      </c>
      <c r="E230" s="58"/>
      <c r="F230" s="61"/>
      <c r="G230" s="61"/>
      <c r="H230" s="64"/>
      <c r="I230" s="64"/>
      <c r="J230" s="64"/>
      <c r="K230" s="64"/>
      <c r="L230" s="64"/>
      <c r="M230" s="64"/>
      <c r="N230" s="61"/>
      <c r="O230" s="58"/>
      <c r="P230" s="58"/>
      <c r="Q230" s="13" t="e">
        <v>#N/A</v>
      </c>
      <c r="R230" s="13" t="e">
        <v>#N/A</v>
      </c>
      <c r="S230" s="13"/>
      <c r="T230" s="62"/>
      <c r="U230" s="13"/>
      <c r="V230" s="13"/>
      <c r="W230" s="13"/>
      <c r="X230" s="58"/>
      <c r="Y230" s="51">
        <f ca="1">Table25[[#This Row],[End Date]]+2-TODAY()</f>
        <v>-46242</v>
      </c>
      <c r="Z230" s="13">
        <f>IF(ISBLANK(Table25[[#This Row],[Roster Received By]]),1,0)</f>
        <v>1</v>
      </c>
      <c r="AA230" s="13">
        <f ca="1">IF(Table25[[#This Row],[Start Date]]&gt;TODAY(),1,)</f>
        <v>0</v>
      </c>
    </row>
    <row r="231" spans="1:27" s="46" customFormat="1" hidden="1" x14ac:dyDescent="0.25">
      <c r="B231" s="58"/>
      <c r="C231" s="59" t="e">
        <v>#N/A</v>
      </c>
      <c r="D231" s="59" t="e">
        <v>#N/A</v>
      </c>
      <c r="E231" s="58"/>
      <c r="F231" s="61"/>
      <c r="G231" s="61"/>
      <c r="H231" s="61"/>
      <c r="I231" s="60"/>
      <c r="J231" s="60"/>
      <c r="K231" s="60"/>
      <c r="L231" s="60"/>
      <c r="M231" s="60"/>
      <c r="N231" s="60"/>
      <c r="O231" s="58"/>
      <c r="P231" s="58"/>
      <c r="Q231" s="13" t="e">
        <v>#N/A</v>
      </c>
      <c r="R231" s="13" t="e">
        <v>#N/A</v>
      </c>
      <c r="S231" s="13"/>
      <c r="T231" s="62"/>
      <c r="U231" s="13"/>
      <c r="V231" s="13"/>
      <c r="W231" s="13"/>
      <c r="X231" s="58"/>
      <c r="Y231" s="51">
        <f ca="1">Table25[[#This Row],[End Date]]+2-TODAY()</f>
        <v>-46242</v>
      </c>
      <c r="Z231" s="13">
        <f>IF(ISBLANK(Table25[[#This Row],[Roster Received By]]),1,0)</f>
        <v>1</v>
      </c>
      <c r="AA231" s="13">
        <f ca="1">IF(Table25[[#This Row],[Start Date]]&gt;TODAY(),1,)</f>
        <v>0</v>
      </c>
    </row>
    <row r="232" spans="1:27" s="46" customFormat="1" hidden="1" x14ac:dyDescent="0.25">
      <c r="B232" s="58"/>
      <c r="C232" s="59" t="e">
        <v>#N/A</v>
      </c>
      <c r="D232" s="59" t="e">
        <v>#N/A</v>
      </c>
      <c r="E232" s="58"/>
      <c r="F232" s="61"/>
      <c r="G232" s="61"/>
      <c r="H232" s="61"/>
      <c r="I232" s="60"/>
      <c r="J232" s="60"/>
      <c r="K232" s="60"/>
      <c r="L232" s="60"/>
      <c r="M232" s="60"/>
      <c r="N232" s="60"/>
      <c r="O232" s="58"/>
      <c r="P232" s="58"/>
      <c r="Q232" s="13" t="e">
        <v>#N/A</v>
      </c>
      <c r="R232" s="13" t="e">
        <v>#N/A</v>
      </c>
      <c r="S232" s="13"/>
      <c r="T232" s="62"/>
      <c r="U232" s="13"/>
      <c r="V232" s="13"/>
      <c r="W232" s="13"/>
      <c r="X232" s="58"/>
      <c r="Y232" s="51">
        <f ca="1">Table25[[#This Row],[End Date]]+2-TODAY()</f>
        <v>-46242</v>
      </c>
      <c r="Z232" s="13">
        <f>IF(ISBLANK(Table25[[#This Row],[Roster Received By]]),1,0)</f>
        <v>1</v>
      </c>
      <c r="AA232" s="13">
        <f ca="1">IF(Table25[[#This Row],[Start Date]]&gt;TODAY(),1,)</f>
        <v>0</v>
      </c>
    </row>
    <row r="233" spans="1:27" s="46" customFormat="1" hidden="1" x14ac:dyDescent="0.25">
      <c r="B233" s="58"/>
      <c r="C233" s="59" t="e">
        <v>#N/A</v>
      </c>
      <c r="D233" s="59" t="e">
        <v>#N/A</v>
      </c>
      <c r="E233" s="58"/>
      <c r="F233" s="61"/>
      <c r="G233" s="61"/>
      <c r="H233" s="61"/>
      <c r="I233" s="60"/>
      <c r="J233" s="60"/>
      <c r="K233" s="60"/>
      <c r="L233" s="60"/>
      <c r="M233" s="60"/>
      <c r="N233" s="60"/>
      <c r="O233" s="58"/>
      <c r="P233" s="58"/>
      <c r="Q233" s="13" t="e">
        <v>#N/A</v>
      </c>
      <c r="R233" s="13" t="e">
        <v>#N/A</v>
      </c>
      <c r="S233" s="13"/>
      <c r="T233" s="62"/>
      <c r="U233" s="13"/>
      <c r="V233" s="13"/>
      <c r="W233" s="13"/>
      <c r="X233" s="58"/>
      <c r="Y233" s="51">
        <f ca="1">Table25[[#This Row],[End Date]]+2-TODAY()</f>
        <v>-46242</v>
      </c>
      <c r="Z233" s="13">
        <f>IF(ISBLANK(Table25[[#This Row],[Roster Received By]]),1,0)</f>
        <v>1</v>
      </c>
      <c r="AA233" s="13">
        <f ca="1">IF(Table25[[#This Row],[Start Date]]&gt;TODAY(),1,)</f>
        <v>0</v>
      </c>
    </row>
    <row r="234" spans="1:27" s="46" customFormat="1" hidden="1" x14ac:dyDescent="0.25">
      <c r="B234" s="58"/>
      <c r="C234" s="59" t="e">
        <v>#N/A</v>
      </c>
      <c r="D234" s="59" t="e">
        <v>#N/A</v>
      </c>
      <c r="E234" s="58"/>
      <c r="F234" s="61"/>
      <c r="G234" s="61"/>
      <c r="H234" s="61"/>
      <c r="I234" s="60"/>
      <c r="J234" s="60"/>
      <c r="K234" s="60"/>
      <c r="L234" s="60"/>
      <c r="M234" s="60"/>
      <c r="N234" s="60"/>
      <c r="O234" s="58"/>
      <c r="P234" s="58"/>
      <c r="Q234" s="13" t="e">
        <v>#N/A</v>
      </c>
      <c r="R234" s="13" t="e">
        <v>#N/A</v>
      </c>
      <c r="S234" s="13"/>
      <c r="T234" s="62"/>
      <c r="U234" s="13"/>
      <c r="V234" s="13"/>
      <c r="W234" s="13"/>
      <c r="X234" s="58"/>
      <c r="Y234" s="51">
        <f ca="1">Table25[[#This Row],[End Date]]+2-TODAY()</f>
        <v>-46242</v>
      </c>
      <c r="Z234" s="13">
        <f>IF(ISBLANK(Table25[[#This Row],[Roster Received By]]),1,0)</f>
        <v>1</v>
      </c>
      <c r="AA234" s="13">
        <f ca="1">IF(Table25[[#This Row],[Start Date]]&gt;TODAY(),1,)</f>
        <v>0</v>
      </c>
    </row>
    <row r="235" spans="1:27" s="46" customFormat="1" hidden="1" x14ac:dyDescent="0.25">
      <c r="B235" s="58"/>
      <c r="C235" s="59" t="e">
        <v>#N/A</v>
      </c>
      <c r="D235" s="59" t="e">
        <v>#N/A</v>
      </c>
      <c r="E235" s="58"/>
      <c r="F235" s="61"/>
      <c r="G235" s="61"/>
      <c r="H235" s="61"/>
      <c r="I235" s="60"/>
      <c r="J235" s="60"/>
      <c r="K235" s="60"/>
      <c r="L235" s="60"/>
      <c r="M235" s="60"/>
      <c r="N235" s="60"/>
      <c r="O235" s="58"/>
      <c r="P235" s="58"/>
      <c r="Q235" s="13" t="e">
        <v>#N/A</v>
      </c>
      <c r="R235" s="13" t="e">
        <v>#N/A</v>
      </c>
      <c r="S235" s="13"/>
      <c r="T235" s="62"/>
      <c r="U235" s="13"/>
      <c r="V235" s="13"/>
      <c r="W235" s="13"/>
      <c r="X235" s="58"/>
      <c r="Y235" s="51">
        <f ca="1">Table25[[#This Row],[End Date]]+2-TODAY()</f>
        <v>-46242</v>
      </c>
      <c r="Z235" s="13">
        <f>IF(ISBLANK(Table25[[#This Row],[Roster Received By]]),1,0)</f>
        <v>1</v>
      </c>
      <c r="AA235" s="13">
        <f ca="1">IF(Table25[[#This Row],[Start Date]]&gt;TODAY(),1,)</f>
        <v>0</v>
      </c>
    </row>
    <row r="236" spans="1:27" s="46" customFormat="1" hidden="1" x14ac:dyDescent="0.25">
      <c r="B236" s="58"/>
      <c r="C236" s="59" t="e">
        <v>#N/A</v>
      </c>
      <c r="D236" s="59" t="e">
        <v>#N/A</v>
      </c>
      <c r="E236" s="58"/>
      <c r="F236" s="61"/>
      <c r="G236" s="61"/>
      <c r="H236" s="67"/>
      <c r="I236" s="64"/>
      <c r="J236" s="61"/>
      <c r="K236" s="61"/>
      <c r="L236" s="61"/>
      <c r="M236" s="61"/>
      <c r="N236" s="61"/>
      <c r="O236" s="58"/>
      <c r="P236" s="58"/>
      <c r="Q236" s="13" t="e">
        <v>#N/A</v>
      </c>
      <c r="R236" s="13" t="e">
        <v>#N/A</v>
      </c>
      <c r="S236" s="62"/>
      <c r="T236" s="62"/>
      <c r="U236" s="13"/>
      <c r="V236" s="13"/>
      <c r="W236" s="13"/>
      <c r="X236" s="58"/>
      <c r="Y236" s="51">
        <f ca="1">Table25[[#This Row],[End Date]]+2-TODAY()</f>
        <v>-46242</v>
      </c>
      <c r="Z236" s="13">
        <f>IF(ISBLANK(Table25[[#This Row],[Roster Received By]]),1,0)</f>
        <v>1</v>
      </c>
      <c r="AA236" s="13">
        <f ca="1">IF(Table25[[#This Row],[Start Date]]&gt;TODAY(),1,)</f>
        <v>0</v>
      </c>
    </row>
    <row r="237" spans="1:27" s="46" customFormat="1" hidden="1" x14ac:dyDescent="0.25">
      <c r="B237" s="75"/>
      <c r="C237" s="59" t="e">
        <v>#N/A</v>
      </c>
      <c r="D237" s="59" t="e">
        <v>#N/A</v>
      </c>
      <c r="E237" s="58"/>
      <c r="F237" s="61"/>
      <c r="G237" s="61"/>
      <c r="H237" s="61"/>
      <c r="I237" s="60"/>
      <c r="J237" s="60"/>
      <c r="K237" s="60"/>
      <c r="L237" s="60"/>
      <c r="M237" s="60"/>
      <c r="N237" s="60"/>
      <c r="O237" s="58"/>
      <c r="P237" s="58"/>
      <c r="Q237" s="13" t="e">
        <v>#N/A</v>
      </c>
      <c r="R237" s="13" t="e">
        <v>#N/A</v>
      </c>
      <c r="S237" s="13"/>
      <c r="T237" s="62"/>
      <c r="U237" s="13"/>
      <c r="V237" s="13"/>
      <c r="W237" s="13"/>
      <c r="X237" s="58"/>
      <c r="Y237" s="51">
        <f ca="1">Table25[[#This Row],[End Date]]+2-TODAY()</f>
        <v>-46242</v>
      </c>
      <c r="Z237" s="13">
        <f>IF(ISBLANK(Table25[[#This Row],[Roster Received By]]),1,0)</f>
        <v>1</v>
      </c>
      <c r="AA237" s="13">
        <f ca="1">IF(Table25[[#This Row],[Start Date]]&gt;TODAY(),1,)</f>
        <v>0</v>
      </c>
    </row>
    <row r="238" spans="1:27" s="46" customFormat="1" hidden="1" x14ac:dyDescent="0.25">
      <c r="B238" s="58"/>
      <c r="C238" s="59" t="e">
        <v>#N/A</v>
      </c>
      <c r="D238" s="59" t="e">
        <v>#N/A</v>
      </c>
      <c r="E238" s="58"/>
      <c r="F238" s="61"/>
      <c r="G238" s="61"/>
      <c r="H238" s="64"/>
      <c r="I238" s="64"/>
      <c r="J238" s="61"/>
      <c r="K238" s="61"/>
      <c r="L238" s="61"/>
      <c r="M238" s="61"/>
      <c r="N238" s="61"/>
      <c r="O238" s="58"/>
      <c r="P238" s="58"/>
      <c r="Q238" s="13" t="e">
        <v>#N/A</v>
      </c>
      <c r="R238" s="13" t="e">
        <v>#N/A</v>
      </c>
      <c r="S238" s="13"/>
      <c r="T238" s="62"/>
      <c r="U238" s="13"/>
      <c r="V238" s="13"/>
      <c r="W238" s="63"/>
      <c r="X238" s="58"/>
      <c r="Y238" s="51">
        <f ca="1">Table25[[#This Row],[End Date]]+2-TODAY()</f>
        <v>-46242</v>
      </c>
      <c r="Z238" s="13">
        <f>IF(ISBLANK(Table25[[#This Row],[Roster Received By]]),1,0)</f>
        <v>1</v>
      </c>
      <c r="AA238" s="13">
        <f ca="1">IF(Table25[[#This Row],[Start Date]]&gt;TODAY(),1,)</f>
        <v>0</v>
      </c>
    </row>
    <row r="239" spans="1:27" s="46" customFormat="1" hidden="1" x14ac:dyDescent="0.25">
      <c r="B239" s="75"/>
      <c r="C239" s="59" t="e">
        <v>#N/A</v>
      </c>
      <c r="D239" s="59" t="e">
        <v>#N/A</v>
      </c>
      <c r="E239" s="58"/>
      <c r="F239" s="61"/>
      <c r="G239" s="61"/>
      <c r="H239" s="64"/>
      <c r="I239" s="64"/>
      <c r="J239" s="64"/>
      <c r="K239" s="64"/>
      <c r="L239" s="64"/>
      <c r="M239" s="64"/>
      <c r="N239" s="61"/>
      <c r="O239" s="58"/>
      <c r="P239" s="58"/>
      <c r="Q239" s="13" t="e">
        <v>#N/A</v>
      </c>
      <c r="R239" s="13" t="e">
        <v>#N/A</v>
      </c>
      <c r="S239" s="13"/>
      <c r="T239" s="62"/>
      <c r="U239" s="13"/>
      <c r="V239" s="13"/>
      <c r="W239" s="13"/>
      <c r="X239" s="58"/>
      <c r="Y239" s="51">
        <f ca="1">Table25[[#This Row],[End Date]]+2-TODAY()</f>
        <v>-46242</v>
      </c>
      <c r="Z239" s="13">
        <f>IF(ISBLANK(Table25[[#This Row],[Roster Received By]]),1,0)</f>
        <v>1</v>
      </c>
      <c r="AA239" s="13">
        <f ca="1">IF(Table25[[#This Row],[Start Date]]&gt;TODAY(),1,)</f>
        <v>0</v>
      </c>
    </row>
    <row r="240" spans="1:27" s="46" customFormat="1" hidden="1" x14ac:dyDescent="0.25">
      <c r="B240" s="75"/>
      <c r="C240" s="59" t="e">
        <v>#N/A</v>
      </c>
      <c r="D240" s="59" t="e">
        <v>#N/A</v>
      </c>
      <c r="E240" s="58"/>
      <c r="F240" s="61"/>
      <c r="G240" s="61"/>
      <c r="H240" s="64"/>
      <c r="I240" s="64"/>
      <c r="J240" s="61"/>
      <c r="K240" s="61"/>
      <c r="L240" s="61"/>
      <c r="M240" s="61"/>
      <c r="N240" s="61"/>
      <c r="O240" s="58"/>
      <c r="P240" s="58"/>
      <c r="Q240" s="13" t="e">
        <v>#N/A</v>
      </c>
      <c r="R240" s="13" t="e">
        <v>#N/A</v>
      </c>
      <c r="S240" s="13"/>
      <c r="T240" s="62"/>
      <c r="U240" s="13"/>
      <c r="V240" s="13"/>
      <c r="W240" s="13"/>
      <c r="X240" s="58"/>
      <c r="Y240" s="51">
        <f ca="1">Table25[[#This Row],[End Date]]+2-TODAY()</f>
        <v>-46242</v>
      </c>
      <c r="Z240" s="13">
        <f>IF(ISBLANK(Table25[[#This Row],[Roster Received By]]),1,0)</f>
        <v>1</v>
      </c>
      <c r="AA240" s="13">
        <f ca="1">IF(Table25[[#This Row],[Start Date]]&gt;TODAY(),1,)</f>
        <v>0</v>
      </c>
    </row>
    <row r="241" spans="1:27" s="46" customFormat="1" hidden="1" x14ac:dyDescent="0.25">
      <c r="B241" s="75"/>
      <c r="C241" s="59" t="e">
        <v>#N/A</v>
      </c>
      <c r="D241" s="59" t="e">
        <v>#N/A</v>
      </c>
      <c r="E241" s="58"/>
      <c r="F241" s="61"/>
      <c r="G241" s="61"/>
      <c r="H241" s="61"/>
      <c r="I241" s="60"/>
      <c r="J241" s="60"/>
      <c r="K241" s="60"/>
      <c r="L241" s="60"/>
      <c r="M241" s="60"/>
      <c r="N241" s="60"/>
      <c r="O241" s="58"/>
      <c r="P241" s="58"/>
      <c r="Q241" s="13" t="e">
        <v>#N/A</v>
      </c>
      <c r="R241" s="13" t="e">
        <v>#N/A</v>
      </c>
      <c r="S241" s="13"/>
      <c r="T241" s="62"/>
      <c r="U241" s="13"/>
      <c r="V241" s="13"/>
      <c r="W241" s="13"/>
      <c r="X241" s="58"/>
      <c r="Y241" s="51">
        <f ca="1">Table25[[#This Row],[End Date]]+2-TODAY()</f>
        <v>-46242</v>
      </c>
      <c r="Z241" s="13">
        <f>IF(ISBLANK(Table25[[#This Row],[Roster Received By]]),1,0)</f>
        <v>1</v>
      </c>
      <c r="AA241" s="13">
        <f ca="1">IF(Table25[[#This Row],[Start Date]]&gt;TODAY(),1,)</f>
        <v>0</v>
      </c>
    </row>
    <row r="242" spans="1:27" s="46" customFormat="1" hidden="1" x14ac:dyDescent="0.25">
      <c r="B242" s="58"/>
      <c r="C242" s="59" t="e">
        <v>#N/A</v>
      </c>
      <c r="D242" s="59" t="e">
        <v>#N/A</v>
      </c>
      <c r="E242" s="58"/>
      <c r="F242" s="61"/>
      <c r="G242" s="61"/>
      <c r="H242" s="67"/>
      <c r="I242" s="67"/>
      <c r="J242" s="61"/>
      <c r="K242" s="61"/>
      <c r="L242" s="61"/>
      <c r="M242" s="61"/>
      <c r="N242" s="61"/>
      <c r="O242" s="58"/>
      <c r="P242" s="58"/>
      <c r="Q242" s="13" t="e">
        <v>#N/A</v>
      </c>
      <c r="R242" s="13" t="e">
        <v>#N/A</v>
      </c>
      <c r="S242" s="13"/>
      <c r="T242" s="62"/>
      <c r="U242" s="13"/>
      <c r="V242" s="13"/>
      <c r="W242" s="13"/>
      <c r="X242" s="58"/>
      <c r="Y242" s="51">
        <f ca="1">Table25[[#This Row],[End Date]]+2-TODAY()</f>
        <v>-46242</v>
      </c>
      <c r="Z242" s="13">
        <f>IF(ISBLANK(Table25[[#This Row],[Roster Received By]]),1,0)</f>
        <v>1</v>
      </c>
      <c r="AA242" s="13">
        <f ca="1">IF(Table25[[#This Row],[Start Date]]&gt;TODAY(),1,)</f>
        <v>0</v>
      </c>
    </row>
    <row r="243" spans="1:27" s="46" customFormat="1" hidden="1" x14ac:dyDescent="0.25">
      <c r="B243" s="58"/>
      <c r="C243" s="59" t="e">
        <v>#N/A</v>
      </c>
      <c r="D243" s="59" t="e">
        <v>#N/A</v>
      </c>
      <c r="E243" s="58"/>
      <c r="F243" s="61"/>
      <c r="G243" s="61"/>
      <c r="H243" s="61"/>
      <c r="I243" s="60"/>
      <c r="J243" s="60"/>
      <c r="K243" s="60"/>
      <c r="L243" s="60"/>
      <c r="M243" s="60"/>
      <c r="N243" s="60"/>
      <c r="O243" s="58"/>
      <c r="P243" s="58"/>
      <c r="Q243" s="13" t="e">
        <v>#N/A</v>
      </c>
      <c r="R243" s="13" t="e">
        <v>#N/A</v>
      </c>
      <c r="S243" s="13"/>
      <c r="T243" s="62"/>
      <c r="U243" s="13"/>
      <c r="V243" s="13"/>
      <c r="W243" s="13"/>
      <c r="X243" s="58"/>
      <c r="Y243" s="51">
        <f ca="1">Table25[[#This Row],[End Date]]+2-TODAY()</f>
        <v>-46242</v>
      </c>
      <c r="Z243" s="13">
        <f>IF(ISBLANK(Table25[[#This Row],[Roster Received By]]),1,0)</f>
        <v>1</v>
      </c>
      <c r="AA243" s="13">
        <f ca="1">IF(Table25[[#This Row],[Start Date]]&gt;TODAY(),1,)</f>
        <v>0</v>
      </c>
    </row>
    <row r="244" spans="1:27" s="46" customFormat="1" hidden="1" x14ac:dyDescent="0.25">
      <c r="B244" s="85"/>
      <c r="C244" s="59" t="e">
        <v>#N/A</v>
      </c>
      <c r="D244" s="59" t="e">
        <v>#N/A</v>
      </c>
      <c r="E244" s="58"/>
      <c r="F244" s="61"/>
      <c r="G244" s="61"/>
      <c r="H244" s="61"/>
      <c r="I244" s="60"/>
      <c r="J244" s="60"/>
      <c r="K244" s="60"/>
      <c r="L244" s="60"/>
      <c r="M244" s="60"/>
      <c r="N244" s="60"/>
      <c r="O244" s="58"/>
      <c r="P244" s="58"/>
      <c r="Q244" s="13" t="e">
        <v>#N/A</v>
      </c>
      <c r="R244" s="13" t="e">
        <v>#N/A</v>
      </c>
      <c r="S244" s="13"/>
      <c r="T244" s="62"/>
      <c r="U244" s="13"/>
      <c r="V244" s="13"/>
      <c r="W244" s="59"/>
      <c r="X244" s="58"/>
      <c r="Y244" s="51">
        <f ca="1">Table25[[#This Row],[End Date]]+2-TODAY()</f>
        <v>-46242</v>
      </c>
      <c r="Z244" s="13">
        <f>IF(ISBLANK(Table25[[#This Row],[Roster Received By]]),1,0)</f>
        <v>1</v>
      </c>
      <c r="AA244" s="13">
        <f ca="1">IF(Table25[[#This Row],[Start Date]]&gt;TODAY(),1,)</f>
        <v>0</v>
      </c>
    </row>
    <row r="245" spans="1:27" s="46" customFormat="1" hidden="1" x14ac:dyDescent="0.25">
      <c r="B245" s="75"/>
      <c r="C245" s="59" t="e">
        <v>#N/A</v>
      </c>
      <c r="D245" s="59" t="e">
        <v>#N/A</v>
      </c>
      <c r="E245" s="58"/>
      <c r="F245" s="61"/>
      <c r="G245" s="61"/>
      <c r="H245" s="61"/>
      <c r="I245" s="60"/>
      <c r="J245" s="60"/>
      <c r="K245" s="60"/>
      <c r="L245" s="60"/>
      <c r="M245" s="60"/>
      <c r="N245" s="60"/>
      <c r="O245" s="58"/>
      <c r="P245" s="58"/>
      <c r="Q245" s="13" t="e">
        <v>#N/A</v>
      </c>
      <c r="R245" s="13" t="e">
        <v>#N/A</v>
      </c>
      <c r="S245" s="13"/>
      <c r="T245" s="62"/>
      <c r="U245" s="13"/>
      <c r="V245" s="13"/>
      <c r="W245" s="13"/>
      <c r="X245" s="58"/>
      <c r="Y245" s="51">
        <f ca="1">Table25[[#This Row],[End Date]]+2-TODAY()</f>
        <v>-46242</v>
      </c>
      <c r="Z245" s="13">
        <f>IF(ISBLANK(Table25[[#This Row],[Roster Received By]]),1,0)</f>
        <v>1</v>
      </c>
      <c r="AA245" s="13">
        <f ca="1">IF(Table25[[#This Row],[Start Date]]&gt;TODAY(),1,)</f>
        <v>0</v>
      </c>
    </row>
    <row r="246" spans="1:27" s="46" customFormat="1" hidden="1" x14ac:dyDescent="0.25">
      <c r="B246" s="75"/>
      <c r="C246" s="59" t="e">
        <v>#N/A</v>
      </c>
      <c r="D246" s="59" t="e">
        <v>#N/A</v>
      </c>
      <c r="E246" s="58"/>
      <c r="F246" s="61"/>
      <c r="G246" s="61"/>
      <c r="H246" s="64"/>
      <c r="I246" s="64"/>
      <c r="J246" s="64"/>
      <c r="K246" s="64"/>
      <c r="L246" s="64"/>
      <c r="M246" s="64"/>
      <c r="N246" s="61"/>
      <c r="O246" s="58"/>
      <c r="P246" s="58"/>
      <c r="Q246" s="13" t="e">
        <v>#N/A</v>
      </c>
      <c r="R246" s="13" t="e">
        <v>#N/A</v>
      </c>
      <c r="S246" s="13"/>
      <c r="T246" s="62"/>
      <c r="U246" s="13"/>
      <c r="V246" s="13"/>
      <c r="W246" s="13"/>
      <c r="X246" s="58"/>
      <c r="Y246" s="51">
        <f ca="1">Table25[[#This Row],[End Date]]+2-TODAY()</f>
        <v>-46242</v>
      </c>
      <c r="Z246" s="13">
        <f>IF(ISBLANK(Table25[[#This Row],[Roster Received By]]),1,0)</f>
        <v>1</v>
      </c>
      <c r="AA246" s="13">
        <f ca="1">IF(Table25[[#This Row],[Start Date]]&gt;TODAY(),1,)</f>
        <v>0</v>
      </c>
    </row>
    <row r="247" spans="1:27" s="46" customFormat="1" hidden="1" x14ac:dyDescent="0.25">
      <c r="B247" s="75"/>
      <c r="C247" s="59" t="e">
        <v>#N/A</v>
      </c>
      <c r="D247" s="59" t="e">
        <v>#N/A</v>
      </c>
      <c r="E247" s="75"/>
      <c r="F247" s="57"/>
      <c r="G247" s="69"/>
      <c r="H247" s="61"/>
      <c r="I247" s="60"/>
      <c r="J247" s="60"/>
      <c r="K247" s="60"/>
      <c r="L247" s="60"/>
      <c r="M247" s="60"/>
      <c r="N247" s="60"/>
      <c r="O247" s="58"/>
      <c r="P247" s="58"/>
      <c r="Q247" s="13" t="e">
        <v>#N/A</v>
      </c>
      <c r="R247" s="13" t="e">
        <v>#N/A</v>
      </c>
      <c r="S247" s="13"/>
      <c r="T247" s="62"/>
      <c r="U247" s="13"/>
      <c r="V247" s="13"/>
      <c r="W247" s="13"/>
      <c r="X247" s="58"/>
      <c r="Y247" s="51">
        <f ca="1">Table25[[#This Row],[End Date]]+2-TODAY()</f>
        <v>-46242</v>
      </c>
      <c r="Z247" s="13">
        <f>IF(ISBLANK(Table25[[#This Row],[Roster Received By]]),1,0)</f>
        <v>1</v>
      </c>
      <c r="AA247" s="13">
        <f ca="1">IF(Table25[[#This Row],[Start Date]]&gt;TODAY(),1,)</f>
        <v>0</v>
      </c>
    </row>
    <row r="248" spans="1:27" s="46" customFormat="1" hidden="1" x14ac:dyDescent="0.25">
      <c r="B248" s="58"/>
      <c r="C248" s="59" t="e">
        <v>#N/A</v>
      </c>
      <c r="D248" s="59" t="e">
        <v>#N/A</v>
      </c>
      <c r="E248" s="58"/>
      <c r="F248" s="61"/>
      <c r="G248" s="61"/>
      <c r="H248" s="64"/>
      <c r="I248" s="64"/>
      <c r="J248" s="61"/>
      <c r="K248" s="61"/>
      <c r="L248" s="61"/>
      <c r="M248" s="61"/>
      <c r="N248" s="61"/>
      <c r="O248" s="58"/>
      <c r="P248" s="58"/>
      <c r="Q248" s="13" t="e">
        <v>#N/A</v>
      </c>
      <c r="R248" s="13" t="e">
        <v>#N/A</v>
      </c>
      <c r="S248" s="13"/>
      <c r="T248" s="62"/>
      <c r="U248" s="13"/>
      <c r="V248" s="13"/>
      <c r="W248" s="13"/>
      <c r="X248" s="58"/>
      <c r="Y248" s="51">
        <f ca="1">Table25[[#This Row],[End Date]]+2-TODAY()</f>
        <v>-46242</v>
      </c>
      <c r="Z248" s="13">
        <f>IF(ISBLANK(Table25[[#This Row],[Roster Received By]]),1,0)</f>
        <v>1</v>
      </c>
      <c r="AA248" s="13">
        <f ca="1">IF(Table25[[#This Row],[Start Date]]&gt;TODAY(),1,)</f>
        <v>0</v>
      </c>
    </row>
    <row r="249" spans="1:27" s="46" customFormat="1" hidden="1" x14ac:dyDescent="0.25">
      <c r="B249" s="75"/>
      <c r="C249" s="59" t="e">
        <v>#N/A</v>
      </c>
      <c r="D249" s="59" t="e">
        <v>#N/A</v>
      </c>
      <c r="E249" s="48"/>
      <c r="F249" s="57"/>
      <c r="G249" s="69"/>
      <c r="H249" s="64"/>
      <c r="I249" s="64"/>
      <c r="J249" s="61"/>
      <c r="K249" s="61"/>
      <c r="L249" s="61"/>
      <c r="M249" s="61"/>
      <c r="N249" s="61"/>
      <c r="O249" s="58"/>
      <c r="P249" s="58"/>
      <c r="Q249" s="13" t="e">
        <v>#N/A</v>
      </c>
      <c r="R249" s="13" t="e">
        <v>#N/A</v>
      </c>
      <c r="S249" s="13"/>
      <c r="T249" s="62"/>
      <c r="U249" s="13"/>
      <c r="V249" s="13"/>
      <c r="W249" s="59"/>
      <c r="X249" s="58"/>
      <c r="Y249" s="51">
        <f ca="1">Table25[[#This Row],[End Date]]+2-TODAY()</f>
        <v>-46242</v>
      </c>
      <c r="Z249" s="13">
        <f>IF(ISBLANK(Table25[[#This Row],[Roster Received By]]),1,0)</f>
        <v>1</v>
      </c>
      <c r="AA249" s="13">
        <f ca="1">IF(Table25[[#This Row],[Start Date]]&gt;TODAY(),1,)</f>
        <v>0</v>
      </c>
    </row>
    <row r="250" spans="1:27" s="46" customFormat="1" hidden="1" x14ac:dyDescent="0.25">
      <c r="B250" s="48"/>
      <c r="C250" s="59" t="e">
        <v>#N/A</v>
      </c>
      <c r="D250" s="59" t="e">
        <v>#N/A</v>
      </c>
      <c r="E250" s="89"/>
      <c r="F250" s="57"/>
      <c r="G250" s="57"/>
      <c r="H250" s="60"/>
      <c r="I250" s="60"/>
      <c r="J250" s="61"/>
      <c r="K250" s="61"/>
      <c r="L250" s="61"/>
      <c r="M250" s="61"/>
      <c r="N250" s="61"/>
      <c r="O250" s="58"/>
      <c r="P250" s="58"/>
      <c r="Q250" s="13" t="e">
        <v>#N/A</v>
      </c>
      <c r="R250" s="13" t="e">
        <v>#N/A</v>
      </c>
      <c r="S250" s="13"/>
      <c r="T250" s="62"/>
      <c r="U250" s="13"/>
      <c r="V250" s="13"/>
      <c r="W250" s="13"/>
      <c r="X250" s="58"/>
      <c r="Y250" s="51">
        <f ca="1">Table25[[#This Row],[End Date]]+2-TODAY()</f>
        <v>-46242</v>
      </c>
      <c r="Z250" s="13">
        <f>IF(ISBLANK(Table25[[#This Row],[Roster Received By]]),1,0)</f>
        <v>1</v>
      </c>
      <c r="AA250" s="13">
        <f ca="1">IF(Table25[[#This Row],[Start Date]]&gt;TODAY(),1,)</f>
        <v>0</v>
      </c>
    </row>
    <row r="251" spans="1:27" s="46" customFormat="1" hidden="1" x14ac:dyDescent="0.25">
      <c r="B251" s="75"/>
      <c r="C251" s="59" t="e">
        <v>#N/A</v>
      </c>
      <c r="D251" s="59" t="e">
        <v>#N/A</v>
      </c>
      <c r="E251" s="75"/>
      <c r="F251" s="69"/>
      <c r="G251" s="69"/>
      <c r="H251" s="61"/>
      <c r="I251" s="60"/>
      <c r="J251" s="60"/>
      <c r="K251" s="60"/>
      <c r="L251" s="60"/>
      <c r="M251" s="60"/>
      <c r="N251" s="60"/>
      <c r="O251" s="58"/>
      <c r="P251" s="58"/>
      <c r="Q251" s="13" t="e">
        <v>#N/A</v>
      </c>
      <c r="R251" s="13" t="e">
        <v>#N/A</v>
      </c>
      <c r="S251" s="13"/>
      <c r="T251" s="62"/>
      <c r="U251" s="13"/>
      <c r="V251" s="13"/>
      <c r="W251" s="13"/>
      <c r="X251" s="58"/>
      <c r="Y251" s="51">
        <f ca="1">Table25[[#This Row],[End Date]]+2-TODAY()</f>
        <v>-46242</v>
      </c>
      <c r="Z251" s="13">
        <f>IF(ISBLANK(Table25[[#This Row],[Roster Received By]]),1,0)</f>
        <v>1</v>
      </c>
      <c r="AA251" s="13">
        <f ca="1">IF(Table25[[#This Row],[Start Date]]&gt;TODAY(),1,)</f>
        <v>0</v>
      </c>
    </row>
    <row r="252" spans="1:27" s="46" customFormat="1" hidden="1" x14ac:dyDescent="0.25">
      <c r="B252" s="75"/>
      <c r="C252" s="59" t="e">
        <v>#N/A</v>
      </c>
      <c r="D252" s="59" t="e">
        <v>#N/A</v>
      </c>
      <c r="E252" s="75"/>
      <c r="F252" s="69"/>
      <c r="G252" s="69"/>
      <c r="H252" s="61"/>
      <c r="I252" s="60"/>
      <c r="J252" s="60"/>
      <c r="K252" s="60"/>
      <c r="L252" s="60"/>
      <c r="M252" s="60"/>
      <c r="N252" s="60"/>
      <c r="O252" s="58"/>
      <c r="P252" s="58"/>
      <c r="Q252" s="13" t="e">
        <v>#N/A</v>
      </c>
      <c r="R252" s="13" t="e">
        <v>#N/A</v>
      </c>
      <c r="S252" s="13"/>
      <c r="T252" s="62"/>
      <c r="U252" s="13"/>
      <c r="V252" s="13"/>
      <c r="W252" s="59"/>
      <c r="X252" s="58"/>
      <c r="Y252" s="51">
        <f ca="1">Table25[[#This Row],[End Date]]+2-TODAY()</f>
        <v>-46242</v>
      </c>
      <c r="Z252" s="13">
        <f>IF(ISBLANK(Table25[[#This Row],[Roster Received By]]),1,0)</f>
        <v>1</v>
      </c>
      <c r="AA252" s="13">
        <f ca="1">IF(Table25[[#This Row],[Start Date]]&gt;TODAY(),1,)</f>
        <v>0</v>
      </c>
    </row>
    <row r="253" spans="1:27" s="46" customFormat="1" hidden="1" x14ac:dyDescent="0.25">
      <c r="B253" s="75"/>
      <c r="C253" s="59" t="e">
        <v>#N/A</v>
      </c>
      <c r="D253" s="59" t="e">
        <v>#N/A</v>
      </c>
      <c r="E253" s="75"/>
      <c r="F253" s="69"/>
      <c r="G253" s="69"/>
      <c r="H253" s="61"/>
      <c r="I253" s="60"/>
      <c r="J253" s="60"/>
      <c r="K253" s="60"/>
      <c r="L253" s="60"/>
      <c r="M253" s="60"/>
      <c r="N253" s="60"/>
      <c r="O253" s="58"/>
      <c r="P253" s="58"/>
      <c r="Q253" s="13" t="e">
        <v>#N/A</v>
      </c>
      <c r="R253" s="13" t="e">
        <v>#N/A</v>
      </c>
      <c r="S253" s="13"/>
      <c r="T253" s="62"/>
      <c r="U253" s="13"/>
      <c r="V253" s="13"/>
      <c r="W253" s="13"/>
      <c r="X253" s="58"/>
      <c r="Y253" s="51">
        <f ca="1">Table25[[#This Row],[End Date]]+2-TODAY()</f>
        <v>-46242</v>
      </c>
      <c r="Z253" s="13">
        <f>IF(ISBLANK(Table25[[#This Row],[Roster Received By]]),1,0)</f>
        <v>1</v>
      </c>
      <c r="AA253" s="13">
        <f ca="1">IF(Table25[[#This Row],[Start Date]]&gt;TODAY(),1,)</f>
        <v>0</v>
      </c>
    </row>
    <row r="254" spans="1:27" s="46" customFormat="1" hidden="1" x14ac:dyDescent="0.25">
      <c r="A254" s="47"/>
      <c r="B254" s="75"/>
      <c r="C254" s="59" t="e">
        <v>#N/A</v>
      </c>
      <c r="D254" s="59" t="e">
        <v>#N/A</v>
      </c>
      <c r="E254" s="75"/>
      <c r="F254" s="69"/>
      <c r="G254" s="69"/>
      <c r="H254" s="61"/>
      <c r="I254" s="60"/>
      <c r="J254" s="60"/>
      <c r="K254" s="60"/>
      <c r="L254" s="60"/>
      <c r="M254" s="60"/>
      <c r="N254" s="60"/>
      <c r="O254" s="58"/>
      <c r="P254" s="58"/>
      <c r="Q254" s="13" t="e">
        <v>#N/A</v>
      </c>
      <c r="R254" s="13" t="e">
        <v>#N/A</v>
      </c>
      <c r="S254" s="13"/>
      <c r="T254" s="62"/>
      <c r="U254" s="13"/>
      <c r="V254" s="13"/>
      <c r="W254" s="13"/>
      <c r="X254" s="58"/>
      <c r="Y254" s="51">
        <f ca="1">Table25[[#This Row],[End Date]]+2-TODAY()</f>
        <v>-46242</v>
      </c>
      <c r="Z254" s="13">
        <f>IF(ISBLANK(Table25[[#This Row],[Roster Received By]]),1,0)</f>
        <v>1</v>
      </c>
      <c r="AA254" s="13">
        <f ca="1">IF(Table25[[#This Row],[Start Date]]&gt;TODAY(),1,)</f>
        <v>0</v>
      </c>
    </row>
    <row r="255" spans="1:27" s="46" customFormat="1" hidden="1" x14ac:dyDescent="0.25">
      <c r="B255" s="75"/>
      <c r="C255" s="59" t="e">
        <v>#N/A</v>
      </c>
      <c r="D255" s="59" t="e">
        <v>#N/A</v>
      </c>
      <c r="E255" s="75"/>
      <c r="F255" s="69"/>
      <c r="G255" s="69"/>
      <c r="H255" s="67"/>
      <c r="I255" s="67"/>
      <c r="J255" s="61"/>
      <c r="K255" s="61"/>
      <c r="L255" s="61"/>
      <c r="M255" s="61"/>
      <c r="N255" s="61"/>
      <c r="O255" s="58"/>
      <c r="P255" s="58"/>
      <c r="Q255" s="13" t="e">
        <v>#N/A</v>
      </c>
      <c r="R255" s="13" t="e">
        <v>#N/A</v>
      </c>
      <c r="S255" s="13"/>
      <c r="T255" s="62"/>
      <c r="U255" s="13"/>
      <c r="V255" s="13"/>
      <c r="W255" s="13"/>
      <c r="X255" s="58"/>
      <c r="Y255" s="51">
        <f ca="1">Table25[[#This Row],[End Date]]+2-TODAY()</f>
        <v>-46242</v>
      </c>
      <c r="Z255" s="13">
        <f>IF(ISBLANK(Table25[[#This Row],[Roster Received By]]),1,0)</f>
        <v>1</v>
      </c>
      <c r="AA255" s="13">
        <f ca="1">IF(Table25[[#This Row],[Start Date]]&gt;TODAY(),1,)</f>
        <v>0</v>
      </c>
    </row>
    <row r="256" spans="1:27" s="46" customFormat="1" hidden="1" x14ac:dyDescent="0.25">
      <c r="B256" s="75"/>
      <c r="C256" s="59" t="e">
        <v>#N/A</v>
      </c>
      <c r="D256" s="59" t="e">
        <v>#N/A</v>
      </c>
      <c r="E256" s="75"/>
      <c r="F256" s="69"/>
      <c r="G256" s="69"/>
      <c r="H256" s="60"/>
      <c r="I256" s="64"/>
      <c r="J256" s="61"/>
      <c r="K256" s="61"/>
      <c r="L256" s="61"/>
      <c r="M256" s="61"/>
      <c r="N256" s="61"/>
      <c r="O256" s="58"/>
      <c r="P256" s="58"/>
      <c r="Q256" s="13" t="e">
        <v>#N/A</v>
      </c>
      <c r="R256" s="13" t="e">
        <v>#N/A</v>
      </c>
      <c r="S256" s="62"/>
      <c r="T256" s="62"/>
      <c r="U256" s="13"/>
      <c r="V256" s="13"/>
      <c r="W256" s="13"/>
      <c r="X256" s="58"/>
      <c r="Y256" s="51">
        <f ca="1">Table25[[#This Row],[End Date]]+2-TODAY()</f>
        <v>-46242</v>
      </c>
      <c r="Z256" s="13">
        <f>IF(ISBLANK(Table25[[#This Row],[Roster Received By]]),1,0)</f>
        <v>1</v>
      </c>
      <c r="AA256" s="13">
        <f ca="1">IF(Table25[[#This Row],[Start Date]]&gt;TODAY(),1,)</f>
        <v>0</v>
      </c>
    </row>
    <row r="257" spans="1:27" s="46" customFormat="1" hidden="1" x14ac:dyDescent="0.25">
      <c r="B257" s="75"/>
      <c r="C257" s="59" t="e">
        <v>#N/A</v>
      </c>
      <c r="D257" s="59" t="e">
        <v>#N/A</v>
      </c>
      <c r="E257" s="75"/>
      <c r="F257" s="69"/>
      <c r="G257" s="69"/>
      <c r="H257" s="64"/>
      <c r="I257" s="64"/>
      <c r="J257" s="64"/>
      <c r="K257" s="64"/>
      <c r="L257" s="64"/>
      <c r="M257" s="64"/>
      <c r="N257" s="64"/>
      <c r="O257" s="58"/>
      <c r="P257" s="58"/>
      <c r="Q257" s="13" t="e">
        <v>#N/A</v>
      </c>
      <c r="R257" s="13" t="e">
        <v>#N/A</v>
      </c>
      <c r="S257" s="62"/>
      <c r="T257" s="62"/>
      <c r="U257" s="13"/>
      <c r="V257" s="13"/>
      <c r="W257" s="13"/>
      <c r="X257" s="58"/>
      <c r="Y257" s="51">
        <f ca="1">Table25[[#This Row],[End Date]]+2-TODAY()</f>
        <v>-46242</v>
      </c>
      <c r="Z257" s="13">
        <f>IF(ISBLANK(Table25[[#This Row],[Roster Received By]]),1,0)</f>
        <v>1</v>
      </c>
      <c r="AA257" s="13">
        <f ca="1">IF(Table25[[#This Row],[Start Date]]&gt;TODAY(),1,)</f>
        <v>0</v>
      </c>
    </row>
    <row r="258" spans="1:27" s="46" customFormat="1" hidden="1" x14ac:dyDescent="0.25">
      <c r="B258" s="75"/>
      <c r="C258" s="59" t="e">
        <v>#N/A</v>
      </c>
      <c r="D258" s="59" t="e">
        <v>#N/A</v>
      </c>
      <c r="E258" s="89"/>
      <c r="F258" s="57"/>
      <c r="G258" s="57"/>
      <c r="H258" s="60"/>
      <c r="I258" s="60"/>
      <c r="J258" s="61"/>
      <c r="K258" s="61"/>
      <c r="L258" s="61"/>
      <c r="M258" s="61"/>
      <c r="N258" s="61"/>
      <c r="O258" s="58"/>
      <c r="P258" s="58"/>
      <c r="Q258" s="13" t="e">
        <v>#N/A</v>
      </c>
      <c r="R258" s="13" t="e">
        <v>#N/A</v>
      </c>
      <c r="S258" s="13"/>
      <c r="T258" s="62"/>
      <c r="U258" s="13"/>
      <c r="V258" s="13"/>
      <c r="W258" s="62"/>
      <c r="X258" s="58"/>
      <c r="Y258" s="51">
        <f ca="1">Table25[[#This Row],[End Date]]+2-TODAY()</f>
        <v>-46242</v>
      </c>
      <c r="Z258" s="13">
        <f>IF(ISBLANK(Table25[[#This Row],[Roster Received By]]),1,0)</f>
        <v>1</v>
      </c>
      <c r="AA258" s="13">
        <f ca="1">IF(Table25[[#This Row],[Start Date]]&gt;TODAY(),1,)</f>
        <v>0</v>
      </c>
    </row>
    <row r="259" spans="1:27" s="46" customFormat="1" hidden="1" x14ac:dyDescent="0.25">
      <c r="B259" s="75"/>
      <c r="C259" s="59" t="e">
        <v>#N/A</v>
      </c>
      <c r="D259" s="59" t="e">
        <v>#N/A</v>
      </c>
      <c r="E259" s="58"/>
      <c r="F259" s="61"/>
      <c r="G259" s="61"/>
      <c r="H259" s="64"/>
      <c r="I259" s="64"/>
      <c r="J259" s="64"/>
      <c r="K259" s="64"/>
      <c r="L259" s="64"/>
      <c r="M259" s="64"/>
      <c r="N259" s="64"/>
      <c r="O259" s="58"/>
      <c r="P259" s="58"/>
      <c r="Q259" s="13" t="e">
        <v>#N/A</v>
      </c>
      <c r="R259" s="13" t="e">
        <v>#N/A</v>
      </c>
      <c r="S259" s="13"/>
      <c r="T259" s="62"/>
      <c r="U259" s="13"/>
      <c r="V259" s="13"/>
      <c r="W259" s="13"/>
      <c r="X259" s="58"/>
      <c r="Y259" s="51">
        <f ca="1">Table25[[#This Row],[End Date]]+2-TODAY()</f>
        <v>-46242</v>
      </c>
      <c r="Z259" s="13">
        <f>IF(ISBLANK(Table25[[#This Row],[Roster Received By]]),1,0)</f>
        <v>1</v>
      </c>
      <c r="AA259" s="13">
        <f ca="1">IF(Table25[[#This Row],[Start Date]]&gt;TODAY(),1,)</f>
        <v>0</v>
      </c>
    </row>
    <row r="260" spans="1:27" s="46" customFormat="1" hidden="1" x14ac:dyDescent="0.25">
      <c r="B260" s="76"/>
      <c r="C260" s="59" t="e">
        <v>#N/A</v>
      </c>
      <c r="D260" s="59" t="e">
        <v>#N/A</v>
      </c>
      <c r="E260" s="58"/>
      <c r="F260" s="61"/>
      <c r="G260" s="61"/>
      <c r="H260" s="61"/>
      <c r="I260" s="60"/>
      <c r="J260" s="60"/>
      <c r="K260" s="60"/>
      <c r="L260" s="60"/>
      <c r="M260" s="60"/>
      <c r="N260" s="60"/>
      <c r="O260" s="58"/>
      <c r="P260" s="58"/>
      <c r="Q260" s="13" t="e">
        <v>#N/A</v>
      </c>
      <c r="R260" s="13" t="e">
        <v>#N/A</v>
      </c>
      <c r="S260" s="13"/>
      <c r="T260" s="62"/>
      <c r="U260" s="13"/>
      <c r="V260" s="13"/>
      <c r="W260" s="13"/>
      <c r="X260" s="58"/>
      <c r="Y260" s="51">
        <f ca="1">Table25[[#This Row],[End Date]]+2-TODAY()</f>
        <v>-46242</v>
      </c>
      <c r="Z260" s="13">
        <f>IF(ISBLANK(Table25[[#This Row],[Roster Received By]]),1,0)</f>
        <v>1</v>
      </c>
      <c r="AA260" s="13">
        <f ca="1">IF(Table25[[#This Row],[Start Date]]&gt;TODAY(),1,)</f>
        <v>0</v>
      </c>
    </row>
    <row r="261" spans="1:27" s="46" customFormat="1" hidden="1" x14ac:dyDescent="0.25">
      <c r="B261" s="76"/>
      <c r="C261" s="59" t="e">
        <v>#N/A</v>
      </c>
      <c r="D261" s="59" t="e">
        <v>#N/A</v>
      </c>
      <c r="E261" s="58"/>
      <c r="F261" s="61"/>
      <c r="G261" s="61"/>
      <c r="H261" s="61"/>
      <c r="I261" s="60"/>
      <c r="J261" s="60"/>
      <c r="K261" s="60"/>
      <c r="L261" s="60"/>
      <c r="M261" s="60"/>
      <c r="N261" s="60"/>
      <c r="O261" s="58"/>
      <c r="P261" s="58"/>
      <c r="Q261" s="13" t="e">
        <v>#N/A</v>
      </c>
      <c r="R261" s="13" t="e">
        <v>#N/A</v>
      </c>
      <c r="S261" s="13"/>
      <c r="T261" s="62"/>
      <c r="U261" s="13"/>
      <c r="V261" s="13"/>
      <c r="W261" s="13"/>
      <c r="X261" s="58"/>
      <c r="Y261" s="51">
        <f ca="1">Table25[[#This Row],[End Date]]+2-TODAY()</f>
        <v>-46242</v>
      </c>
      <c r="Z261" s="13">
        <f>IF(ISBLANK(Table25[[#This Row],[Roster Received By]]),1,0)</f>
        <v>1</v>
      </c>
      <c r="AA261" s="13">
        <f ca="1">IF(Table25[[#This Row],[Start Date]]&gt;TODAY(),1,)</f>
        <v>0</v>
      </c>
    </row>
    <row r="262" spans="1:27" s="46" customFormat="1" hidden="1" x14ac:dyDescent="0.25">
      <c r="B262" s="75"/>
      <c r="C262" s="59" t="e">
        <v>#N/A</v>
      </c>
      <c r="D262" s="59" t="e">
        <v>#N/A</v>
      </c>
      <c r="E262" s="58"/>
      <c r="F262" s="61"/>
      <c r="G262" s="61"/>
      <c r="H262" s="61"/>
      <c r="I262" s="60"/>
      <c r="J262" s="60"/>
      <c r="K262" s="60"/>
      <c r="L262" s="60"/>
      <c r="M262" s="60"/>
      <c r="N262" s="60"/>
      <c r="O262" s="58"/>
      <c r="P262" s="58"/>
      <c r="Q262" s="13" t="e">
        <v>#N/A</v>
      </c>
      <c r="R262" s="13" t="e">
        <v>#N/A</v>
      </c>
      <c r="S262" s="13"/>
      <c r="T262" s="62"/>
      <c r="U262" s="13"/>
      <c r="V262" s="13"/>
      <c r="W262" s="13"/>
      <c r="X262" s="58"/>
      <c r="Y262" s="51">
        <f ca="1">Table25[[#This Row],[End Date]]+2-TODAY()</f>
        <v>-46242</v>
      </c>
      <c r="Z262" s="13">
        <f>IF(ISBLANK(Table25[[#This Row],[Roster Received By]]),1,0)</f>
        <v>1</v>
      </c>
      <c r="AA262" s="13">
        <f ca="1">IF(Table25[[#This Row],[Start Date]]&gt;TODAY(),1,)</f>
        <v>0</v>
      </c>
    </row>
    <row r="263" spans="1:27" s="46" customFormat="1" hidden="1" x14ac:dyDescent="0.25">
      <c r="B263" s="75"/>
      <c r="C263" s="59" t="e">
        <v>#N/A</v>
      </c>
      <c r="D263" s="59" t="e">
        <v>#N/A</v>
      </c>
      <c r="E263" s="58"/>
      <c r="F263" s="61"/>
      <c r="G263" s="61"/>
      <c r="H263" s="61"/>
      <c r="I263" s="60"/>
      <c r="J263" s="60"/>
      <c r="K263" s="60"/>
      <c r="L263" s="60"/>
      <c r="M263" s="60"/>
      <c r="N263" s="60"/>
      <c r="O263" s="58"/>
      <c r="P263" s="58"/>
      <c r="Q263" s="13" t="e">
        <v>#N/A</v>
      </c>
      <c r="R263" s="13" t="e">
        <v>#N/A</v>
      </c>
      <c r="S263" s="13"/>
      <c r="T263" s="62"/>
      <c r="U263" s="13"/>
      <c r="V263" s="13"/>
      <c r="W263" s="13"/>
      <c r="X263" s="58"/>
      <c r="Y263" s="51">
        <f ca="1">Table25[[#This Row],[End Date]]+2-TODAY()</f>
        <v>-46242</v>
      </c>
      <c r="Z263" s="13">
        <f>IF(ISBLANK(Table25[[#This Row],[Roster Received By]]),1,0)</f>
        <v>1</v>
      </c>
      <c r="AA263" s="13">
        <f ca="1">IF(Table25[[#This Row],[Start Date]]&gt;TODAY(),1,)</f>
        <v>0</v>
      </c>
    </row>
    <row r="264" spans="1:27" s="46" customFormat="1" hidden="1" x14ac:dyDescent="0.25">
      <c r="B264" s="75"/>
      <c r="C264" s="59" t="e">
        <v>#N/A</v>
      </c>
      <c r="D264" s="59" t="e">
        <v>#N/A</v>
      </c>
      <c r="E264" s="58"/>
      <c r="F264" s="61"/>
      <c r="G264" s="61"/>
      <c r="H264" s="61"/>
      <c r="I264" s="60"/>
      <c r="J264" s="60"/>
      <c r="K264" s="60"/>
      <c r="L264" s="60"/>
      <c r="M264" s="60"/>
      <c r="N264" s="60"/>
      <c r="O264" s="58"/>
      <c r="P264" s="58"/>
      <c r="Q264" s="13" t="e">
        <v>#N/A</v>
      </c>
      <c r="R264" s="13" t="e">
        <v>#N/A</v>
      </c>
      <c r="S264" s="13"/>
      <c r="T264" s="62"/>
      <c r="U264" s="13"/>
      <c r="V264" s="13"/>
      <c r="W264" s="13"/>
      <c r="X264" s="58"/>
      <c r="Y264" s="51">
        <f ca="1">Table25[[#This Row],[End Date]]+2-TODAY()</f>
        <v>-46242</v>
      </c>
      <c r="Z264" s="13">
        <f>IF(ISBLANK(Table25[[#This Row],[Roster Received By]]),1,0)</f>
        <v>1</v>
      </c>
      <c r="AA264" s="13">
        <f ca="1">IF(Table25[[#This Row],[Start Date]]&gt;TODAY(),1,)</f>
        <v>0</v>
      </c>
    </row>
    <row r="265" spans="1:27" s="46" customFormat="1" hidden="1" x14ac:dyDescent="0.25">
      <c r="B265" s="75"/>
      <c r="C265" s="59" t="e">
        <v>#N/A</v>
      </c>
      <c r="D265" s="59" t="e">
        <v>#N/A</v>
      </c>
      <c r="E265" s="47"/>
      <c r="F265" s="61"/>
      <c r="G265" s="61"/>
      <c r="H265" s="64"/>
      <c r="I265" s="64"/>
      <c r="J265" s="61"/>
      <c r="K265" s="61"/>
      <c r="L265" s="61"/>
      <c r="M265" s="61"/>
      <c r="N265" s="61"/>
      <c r="O265" s="58"/>
      <c r="P265" s="58"/>
      <c r="Q265" s="13" t="e">
        <v>#N/A</v>
      </c>
      <c r="R265" s="13" t="e">
        <v>#N/A</v>
      </c>
      <c r="S265" s="13"/>
      <c r="T265" s="62"/>
      <c r="U265" s="13"/>
      <c r="V265" s="13"/>
      <c r="W265" s="13"/>
      <c r="X265" s="58"/>
      <c r="Y265" s="51">
        <f ca="1">Table25[[#This Row],[End Date]]+2-TODAY()</f>
        <v>-46242</v>
      </c>
      <c r="Z265" s="13">
        <f>IF(ISBLANK(Table25[[#This Row],[Roster Received By]]),1,0)</f>
        <v>1</v>
      </c>
      <c r="AA265" s="13">
        <f ca="1">IF(Table25[[#This Row],[Start Date]]&gt;TODAY(),1,)</f>
        <v>0</v>
      </c>
    </row>
    <row r="266" spans="1:27" s="46" customFormat="1" hidden="1" x14ac:dyDescent="0.25">
      <c r="B266" s="75"/>
      <c r="C266" s="59" t="e">
        <v>#N/A</v>
      </c>
      <c r="D266" s="59" t="e">
        <v>#N/A</v>
      </c>
      <c r="E266" s="58"/>
      <c r="F266" s="61"/>
      <c r="G266" s="61"/>
      <c r="H266" s="61"/>
      <c r="I266" s="60"/>
      <c r="J266" s="60"/>
      <c r="K266" s="60"/>
      <c r="L266" s="60"/>
      <c r="M266" s="60"/>
      <c r="N266" s="60"/>
      <c r="O266" s="58"/>
      <c r="P266" s="58"/>
      <c r="Q266" s="13" t="e">
        <v>#N/A</v>
      </c>
      <c r="R266" s="13" t="e">
        <v>#N/A</v>
      </c>
      <c r="S266" s="13"/>
      <c r="T266" s="62"/>
      <c r="U266" s="13"/>
      <c r="V266" s="13"/>
      <c r="W266" s="13"/>
      <c r="X266" s="58"/>
      <c r="Y266" s="51">
        <f ca="1">Table25[[#This Row],[End Date]]+2-TODAY()</f>
        <v>-46242</v>
      </c>
      <c r="Z266" s="13">
        <f>IF(ISBLANK(Table25[[#This Row],[Roster Received By]]),1,0)</f>
        <v>1</v>
      </c>
      <c r="AA266" s="13">
        <f ca="1">IF(Table25[[#This Row],[Start Date]]&gt;TODAY(),1,)</f>
        <v>0</v>
      </c>
    </row>
    <row r="267" spans="1:27" s="65" customFormat="1" ht="15.75" hidden="1" customHeight="1" x14ac:dyDescent="0.25">
      <c r="A267" s="46"/>
      <c r="B267" s="75"/>
      <c r="C267" s="59" t="e">
        <v>#N/A</v>
      </c>
      <c r="D267" s="59" t="e">
        <v>#N/A</v>
      </c>
      <c r="E267" s="58"/>
      <c r="F267" s="61"/>
      <c r="G267" s="61"/>
      <c r="H267" s="61"/>
      <c r="I267" s="60"/>
      <c r="J267" s="60"/>
      <c r="K267" s="60"/>
      <c r="L267" s="60"/>
      <c r="M267" s="60"/>
      <c r="N267" s="60"/>
      <c r="O267" s="58"/>
      <c r="P267" s="58"/>
      <c r="Q267" s="13" t="e">
        <v>#N/A</v>
      </c>
      <c r="R267" s="13" t="e">
        <v>#N/A</v>
      </c>
      <c r="S267" s="13"/>
      <c r="T267" s="62"/>
      <c r="U267" s="13"/>
      <c r="V267" s="13"/>
      <c r="W267" s="59"/>
      <c r="X267" s="58"/>
      <c r="Y267" s="51">
        <f ca="1">Table25[[#This Row],[End Date]]+2-TODAY()</f>
        <v>-46242</v>
      </c>
      <c r="Z267" s="13">
        <f>IF(ISBLANK(Table25[[#This Row],[Roster Received By]]),1,0)</f>
        <v>1</v>
      </c>
      <c r="AA267" s="13">
        <f ca="1">IF(Table25[[#This Row],[Start Date]]&gt;TODAY(),1,)</f>
        <v>0</v>
      </c>
    </row>
    <row r="268" spans="1:27" s="65" customFormat="1" ht="14.65" hidden="1" customHeight="1" x14ac:dyDescent="0.25">
      <c r="A268" s="46"/>
      <c r="B268" s="75"/>
      <c r="C268" s="59" t="e">
        <v>#N/A</v>
      </c>
      <c r="D268" s="59" t="e">
        <v>#N/A</v>
      </c>
      <c r="E268" s="47"/>
      <c r="F268" s="61"/>
      <c r="G268" s="61"/>
      <c r="H268" s="67"/>
      <c r="I268" s="67"/>
      <c r="J268" s="61"/>
      <c r="K268" s="61"/>
      <c r="L268" s="61"/>
      <c r="M268" s="61"/>
      <c r="N268" s="61"/>
      <c r="O268" s="58"/>
      <c r="P268" s="58"/>
      <c r="Q268" s="13" t="e">
        <v>#N/A</v>
      </c>
      <c r="R268" s="13" t="e">
        <v>#N/A</v>
      </c>
      <c r="S268" s="13"/>
      <c r="T268" s="62"/>
      <c r="U268" s="13"/>
      <c r="V268" s="13"/>
      <c r="W268" s="13"/>
      <c r="X268" s="58"/>
      <c r="Y268" s="51">
        <f ca="1">Table25[[#This Row],[End Date]]+2-TODAY()</f>
        <v>-46242</v>
      </c>
      <c r="Z268" s="13">
        <f>IF(ISBLANK(Table25[[#This Row],[Roster Received By]]),1,0)</f>
        <v>1</v>
      </c>
      <c r="AA268" s="13">
        <f ca="1">IF(Table25[[#This Row],[Start Date]]&gt;TODAY(),1,)</f>
        <v>0</v>
      </c>
    </row>
    <row r="269" spans="1:27" s="65" customFormat="1" ht="15.75" hidden="1" customHeight="1" x14ac:dyDescent="0.25">
      <c r="A269" s="46"/>
      <c r="B269" s="75"/>
      <c r="C269" s="59" t="e">
        <v>#N/A</v>
      </c>
      <c r="D269" s="59" t="e">
        <v>#N/A</v>
      </c>
      <c r="E269" s="70"/>
      <c r="F269" s="49"/>
      <c r="G269" s="49"/>
      <c r="H269" s="67"/>
      <c r="I269" s="67"/>
      <c r="J269" s="61"/>
      <c r="K269" s="61"/>
      <c r="L269" s="61"/>
      <c r="M269" s="61"/>
      <c r="N269" s="61"/>
      <c r="O269" s="58"/>
      <c r="P269" s="58"/>
      <c r="Q269" s="13" t="e">
        <v>#N/A</v>
      </c>
      <c r="R269" s="13" t="e">
        <v>#N/A</v>
      </c>
      <c r="S269" s="13"/>
      <c r="T269" s="62"/>
      <c r="U269" s="13"/>
      <c r="V269" s="13"/>
      <c r="W269" s="13"/>
      <c r="X269" s="58"/>
      <c r="Y269" s="51">
        <f ca="1">Table25[[#This Row],[End Date]]+2-TODAY()</f>
        <v>-46242</v>
      </c>
      <c r="Z269" s="13">
        <f>IF(ISBLANK(Table25[[#This Row],[Roster Received By]]),1,0)</f>
        <v>1</v>
      </c>
      <c r="AA269" s="13">
        <f ca="1">IF(Table25[[#This Row],[Start Date]]&gt;TODAY(),1,)</f>
        <v>0</v>
      </c>
    </row>
    <row r="270" spans="1:27" s="65" customFormat="1" ht="15.75" hidden="1" customHeight="1" x14ac:dyDescent="0.25">
      <c r="A270" s="46"/>
      <c r="B270" s="75"/>
      <c r="C270" s="59" t="e">
        <v>#N/A</v>
      </c>
      <c r="D270" s="59" t="e">
        <v>#N/A</v>
      </c>
      <c r="E270" s="58"/>
      <c r="F270" s="61"/>
      <c r="G270" s="61"/>
      <c r="H270" s="64"/>
      <c r="I270" s="64"/>
      <c r="J270" s="64"/>
      <c r="K270" s="64"/>
      <c r="L270" s="64"/>
      <c r="M270" s="64"/>
      <c r="N270" s="61"/>
      <c r="O270" s="58"/>
      <c r="P270" s="58"/>
      <c r="Q270" s="13" t="e">
        <v>#N/A</v>
      </c>
      <c r="R270" s="13" t="e">
        <v>#N/A</v>
      </c>
      <c r="S270" s="13"/>
      <c r="T270" s="62"/>
      <c r="U270" s="13"/>
      <c r="V270" s="13"/>
      <c r="W270" s="13"/>
      <c r="X270" s="58"/>
      <c r="Y270" s="51">
        <f ca="1">Table25[[#This Row],[End Date]]+2-TODAY()</f>
        <v>-46242</v>
      </c>
      <c r="Z270" s="13">
        <f>IF(ISBLANK(Table25[[#This Row],[Roster Received By]]),1,0)</f>
        <v>1</v>
      </c>
      <c r="AA270" s="13">
        <f ca="1">IF(Table25[[#This Row],[Start Date]]&gt;TODAY(),1,)</f>
        <v>0</v>
      </c>
    </row>
    <row r="271" spans="1:27" s="65" customFormat="1" ht="15.75" hidden="1" customHeight="1" x14ac:dyDescent="0.25">
      <c r="A271" s="47"/>
      <c r="B271" s="75"/>
      <c r="C271" s="59" t="e">
        <v>#N/A</v>
      </c>
      <c r="D271" s="59" t="e">
        <v>#N/A</v>
      </c>
      <c r="E271" s="58"/>
      <c r="F271" s="61"/>
      <c r="G271" s="61"/>
      <c r="H271" s="67"/>
      <c r="I271" s="67"/>
      <c r="J271" s="61"/>
      <c r="K271" s="61"/>
      <c r="L271" s="61"/>
      <c r="M271" s="61"/>
      <c r="N271" s="61"/>
      <c r="O271" s="58"/>
      <c r="P271" s="58"/>
      <c r="Q271" s="13" t="e">
        <v>#N/A</v>
      </c>
      <c r="R271" s="13" t="e">
        <v>#N/A</v>
      </c>
      <c r="S271" s="13"/>
      <c r="T271" s="62"/>
      <c r="U271" s="13"/>
      <c r="V271" s="13"/>
      <c r="W271" s="13"/>
      <c r="X271" s="58"/>
      <c r="Y271" s="51">
        <f ca="1">Table25[[#This Row],[End Date]]+2-TODAY()</f>
        <v>-46242</v>
      </c>
      <c r="Z271" s="13">
        <f>IF(ISBLANK(Table25[[#This Row],[Roster Received By]]),1,0)</f>
        <v>1</v>
      </c>
      <c r="AA271" s="13">
        <f ca="1">IF(Table25[[#This Row],[Start Date]]&gt;TODAY(),1,)</f>
        <v>0</v>
      </c>
    </row>
    <row r="272" spans="1:27" s="65" customFormat="1" ht="15.75" hidden="1" customHeight="1" x14ac:dyDescent="0.25">
      <c r="A272" s="46"/>
      <c r="B272" s="75"/>
      <c r="C272" s="59" t="e">
        <v>#N/A</v>
      </c>
      <c r="D272" s="59" t="e">
        <v>#N/A</v>
      </c>
      <c r="E272" s="47"/>
      <c r="F272" s="61"/>
      <c r="G272" s="61"/>
      <c r="H272" s="64"/>
      <c r="I272" s="64"/>
      <c r="J272" s="61"/>
      <c r="K272" s="61"/>
      <c r="L272" s="61"/>
      <c r="M272" s="61"/>
      <c r="N272" s="61"/>
      <c r="O272" s="58"/>
      <c r="P272" s="58"/>
      <c r="Q272" s="13" t="e">
        <v>#N/A</v>
      </c>
      <c r="R272" s="13" t="e">
        <v>#N/A</v>
      </c>
      <c r="S272" s="13"/>
      <c r="T272" s="62"/>
      <c r="U272" s="13"/>
      <c r="V272" s="13"/>
      <c r="W272" s="13"/>
      <c r="X272" s="58"/>
      <c r="Y272" s="51">
        <f ca="1">Table25[[#This Row],[End Date]]+2-TODAY()</f>
        <v>-46242</v>
      </c>
      <c r="Z272" s="13">
        <f>IF(ISBLANK(Table25[[#This Row],[Roster Received By]]),1,0)</f>
        <v>1</v>
      </c>
      <c r="AA272" s="13">
        <f ca="1">IF(Table25[[#This Row],[Start Date]]&gt;TODAY(),1,)</f>
        <v>0</v>
      </c>
    </row>
    <row r="273" spans="1:27" s="65" customFormat="1" ht="15.75" hidden="1" customHeight="1" x14ac:dyDescent="0.25">
      <c r="A273" s="58"/>
      <c r="B273" s="75"/>
      <c r="C273" s="59" t="e">
        <v>#N/A</v>
      </c>
      <c r="D273" s="59" t="e">
        <v>#N/A</v>
      </c>
      <c r="E273" s="58"/>
      <c r="F273" s="61"/>
      <c r="G273" s="61"/>
      <c r="H273" s="64"/>
      <c r="I273" s="64"/>
      <c r="J273" s="61"/>
      <c r="K273" s="61"/>
      <c r="L273" s="61"/>
      <c r="M273" s="61"/>
      <c r="N273" s="61"/>
      <c r="O273" s="58"/>
      <c r="P273" s="58"/>
      <c r="Q273" s="13" t="e">
        <v>#N/A</v>
      </c>
      <c r="R273" s="13" t="e">
        <v>#N/A</v>
      </c>
      <c r="S273" s="13"/>
      <c r="T273" s="62"/>
      <c r="U273" s="13"/>
      <c r="V273" s="13"/>
      <c r="W273" s="13"/>
      <c r="X273" s="58"/>
      <c r="Y273" s="51">
        <f ca="1">Table25[[#This Row],[End Date]]+2-TODAY()</f>
        <v>-46242</v>
      </c>
      <c r="Z273" s="13">
        <f>IF(ISBLANK(Table25[[#This Row],[Roster Received By]]),1,0)</f>
        <v>1</v>
      </c>
      <c r="AA273" s="13">
        <f ca="1">IF(Table25[[#This Row],[Start Date]]&gt;TODAY(),1,)</f>
        <v>0</v>
      </c>
    </row>
    <row r="274" spans="1:27" s="65" customFormat="1" ht="15.75" hidden="1" customHeight="1" x14ac:dyDescent="0.25">
      <c r="A274" s="46"/>
      <c r="B274" s="75"/>
      <c r="C274" s="59" t="e">
        <v>#N/A</v>
      </c>
      <c r="D274" s="59" t="e">
        <v>#N/A</v>
      </c>
      <c r="E274" s="47"/>
      <c r="F274" s="61"/>
      <c r="G274" s="61"/>
      <c r="H274" s="64"/>
      <c r="I274" s="60"/>
      <c r="J274" s="60"/>
      <c r="K274" s="60"/>
      <c r="L274" s="60"/>
      <c r="M274" s="60"/>
      <c r="N274" s="60"/>
      <c r="O274" s="58"/>
      <c r="P274" s="58"/>
      <c r="Q274" s="13" t="e">
        <v>#N/A</v>
      </c>
      <c r="R274" s="13" t="e">
        <v>#N/A</v>
      </c>
      <c r="S274" s="13"/>
      <c r="T274" s="62"/>
      <c r="U274" s="13"/>
      <c r="V274" s="13"/>
      <c r="W274" s="13"/>
      <c r="X274" s="58"/>
      <c r="Y274" s="51">
        <f ca="1">Table25[[#This Row],[End Date]]+2-TODAY()</f>
        <v>-46242</v>
      </c>
      <c r="Z274" s="13">
        <f>IF(ISBLANK(Table25[[#This Row],[Roster Received By]]),1,0)</f>
        <v>1</v>
      </c>
      <c r="AA274" s="13">
        <f ca="1">IF(Table25[[#This Row],[Start Date]]&gt;TODAY(),1,)</f>
        <v>0</v>
      </c>
    </row>
    <row r="275" spans="1:27" s="65" customFormat="1" ht="15.75" hidden="1" customHeight="1" x14ac:dyDescent="0.25">
      <c r="A275" s="58"/>
      <c r="B275" s="75"/>
      <c r="C275" s="59" t="e">
        <v>#N/A</v>
      </c>
      <c r="D275" s="59" t="e">
        <v>#N/A</v>
      </c>
      <c r="E275" s="58"/>
      <c r="F275" s="61"/>
      <c r="G275" s="61"/>
      <c r="H275" s="64"/>
      <c r="I275" s="64"/>
      <c r="J275" s="61"/>
      <c r="K275" s="61"/>
      <c r="L275" s="61"/>
      <c r="M275" s="61"/>
      <c r="N275" s="61"/>
      <c r="O275" s="58"/>
      <c r="P275" s="58"/>
      <c r="Q275" s="13" t="e">
        <v>#N/A</v>
      </c>
      <c r="R275" s="13" t="e">
        <v>#N/A</v>
      </c>
      <c r="S275" s="13"/>
      <c r="T275" s="62"/>
      <c r="U275" s="13"/>
      <c r="V275" s="13"/>
      <c r="W275" s="59"/>
      <c r="X275" s="58"/>
      <c r="Y275" s="51">
        <f ca="1">Table25[[#This Row],[End Date]]+2-TODAY()</f>
        <v>-46242</v>
      </c>
      <c r="Z275" s="13">
        <f>IF(ISBLANK(Table25[[#This Row],[Roster Received By]]),1,0)</f>
        <v>1</v>
      </c>
      <c r="AA275" s="13">
        <f ca="1">IF(Table25[[#This Row],[Start Date]]&gt;TODAY(),1,)</f>
        <v>0</v>
      </c>
    </row>
    <row r="276" spans="1:27" s="65" customFormat="1" ht="15.75" hidden="1" customHeight="1" x14ac:dyDescent="0.25">
      <c r="A276" s="46"/>
      <c r="B276" s="75"/>
      <c r="C276" s="59" t="e">
        <v>#N/A</v>
      </c>
      <c r="D276" s="59" t="e">
        <v>#N/A</v>
      </c>
      <c r="E276" s="47"/>
      <c r="F276" s="49"/>
      <c r="G276" s="61"/>
      <c r="H276" s="64"/>
      <c r="I276" s="64"/>
      <c r="J276" s="61"/>
      <c r="K276" s="61"/>
      <c r="L276" s="61"/>
      <c r="M276" s="61"/>
      <c r="N276" s="61"/>
      <c r="O276" s="58"/>
      <c r="P276" s="58"/>
      <c r="Q276" s="13" t="e">
        <v>#N/A</v>
      </c>
      <c r="R276" s="13" t="e">
        <v>#N/A</v>
      </c>
      <c r="S276" s="13"/>
      <c r="T276" s="62"/>
      <c r="U276" s="13"/>
      <c r="V276" s="13"/>
      <c r="W276" s="13"/>
      <c r="X276" s="58"/>
      <c r="Y276" s="51">
        <f ca="1">Table25[[#This Row],[End Date]]+2-TODAY()</f>
        <v>-46242</v>
      </c>
      <c r="Z276" s="13">
        <f>IF(ISBLANK(Table25[[#This Row],[Roster Received By]]),1,0)</f>
        <v>1</v>
      </c>
      <c r="AA276" s="13">
        <f ca="1">IF(Table25[[#This Row],[Start Date]]&gt;TODAY(),1,)</f>
        <v>0</v>
      </c>
    </row>
    <row r="277" spans="1:27" s="65" customFormat="1" ht="15.75" hidden="1" customHeight="1" x14ac:dyDescent="0.25">
      <c r="A277" s="58"/>
      <c r="B277" s="75"/>
      <c r="C277" s="59" t="e">
        <v>#N/A</v>
      </c>
      <c r="D277" s="59" t="e">
        <v>#N/A</v>
      </c>
      <c r="E277" s="58"/>
      <c r="F277" s="61"/>
      <c r="G277" s="61"/>
      <c r="H277" s="61"/>
      <c r="I277" s="60"/>
      <c r="J277" s="60"/>
      <c r="K277" s="60"/>
      <c r="L277" s="60"/>
      <c r="M277" s="60"/>
      <c r="N277" s="60"/>
      <c r="O277" s="58"/>
      <c r="P277" s="58"/>
      <c r="Q277" s="13" t="e">
        <v>#N/A</v>
      </c>
      <c r="R277" s="13" t="e">
        <v>#N/A</v>
      </c>
      <c r="S277" s="13"/>
      <c r="T277" s="62"/>
      <c r="U277" s="13"/>
      <c r="V277" s="13"/>
      <c r="W277" s="13"/>
      <c r="X277" s="58"/>
      <c r="Y277" s="51">
        <f ca="1">Table25[[#This Row],[End Date]]+2-TODAY()</f>
        <v>-46242</v>
      </c>
      <c r="Z277" s="13">
        <f>IF(ISBLANK(Table25[[#This Row],[Roster Received By]]),1,0)</f>
        <v>1</v>
      </c>
      <c r="AA277" s="13">
        <f ca="1">IF(Table25[[#This Row],[Start Date]]&gt;TODAY(),1,)</f>
        <v>0</v>
      </c>
    </row>
    <row r="278" spans="1:27" s="65" customFormat="1" ht="15.75" hidden="1" customHeight="1" x14ac:dyDescent="0.25">
      <c r="A278" s="46"/>
      <c r="B278" s="76"/>
      <c r="C278" s="59" t="e">
        <v>#N/A</v>
      </c>
      <c r="D278" s="59" t="e">
        <v>#N/A</v>
      </c>
      <c r="E278" s="58"/>
      <c r="F278" s="61"/>
      <c r="G278" s="61"/>
      <c r="H278" s="61"/>
      <c r="I278" s="60"/>
      <c r="J278" s="60"/>
      <c r="K278" s="60"/>
      <c r="L278" s="60"/>
      <c r="M278" s="60"/>
      <c r="N278" s="60"/>
      <c r="O278" s="58"/>
      <c r="P278" s="58"/>
      <c r="Q278" s="13" t="e">
        <v>#N/A</v>
      </c>
      <c r="R278" s="13" t="e">
        <v>#N/A</v>
      </c>
      <c r="S278" s="13"/>
      <c r="T278" s="62"/>
      <c r="U278" s="13"/>
      <c r="V278" s="13"/>
      <c r="W278" s="13"/>
      <c r="X278" s="58"/>
      <c r="Y278" s="51">
        <f ca="1">Table25[[#This Row],[End Date]]+2-TODAY()</f>
        <v>-46242</v>
      </c>
      <c r="Z278" s="13">
        <f>IF(ISBLANK(Table25[[#This Row],[Roster Received By]]),1,0)</f>
        <v>1</v>
      </c>
      <c r="AA278" s="13">
        <f ca="1">IF(Table25[[#This Row],[Start Date]]&gt;TODAY(),1,)</f>
        <v>0</v>
      </c>
    </row>
    <row r="279" spans="1:27" s="65" customFormat="1" ht="15.75" hidden="1" customHeight="1" x14ac:dyDescent="0.25">
      <c r="A279" s="46"/>
      <c r="B279" s="76"/>
      <c r="C279" s="59" t="e">
        <v>#N/A</v>
      </c>
      <c r="D279" s="59" t="e">
        <v>#N/A</v>
      </c>
      <c r="E279" s="58"/>
      <c r="F279" s="61"/>
      <c r="G279" s="61"/>
      <c r="H279" s="61"/>
      <c r="I279" s="60"/>
      <c r="J279" s="60"/>
      <c r="K279" s="60"/>
      <c r="L279" s="60"/>
      <c r="M279" s="60"/>
      <c r="N279" s="60"/>
      <c r="O279" s="58"/>
      <c r="P279" s="58"/>
      <c r="Q279" s="13" t="e">
        <v>#N/A</v>
      </c>
      <c r="R279" s="13" t="e">
        <v>#N/A</v>
      </c>
      <c r="S279" s="13"/>
      <c r="T279" s="62"/>
      <c r="U279" s="13"/>
      <c r="V279" s="13"/>
      <c r="W279" s="66"/>
      <c r="X279" s="58"/>
      <c r="Y279" s="51">
        <f ca="1">Table25[[#This Row],[End Date]]+2-TODAY()</f>
        <v>-46242</v>
      </c>
      <c r="Z279" s="13">
        <f>IF(ISBLANK(Table25[[#This Row],[Roster Received By]]),1,0)</f>
        <v>1</v>
      </c>
      <c r="AA279" s="13">
        <f ca="1">IF(Table25[[#This Row],[Start Date]]&gt;TODAY(),1,)</f>
        <v>0</v>
      </c>
    </row>
    <row r="280" spans="1:27" s="65" customFormat="1" ht="15.75" hidden="1" customHeight="1" x14ac:dyDescent="0.25">
      <c r="A280" s="46"/>
      <c r="B280" s="76"/>
      <c r="C280" s="59" t="e">
        <v>#N/A</v>
      </c>
      <c r="D280" s="59" t="e">
        <v>#N/A</v>
      </c>
      <c r="E280" s="58"/>
      <c r="F280" s="61"/>
      <c r="G280" s="61"/>
      <c r="H280" s="64"/>
      <c r="I280" s="64"/>
      <c r="J280" s="64"/>
      <c r="K280" s="64"/>
      <c r="L280" s="64"/>
      <c r="M280" s="64"/>
      <c r="N280" s="61"/>
      <c r="O280" s="58"/>
      <c r="P280" s="58"/>
      <c r="Q280" s="13" t="e">
        <v>#N/A</v>
      </c>
      <c r="R280" s="13" t="e">
        <v>#N/A</v>
      </c>
      <c r="S280" s="13"/>
      <c r="T280" s="62"/>
      <c r="U280" s="13"/>
      <c r="V280" s="13"/>
      <c r="W280" s="13"/>
      <c r="X280" s="58"/>
      <c r="Y280" s="51">
        <f ca="1">Table25[[#This Row],[End Date]]+2-TODAY()</f>
        <v>-46242</v>
      </c>
      <c r="Z280" s="13">
        <f>IF(ISBLANK(Table25[[#This Row],[Roster Received By]]),1,0)</f>
        <v>1</v>
      </c>
      <c r="AA280" s="13">
        <f ca="1">IF(Table25[[#This Row],[Start Date]]&gt;TODAY(),1,)</f>
        <v>0</v>
      </c>
    </row>
    <row r="281" spans="1:27" s="46" customFormat="1" hidden="1" x14ac:dyDescent="0.25">
      <c r="B281" s="75"/>
      <c r="C281" s="59" t="e">
        <v>#N/A</v>
      </c>
      <c r="D281" s="59" t="e">
        <v>#N/A</v>
      </c>
      <c r="E281" s="58"/>
      <c r="F281" s="61"/>
      <c r="G281" s="61"/>
      <c r="H281" s="61"/>
      <c r="I281" s="60"/>
      <c r="J281" s="60"/>
      <c r="K281" s="60"/>
      <c r="L281" s="60"/>
      <c r="M281" s="60"/>
      <c r="N281" s="60"/>
      <c r="O281" s="58"/>
      <c r="P281" s="58"/>
      <c r="Q281" s="13" t="e">
        <v>#N/A</v>
      </c>
      <c r="R281" s="13" t="e">
        <v>#N/A</v>
      </c>
      <c r="S281" s="13"/>
      <c r="T281" s="62"/>
      <c r="U281" s="13"/>
      <c r="V281" s="13"/>
      <c r="W281" s="13"/>
      <c r="X281" s="58"/>
      <c r="Y281" s="51">
        <f ca="1">Table25[[#This Row],[End Date]]+2-TODAY()</f>
        <v>-46242</v>
      </c>
      <c r="Z281" s="13">
        <f>IF(ISBLANK(Table25[[#This Row],[Roster Received By]]),1,0)</f>
        <v>1</v>
      </c>
      <c r="AA281" s="13">
        <f ca="1">IF(Table25[[#This Row],[Start Date]]&gt;TODAY(),1,)</f>
        <v>0</v>
      </c>
    </row>
    <row r="282" spans="1:27" s="46" customFormat="1" hidden="1" x14ac:dyDescent="0.25">
      <c r="B282" s="75"/>
      <c r="C282" s="59" t="e">
        <v>#N/A</v>
      </c>
      <c r="D282" s="59" t="e">
        <v>#N/A</v>
      </c>
      <c r="E282" s="58"/>
      <c r="F282" s="61"/>
      <c r="G282" s="61"/>
      <c r="H282" s="61"/>
      <c r="I282" s="60"/>
      <c r="J282" s="60"/>
      <c r="K282" s="60"/>
      <c r="L282" s="60"/>
      <c r="M282" s="60"/>
      <c r="N282" s="60"/>
      <c r="O282" s="58"/>
      <c r="P282" s="58"/>
      <c r="Q282" s="13" t="e">
        <v>#N/A</v>
      </c>
      <c r="R282" s="13" t="e">
        <v>#N/A</v>
      </c>
      <c r="S282" s="13"/>
      <c r="T282" s="62"/>
      <c r="U282" s="13"/>
      <c r="V282" s="13"/>
      <c r="W282" s="13"/>
      <c r="X282" s="58"/>
      <c r="Y282" s="51">
        <f ca="1">Table25[[#This Row],[End Date]]+2-TODAY()</f>
        <v>-46242</v>
      </c>
      <c r="Z282" s="13">
        <f>IF(ISBLANK(Table25[[#This Row],[Roster Received By]]),1,0)</f>
        <v>1</v>
      </c>
      <c r="AA282" s="13">
        <f ca="1">IF(Table25[[#This Row],[Start Date]]&gt;TODAY(),1,)</f>
        <v>0</v>
      </c>
    </row>
    <row r="283" spans="1:27" s="46" customFormat="1" hidden="1" x14ac:dyDescent="0.25">
      <c r="B283" s="76"/>
      <c r="C283" s="59" t="e">
        <v>#N/A</v>
      </c>
      <c r="D283" s="59" t="e">
        <v>#N/A</v>
      </c>
      <c r="E283" s="58"/>
      <c r="F283" s="61"/>
      <c r="G283" s="61"/>
      <c r="H283" s="61"/>
      <c r="I283" s="60"/>
      <c r="J283" s="60"/>
      <c r="K283" s="60"/>
      <c r="L283" s="60"/>
      <c r="M283" s="60"/>
      <c r="N283" s="60"/>
      <c r="O283" s="58"/>
      <c r="P283" s="58"/>
      <c r="Q283" s="13" t="e">
        <v>#N/A</v>
      </c>
      <c r="R283" s="13" t="e">
        <v>#N/A</v>
      </c>
      <c r="S283" s="13"/>
      <c r="T283" s="62"/>
      <c r="U283" s="13"/>
      <c r="V283" s="13"/>
      <c r="W283" s="13"/>
      <c r="X283" s="58"/>
      <c r="Y283" s="51">
        <f ca="1">Table25[[#This Row],[End Date]]+2-TODAY()</f>
        <v>-46242</v>
      </c>
      <c r="Z283" s="13">
        <f>IF(ISBLANK(Table25[[#This Row],[Roster Received By]]),1,0)</f>
        <v>1</v>
      </c>
      <c r="AA283" s="13">
        <f ca="1">IF(Table25[[#This Row],[Start Date]]&gt;TODAY(),1,)</f>
        <v>0</v>
      </c>
    </row>
    <row r="284" spans="1:27" s="46" customFormat="1" hidden="1" x14ac:dyDescent="0.25">
      <c r="B284" s="76"/>
      <c r="C284" s="59" t="e">
        <v>#N/A</v>
      </c>
      <c r="D284" s="59" t="e">
        <v>#N/A</v>
      </c>
      <c r="E284" s="58"/>
      <c r="F284" s="49"/>
      <c r="G284" s="49"/>
      <c r="H284" s="49"/>
      <c r="I284" s="60"/>
      <c r="J284" s="60"/>
      <c r="K284" s="60"/>
      <c r="L284" s="60"/>
      <c r="M284" s="60"/>
      <c r="N284" s="60"/>
      <c r="O284" s="58"/>
      <c r="P284" s="58"/>
      <c r="Q284" s="13" t="e">
        <v>#N/A</v>
      </c>
      <c r="R284" s="13" t="e">
        <v>#N/A</v>
      </c>
      <c r="S284" s="13"/>
      <c r="T284" s="62"/>
      <c r="U284" s="13"/>
      <c r="V284" s="13"/>
      <c r="W284" s="62"/>
      <c r="X284" s="58"/>
      <c r="Y284" s="51">
        <f ca="1">Table25[[#This Row],[End Date]]+2-TODAY()</f>
        <v>-46242</v>
      </c>
      <c r="Z284" s="13">
        <f>IF(ISBLANK(Table25[[#This Row],[Roster Received By]]),1,0)</f>
        <v>1</v>
      </c>
      <c r="AA284" s="13">
        <f ca="1">IF(Table25[[#This Row],[Start Date]]&gt;TODAY(),1,)</f>
        <v>0</v>
      </c>
    </row>
    <row r="285" spans="1:27" s="46" customFormat="1" hidden="1" x14ac:dyDescent="0.25">
      <c r="B285" s="75"/>
      <c r="C285" s="59" t="e">
        <v>#N/A</v>
      </c>
      <c r="D285" s="59" t="e">
        <v>#N/A</v>
      </c>
      <c r="E285" s="58"/>
      <c r="F285" s="61"/>
      <c r="G285" s="61"/>
      <c r="H285" s="64"/>
      <c r="I285" s="64"/>
      <c r="J285" s="64"/>
      <c r="K285" s="64"/>
      <c r="L285" s="64"/>
      <c r="M285" s="64"/>
      <c r="N285" s="64"/>
      <c r="O285" s="58"/>
      <c r="P285" s="58"/>
      <c r="Q285" s="13" t="e">
        <v>#N/A</v>
      </c>
      <c r="R285" s="13" t="e">
        <v>#N/A</v>
      </c>
      <c r="S285" s="13"/>
      <c r="T285" s="62"/>
      <c r="U285" s="13"/>
      <c r="V285" s="13"/>
      <c r="W285" s="13"/>
      <c r="X285" s="58"/>
      <c r="Y285" s="51">
        <f ca="1">Table25[[#This Row],[End Date]]+2-TODAY()</f>
        <v>-46242</v>
      </c>
      <c r="Z285" s="13">
        <f>IF(ISBLANK(Table25[[#This Row],[Roster Received By]]),1,0)</f>
        <v>1</v>
      </c>
      <c r="AA285" s="13">
        <f ca="1">IF(Table25[[#This Row],[Start Date]]&gt;TODAY(),1,)</f>
        <v>0</v>
      </c>
    </row>
    <row r="286" spans="1:27" s="46" customFormat="1" hidden="1" x14ac:dyDescent="0.25">
      <c r="B286" s="75"/>
      <c r="C286" s="59" t="e">
        <v>#N/A</v>
      </c>
      <c r="D286" s="59" t="e">
        <v>#N/A</v>
      </c>
      <c r="E286" s="58"/>
      <c r="F286" s="49"/>
      <c r="G286" s="61"/>
      <c r="H286" s="61"/>
      <c r="I286" s="60"/>
      <c r="J286" s="60"/>
      <c r="K286" s="60"/>
      <c r="L286" s="60"/>
      <c r="M286" s="60"/>
      <c r="N286" s="60"/>
      <c r="O286" s="58"/>
      <c r="P286" s="58"/>
      <c r="Q286" s="13" t="e">
        <v>#N/A</v>
      </c>
      <c r="R286" s="13" t="e">
        <v>#N/A</v>
      </c>
      <c r="S286" s="13"/>
      <c r="T286" s="62"/>
      <c r="U286" s="13"/>
      <c r="V286" s="13"/>
      <c r="W286" s="13"/>
      <c r="X286" s="58"/>
      <c r="Y286" s="51">
        <f ca="1">Table25[[#This Row],[End Date]]+2-TODAY()</f>
        <v>-46242</v>
      </c>
      <c r="Z286" s="13">
        <f>IF(ISBLANK(Table25[[#This Row],[Roster Received By]]),1,0)</f>
        <v>1</v>
      </c>
      <c r="AA286" s="13">
        <f ca="1">IF(Table25[[#This Row],[Start Date]]&gt;TODAY(),1,)</f>
        <v>0</v>
      </c>
    </row>
    <row r="287" spans="1:27" s="46" customFormat="1" hidden="1" x14ac:dyDescent="0.25">
      <c r="B287" s="76"/>
      <c r="C287" s="59" t="e">
        <v>#N/A</v>
      </c>
      <c r="D287" s="59" t="e">
        <v>#N/A</v>
      </c>
      <c r="E287" s="58"/>
      <c r="F287" s="61"/>
      <c r="G287" s="61"/>
      <c r="H287" s="64"/>
      <c r="I287" s="64"/>
      <c r="J287" s="61"/>
      <c r="K287" s="61"/>
      <c r="L287" s="61"/>
      <c r="M287" s="61"/>
      <c r="N287" s="61"/>
      <c r="O287" s="58"/>
      <c r="P287" s="58"/>
      <c r="Q287" s="13" t="e">
        <v>#N/A</v>
      </c>
      <c r="R287" s="13" t="e">
        <v>#N/A</v>
      </c>
      <c r="S287" s="13"/>
      <c r="T287" s="62"/>
      <c r="U287" s="13"/>
      <c r="V287" s="13"/>
      <c r="W287" s="13"/>
      <c r="X287" s="58"/>
      <c r="Y287" s="51">
        <f ca="1">Table25[[#This Row],[End Date]]+2-TODAY()</f>
        <v>-46242</v>
      </c>
      <c r="Z287" s="13">
        <f>IF(ISBLANK(Table25[[#This Row],[Roster Received By]]),1,0)</f>
        <v>1</v>
      </c>
      <c r="AA287" s="13">
        <f ca="1">IF(Table25[[#This Row],[Start Date]]&gt;TODAY(),1,)</f>
        <v>0</v>
      </c>
    </row>
    <row r="288" spans="1:27" s="46" customFormat="1" hidden="1" x14ac:dyDescent="0.25">
      <c r="A288" s="47"/>
      <c r="B288" s="76"/>
      <c r="C288" s="59" t="e">
        <v>#N/A</v>
      </c>
      <c r="D288" s="59" t="e">
        <v>#N/A</v>
      </c>
      <c r="E288" s="47"/>
      <c r="F288" s="61"/>
      <c r="G288" s="61"/>
      <c r="H288" s="64"/>
      <c r="I288" s="64"/>
      <c r="J288" s="61"/>
      <c r="K288" s="61"/>
      <c r="L288" s="61"/>
      <c r="M288" s="61"/>
      <c r="N288" s="61"/>
      <c r="O288" s="58"/>
      <c r="P288" s="58"/>
      <c r="Q288" s="13" t="e">
        <v>#N/A</v>
      </c>
      <c r="R288" s="13" t="e">
        <v>#N/A</v>
      </c>
      <c r="S288" s="13"/>
      <c r="T288" s="62"/>
      <c r="U288" s="13"/>
      <c r="V288" s="13"/>
      <c r="W288" s="13"/>
      <c r="X288" s="58"/>
      <c r="Y288" s="51">
        <f ca="1">Table25[[#This Row],[End Date]]+2-TODAY()</f>
        <v>-46242</v>
      </c>
      <c r="Z288" s="13">
        <f>IF(ISBLANK(Table25[[#This Row],[Roster Received By]]),1,0)</f>
        <v>1</v>
      </c>
      <c r="AA288" s="13">
        <f ca="1">IF(Table25[[#This Row],[Start Date]]&gt;TODAY(),1,)</f>
        <v>0</v>
      </c>
    </row>
    <row r="289" spans="2:27" s="46" customFormat="1" hidden="1" x14ac:dyDescent="0.25">
      <c r="B289" s="75"/>
      <c r="C289" s="59" t="e">
        <v>#N/A</v>
      </c>
      <c r="D289" s="59" t="e">
        <v>#N/A</v>
      </c>
      <c r="E289" s="58"/>
      <c r="F289" s="61"/>
      <c r="G289" s="61"/>
      <c r="H289" s="64"/>
      <c r="I289" s="64"/>
      <c r="J289" s="64"/>
      <c r="K289" s="64"/>
      <c r="L289" s="64"/>
      <c r="M289" s="64"/>
      <c r="N289" s="61"/>
      <c r="O289" s="58"/>
      <c r="P289" s="58"/>
      <c r="Q289" s="13" t="e">
        <v>#N/A</v>
      </c>
      <c r="R289" s="13" t="e">
        <v>#N/A</v>
      </c>
      <c r="S289" s="13"/>
      <c r="T289" s="62"/>
      <c r="U289" s="13"/>
      <c r="V289" s="13"/>
      <c r="W289" s="13"/>
      <c r="X289" s="58"/>
      <c r="Y289" s="51">
        <f ca="1">Table25[[#This Row],[End Date]]+2-TODAY()</f>
        <v>-46242</v>
      </c>
      <c r="Z289" s="13">
        <f>IF(ISBLANK(Table25[[#This Row],[Roster Received By]]),1,0)</f>
        <v>1</v>
      </c>
      <c r="AA289" s="13">
        <f ca="1">IF(Table25[[#This Row],[Start Date]]&gt;TODAY(),1,)</f>
        <v>0</v>
      </c>
    </row>
    <row r="290" spans="2:27" s="46" customFormat="1" hidden="1" x14ac:dyDescent="0.25">
      <c r="B290" s="75"/>
      <c r="C290" s="59" t="e">
        <v>#N/A</v>
      </c>
      <c r="D290" s="59" t="e">
        <v>#N/A</v>
      </c>
      <c r="E290" s="58"/>
      <c r="F290" s="61"/>
      <c r="G290" s="61"/>
      <c r="H290" s="64"/>
      <c r="I290" s="64"/>
      <c r="J290" s="64"/>
      <c r="K290" s="64"/>
      <c r="L290" s="64"/>
      <c r="M290" s="64"/>
      <c r="N290" s="61"/>
      <c r="O290" s="58"/>
      <c r="P290" s="58"/>
      <c r="Q290" s="13" t="e">
        <v>#N/A</v>
      </c>
      <c r="R290" s="13" t="e">
        <v>#N/A</v>
      </c>
      <c r="S290" s="13"/>
      <c r="T290" s="62"/>
      <c r="U290" s="13"/>
      <c r="V290" s="13"/>
      <c r="W290" s="59"/>
      <c r="X290" s="58"/>
      <c r="Y290" s="51">
        <f ca="1">Table25[[#This Row],[End Date]]+2-TODAY()</f>
        <v>-46242</v>
      </c>
      <c r="Z290" s="13">
        <f>IF(ISBLANK(Table25[[#This Row],[Roster Received By]]),1,0)</f>
        <v>1</v>
      </c>
      <c r="AA290" s="13">
        <f ca="1">IF(Table25[[#This Row],[Start Date]]&gt;TODAY(),1,)</f>
        <v>0</v>
      </c>
    </row>
    <row r="291" spans="2:27" s="46" customFormat="1" hidden="1" x14ac:dyDescent="0.25">
      <c r="B291" s="75"/>
      <c r="C291" s="59" t="e">
        <v>#N/A</v>
      </c>
      <c r="D291" s="59" t="e">
        <v>#N/A</v>
      </c>
      <c r="E291" s="58"/>
      <c r="F291" s="61"/>
      <c r="G291" s="61"/>
      <c r="H291" s="61"/>
      <c r="I291" s="60"/>
      <c r="J291" s="60"/>
      <c r="K291" s="60"/>
      <c r="L291" s="60"/>
      <c r="M291" s="60"/>
      <c r="N291" s="60"/>
      <c r="O291" s="58"/>
      <c r="P291" s="58"/>
      <c r="Q291" s="13" t="e">
        <v>#N/A</v>
      </c>
      <c r="R291" s="13" t="e">
        <v>#N/A</v>
      </c>
      <c r="S291" s="13"/>
      <c r="T291" s="62"/>
      <c r="U291" s="13"/>
      <c r="V291" s="13"/>
      <c r="W291" s="13"/>
      <c r="X291" s="58"/>
      <c r="Y291" s="51">
        <f ca="1">Table25[[#This Row],[End Date]]+2-TODAY()</f>
        <v>-46242</v>
      </c>
      <c r="Z291" s="13">
        <f>IF(ISBLANK(Table25[[#This Row],[Roster Received By]]),1,0)</f>
        <v>1</v>
      </c>
      <c r="AA291" s="13">
        <f ca="1">IF(Table25[[#This Row],[Start Date]]&gt;TODAY(),1,)</f>
        <v>0</v>
      </c>
    </row>
    <row r="292" spans="2:27" s="46" customFormat="1" hidden="1" x14ac:dyDescent="0.25">
      <c r="B292" s="75"/>
      <c r="C292" s="59" t="e">
        <v>#N/A</v>
      </c>
      <c r="D292" s="59" t="e">
        <v>#N/A</v>
      </c>
      <c r="E292" s="58"/>
      <c r="F292" s="61"/>
      <c r="G292" s="61"/>
      <c r="H292" s="61"/>
      <c r="I292" s="60"/>
      <c r="J292" s="60"/>
      <c r="K292" s="60"/>
      <c r="L292" s="60"/>
      <c r="M292" s="60"/>
      <c r="N292" s="60"/>
      <c r="O292" s="58"/>
      <c r="P292" s="58"/>
      <c r="Q292" s="13" t="e">
        <v>#N/A</v>
      </c>
      <c r="R292" s="13" t="e">
        <v>#N/A</v>
      </c>
      <c r="S292" s="13"/>
      <c r="T292" s="62"/>
      <c r="U292" s="13"/>
      <c r="V292" s="13"/>
      <c r="W292" s="13"/>
      <c r="X292" s="58"/>
      <c r="Y292" s="51">
        <f ca="1">Table25[[#This Row],[End Date]]+2-TODAY()</f>
        <v>-46242</v>
      </c>
      <c r="Z292" s="13">
        <f>IF(ISBLANK(Table25[[#This Row],[Roster Received By]]),1,0)</f>
        <v>1</v>
      </c>
      <c r="AA292" s="13">
        <f ca="1">IF(Table25[[#This Row],[Start Date]]&gt;TODAY(),1,)</f>
        <v>0</v>
      </c>
    </row>
    <row r="293" spans="2:27" s="46" customFormat="1" hidden="1" x14ac:dyDescent="0.25">
      <c r="B293" s="75"/>
      <c r="C293" s="59" t="e">
        <v>#N/A</v>
      </c>
      <c r="D293" s="59" t="e">
        <v>#N/A</v>
      </c>
      <c r="E293" s="58"/>
      <c r="F293" s="61"/>
      <c r="G293" s="61"/>
      <c r="H293" s="61"/>
      <c r="I293" s="60"/>
      <c r="J293" s="60"/>
      <c r="K293" s="60"/>
      <c r="L293" s="60"/>
      <c r="M293" s="60"/>
      <c r="N293" s="60"/>
      <c r="O293" s="58"/>
      <c r="P293" s="58"/>
      <c r="Q293" s="13" t="e">
        <v>#N/A</v>
      </c>
      <c r="R293" s="13" t="e">
        <v>#N/A</v>
      </c>
      <c r="S293" s="13"/>
      <c r="T293" s="62"/>
      <c r="U293" s="13"/>
      <c r="V293" s="13"/>
      <c r="W293" s="13"/>
      <c r="X293" s="58"/>
      <c r="Y293" s="51">
        <f ca="1">Table25[[#This Row],[End Date]]+2-TODAY()</f>
        <v>-46242</v>
      </c>
      <c r="Z293" s="13">
        <f>IF(ISBLANK(Table25[[#This Row],[Roster Received By]]),1,0)</f>
        <v>1</v>
      </c>
      <c r="AA293" s="13">
        <f ca="1">IF(Table25[[#This Row],[Start Date]]&gt;TODAY(),1,)</f>
        <v>0</v>
      </c>
    </row>
    <row r="294" spans="2:27" s="46" customFormat="1" hidden="1" x14ac:dyDescent="0.25">
      <c r="B294" s="75"/>
      <c r="C294" s="59" t="e">
        <v>#N/A</v>
      </c>
      <c r="D294" s="59" t="e">
        <v>#N/A</v>
      </c>
      <c r="E294" s="58"/>
      <c r="F294" s="61"/>
      <c r="G294" s="61"/>
      <c r="H294" s="61"/>
      <c r="I294" s="60"/>
      <c r="J294" s="60"/>
      <c r="K294" s="60"/>
      <c r="L294" s="60"/>
      <c r="M294" s="60"/>
      <c r="N294" s="60"/>
      <c r="O294" s="58"/>
      <c r="P294" s="58"/>
      <c r="Q294" s="13" t="e">
        <v>#N/A</v>
      </c>
      <c r="R294" s="13" t="e">
        <v>#N/A</v>
      </c>
      <c r="S294" s="13"/>
      <c r="T294" s="62"/>
      <c r="U294" s="13"/>
      <c r="V294" s="13"/>
      <c r="W294" s="13"/>
      <c r="X294" s="58"/>
      <c r="Y294" s="51">
        <f ca="1">Table25[[#This Row],[End Date]]+2-TODAY()</f>
        <v>-46242</v>
      </c>
      <c r="Z294" s="13">
        <f>IF(ISBLANK(Table25[[#This Row],[Roster Received By]]),1,0)</f>
        <v>1</v>
      </c>
      <c r="AA294" s="13">
        <f ca="1">IF(Table25[[#This Row],[Start Date]]&gt;TODAY(),1,)</f>
        <v>0</v>
      </c>
    </row>
    <row r="295" spans="2:27" s="46" customFormat="1" hidden="1" x14ac:dyDescent="0.25">
      <c r="B295" s="76"/>
      <c r="C295" s="59" t="e">
        <v>#N/A</v>
      </c>
      <c r="D295" s="59" t="e">
        <v>#N/A</v>
      </c>
      <c r="E295" s="58"/>
      <c r="F295" s="61"/>
      <c r="G295" s="61"/>
      <c r="H295" s="61"/>
      <c r="I295" s="60"/>
      <c r="J295" s="60"/>
      <c r="K295" s="60"/>
      <c r="L295" s="60"/>
      <c r="M295" s="60"/>
      <c r="N295" s="60"/>
      <c r="O295" s="58"/>
      <c r="P295" s="58"/>
      <c r="Q295" s="13" t="e">
        <v>#N/A</v>
      </c>
      <c r="R295" s="13" t="e">
        <v>#N/A</v>
      </c>
      <c r="S295" s="13"/>
      <c r="T295" s="62"/>
      <c r="U295" s="13"/>
      <c r="V295" s="13"/>
      <c r="W295" s="13"/>
      <c r="X295" s="58"/>
      <c r="Y295" s="51">
        <f ca="1">Table25[[#This Row],[End Date]]+2-TODAY()</f>
        <v>-46242</v>
      </c>
      <c r="Z295" s="13">
        <f>IF(ISBLANK(Table25[[#This Row],[Roster Received By]]),1,0)</f>
        <v>1</v>
      </c>
      <c r="AA295" s="13">
        <f ca="1">IF(Table25[[#This Row],[Start Date]]&gt;TODAY(),1,)</f>
        <v>0</v>
      </c>
    </row>
    <row r="296" spans="2:27" s="46" customFormat="1" hidden="1" x14ac:dyDescent="0.25">
      <c r="B296" s="76"/>
      <c r="C296" s="59" t="e">
        <v>#N/A</v>
      </c>
      <c r="D296" s="59" t="e">
        <v>#N/A</v>
      </c>
      <c r="E296" s="58"/>
      <c r="F296" s="61"/>
      <c r="G296" s="61"/>
      <c r="H296" s="67"/>
      <c r="I296" s="67"/>
      <c r="J296" s="61"/>
      <c r="K296" s="61"/>
      <c r="L296" s="61"/>
      <c r="M296" s="61"/>
      <c r="N296" s="61"/>
      <c r="O296" s="58"/>
      <c r="P296" s="58"/>
      <c r="Q296" s="13" t="e">
        <v>#N/A</v>
      </c>
      <c r="R296" s="13" t="e">
        <v>#N/A</v>
      </c>
      <c r="S296" s="13"/>
      <c r="T296" s="62"/>
      <c r="U296" s="13"/>
      <c r="V296" s="13"/>
      <c r="W296" s="13"/>
      <c r="X296" s="58"/>
      <c r="Y296" s="51">
        <f ca="1">Table25[[#This Row],[End Date]]+2-TODAY()</f>
        <v>-46242</v>
      </c>
      <c r="Z296" s="13">
        <f>IF(ISBLANK(Table25[[#This Row],[Roster Received By]]),1,0)</f>
        <v>1</v>
      </c>
      <c r="AA296" s="13">
        <f ca="1">IF(Table25[[#This Row],[Start Date]]&gt;TODAY(),1,)</f>
        <v>0</v>
      </c>
    </row>
    <row r="297" spans="2:27" s="46" customFormat="1" hidden="1" x14ac:dyDescent="0.25">
      <c r="B297" s="76"/>
      <c r="C297" s="59" t="e">
        <v>#N/A</v>
      </c>
      <c r="D297" s="59" t="e">
        <v>#N/A</v>
      </c>
      <c r="E297" s="58"/>
      <c r="F297" s="61"/>
      <c r="G297" s="61"/>
      <c r="H297" s="61"/>
      <c r="I297" s="60"/>
      <c r="J297" s="60"/>
      <c r="K297" s="60"/>
      <c r="L297" s="60"/>
      <c r="M297" s="60"/>
      <c r="N297" s="60"/>
      <c r="O297" s="58"/>
      <c r="P297" s="58"/>
      <c r="Q297" s="13" t="e">
        <v>#N/A</v>
      </c>
      <c r="R297" s="13" t="e">
        <v>#N/A</v>
      </c>
      <c r="S297" s="13"/>
      <c r="T297" s="62"/>
      <c r="U297" s="13"/>
      <c r="V297" s="13"/>
      <c r="W297" s="13"/>
      <c r="X297" s="58"/>
      <c r="Y297" s="51">
        <f ca="1">Table25[[#This Row],[End Date]]+2-TODAY()</f>
        <v>-46242</v>
      </c>
      <c r="Z297" s="13">
        <f>IF(ISBLANK(Table25[[#This Row],[Roster Received By]]),1,0)</f>
        <v>1</v>
      </c>
      <c r="AA297" s="13">
        <f ca="1">IF(Table25[[#This Row],[Start Date]]&gt;TODAY(),1,)</f>
        <v>0</v>
      </c>
    </row>
    <row r="298" spans="2:27" s="46" customFormat="1" hidden="1" x14ac:dyDescent="0.25">
      <c r="B298" s="76"/>
      <c r="C298" s="59" t="e">
        <v>#N/A</v>
      </c>
      <c r="D298" s="59" t="e">
        <v>#N/A</v>
      </c>
      <c r="E298" s="58"/>
      <c r="F298" s="61"/>
      <c r="G298" s="61"/>
      <c r="H298" s="61"/>
      <c r="I298" s="60"/>
      <c r="J298" s="60"/>
      <c r="K298" s="60"/>
      <c r="L298" s="60"/>
      <c r="M298" s="60"/>
      <c r="N298" s="60"/>
      <c r="O298" s="58"/>
      <c r="P298" s="58"/>
      <c r="Q298" s="13" t="e">
        <v>#N/A</v>
      </c>
      <c r="R298" s="13" t="e">
        <v>#N/A</v>
      </c>
      <c r="S298" s="13"/>
      <c r="T298" s="62"/>
      <c r="U298" s="13"/>
      <c r="V298" s="13"/>
      <c r="W298" s="62"/>
      <c r="X298" s="58"/>
      <c r="Y298" s="51">
        <f ca="1">Table25[[#This Row],[End Date]]+2-TODAY()</f>
        <v>-46242</v>
      </c>
      <c r="Z298" s="13">
        <f>IF(ISBLANK(Table25[[#This Row],[Roster Received By]]),1,0)</f>
        <v>1</v>
      </c>
      <c r="AA298" s="13">
        <f ca="1">IF(Table25[[#This Row],[Start Date]]&gt;TODAY(),1,)</f>
        <v>0</v>
      </c>
    </row>
    <row r="299" spans="2:27" s="46" customFormat="1" hidden="1" x14ac:dyDescent="0.25">
      <c r="B299" s="76"/>
      <c r="C299" s="59" t="e">
        <v>#N/A</v>
      </c>
      <c r="D299" s="59" t="e">
        <v>#N/A</v>
      </c>
      <c r="E299" s="58"/>
      <c r="F299" s="61"/>
      <c r="G299" s="61"/>
      <c r="H299" s="64"/>
      <c r="I299" s="64"/>
      <c r="J299" s="61"/>
      <c r="K299" s="61"/>
      <c r="L299" s="61"/>
      <c r="M299" s="61"/>
      <c r="N299" s="61"/>
      <c r="O299" s="58"/>
      <c r="P299" s="58"/>
      <c r="Q299" s="13" t="e">
        <v>#N/A</v>
      </c>
      <c r="R299" s="13" t="e">
        <v>#N/A</v>
      </c>
      <c r="S299" s="62"/>
      <c r="T299" s="62"/>
      <c r="U299" s="13"/>
      <c r="V299" s="13"/>
      <c r="W299" s="59"/>
      <c r="X299" s="58"/>
      <c r="Y299" s="68">
        <f ca="1">Table25[[#This Row],[End Date]]+2-TODAY()</f>
        <v>-46242</v>
      </c>
      <c r="Z299" s="13">
        <f>IF(ISBLANK(Table25[[#This Row],[Roster Received By]]),1,0)</f>
        <v>1</v>
      </c>
      <c r="AA299" s="59">
        <f ca="1">IF(Table25[[#This Row],[Start Date]]&gt;TODAY(),1,)</f>
        <v>0</v>
      </c>
    </row>
    <row r="300" spans="2:27" s="46" customFormat="1" hidden="1" x14ac:dyDescent="0.25">
      <c r="B300" s="76"/>
      <c r="C300" s="59" t="e">
        <v>#N/A</v>
      </c>
      <c r="D300" s="59" t="e">
        <v>#N/A</v>
      </c>
      <c r="E300" s="58"/>
      <c r="F300" s="61"/>
      <c r="G300" s="61"/>
      <c r="H300" s="64"/>
      <c r="I300" s="64"/>
      <c r="J300" s="61"/>
      <c r="K300" s="61"/>
      <c r="L300" s="61"/>
      <c r="M300" s="61"/>
      <c r="N300" s="61"/>
      <c r="O300" s="58"/>
      <c r="P300" s="58"/>
      <c r="Q300" s="13" t="e">
        <v>#N/A</v>
      </c>
      <c r="R300" s="13" t="e">
        <v>#N/A</v>
      </c>
      <c r="S300" s="13"/>
      <c r="T300" s="62"/>
      <c r="U300" s="13"/>
      <c r="V300" s="13"/>
      <c r="W300" s="13"/>
      <c r="X300" s="58"/>
      <c r="Y300" s="51">
        <f ca="1">Table25[[#This Row],[End Date]]+2-TODAY()</f>
        <v>-46242</v>
      </c>
      <c r="Z300" s="13">
        <f>IF(ISBLANK(Table25[[#This Row],[Roster Received By]]),1,0)</f>
        <v>1</v>
      </c>
      <c r="AA300" s="13">
        <f ca="1">IF(Table25[[#This Row],[Start Date]]&gt;TODAY(),1,)</f>
        <v>0</v>
      </c>
    </row>
    <row r="301" spans="2:27" s="46" customFormat="1" hidden="1" x14ac:dyDescent="0.25">
      <c r="B301" s="76"/>
      <c r="C301" s="59" t="e">
        <v>#N/A</v>
      </c>
      <c r="D301" s="59" t="e">
        <v>#N/A</v>
      </c>
      <c r="E301" s="58"/>
      <c r="F301" s="61"/>
      <c r="G301" s="61"/>
      <c r="H301" s="64"/>
      <c r="I301" s="64"/>
      <c r="J301" s="64"/>
      <c r="K301" s="64"/>
      <c r="L301" s="64"/>
      <c r="M301" s="64"/>
      <c r="N301" s="64"/>
      <c r="O301" s="58"/>
      <c r="P301" s="58"/>
      <c r="Q301" s="13" t="e">
        <v>#N/A</v>
      </c>
      <c r="R301" s="13" t="e">
        <v>#N/A</v>
      </c>
      <c r="S301" s="13"/>
      <c r="T301" s="62"/>
      <c r="U301" s="13"/>
      <c r="V301" s="13"/>
      <c r="W301" s="13"/>
      <c r="X301" s="58"/>
      <c r="Y301" s="51">
        <f ca="1">Table25[[#This Row],[End Date]]+2-TODAY()</f>
        <v>-46242</v>
      </c>
      <c r="Z301" s="13">
        <f>IF(ISBLANK(Table25[[#This Row],[Roster Received By]]),1,0)</f>
        <v>1</v>
      </c>
      <c r="AA301" s="13">
        <f ca="1">IF(Table25[[#This Row],[Start Date]]&gt;TODAY(),1,)</f>
        <v>0</v>
      </c>
    </row>
    <row r="302" spans="2:27" s="46" customFormat="1" hidden="1" x14ac:dyDescent="0.25">
      <c r="B302" s="76"/>
      <c r="C302" s="59" t="e">
        <v>#N/A</v>
      </c>
      <c r="D302" s="59" t="e">
        <v>#N/A</v>
      </c>
      <c r="E302" s="58"/>
      <c r="F302" s="49"/>
      <c r="G302" s="61"/>
      <c r="H302" s="61"/>
      <c r="I302" s="60"/>
      <c r="J302" s="60"/>
      <c r="K302" s="60"/>
      <c r="L302" s="60"/>
      <c r="M302" s="60"/>
      <c r="N302" s="60"/>
      <c r="O302" s="58"/>
      <c r="P302" s="58"/>
      <c r="Q302" s="13" t="e">
        <v>#N/A</v>
      </c>
      <c r="R302" s="13" t="e">
        <v>#N/A</v>
      </c>
      <c r="S302" s="13"/>
      <c r="T302" s="62"/>
      <c r="U302" s="13"/>
      <c r="V302" s="13"/>
      <c r="W302" s="13"/>
      <c r="X302" s="58"/>
      <c r="Y302" s="51">
        <f ca="1">Table25[[#This Row],[End Date]]+2-TODAY()</f>
        <v>-46242</v>
      </c>
      <c r="Z302" s="13">
        <f>IF(ISBLANK(Table25[[#This Row],[Roster Received By]]),1,0)</f>
        <v>1</v>
      </c>
      <c r="AA302" s="13">
        <f ca="1">IF(Table25[[#This Row],[Start Date]]&gt;TODAY(),1,)</f>
        <v>0</v>
      </c>
    </row>
    <row r="303" spans="2:27" s="46" customFormat="1" hidden="1" x14ac:dyDescent="0.25">
      <c r="B303" s="76"/>
      <c r="C303" s="59" t="e">
        <v>#N/A</v>
      </c>
      <c r="D303" s="59" t="e">
        <v>#N/A</v>
      </c>
      <c r="E303" s="58"/>
      <c r="F303" s="61"/>
      <c r="G303" s="61"/>
      <c r="H303" s="61"/>
      <c r="I303" s="60"/>
      <c r="J303" s="60"/>
      <c r="K303" s="60"/>
      <c r="L303" s="60"/>
      <c r="M303" s="60"/>
      <c r="N303" s="60"/>
      <c r="O303" s="58"/>
      <c r="P303" s="58"/>
      <c r="Q303" s="13" t="e">
        <v>#N/A</v>
      </c>
      <c r="R303" s="13" t="e">
        <v>#N/A</v>
      </c>
      <c r="S303" s="13"/>
      <c r="T303" s="62"/>
      <c r="U303" s="13"/>
      <c r="V303" s="13"/>
      <c r="W303" s="13"/>
      <c r="X303" s="58"/>
      <c r="Y303" s="51">
        <f ca="1">Table25[[#This Row],[End Date]]+2-TODAY()</f>
        <v>-46242</v>
      </c>
      <c r="Z303" s="13">
        <f>IF(ISBLANK(Table25[[#This Row],[Roster Received By]]),1,0)</f>
        <v>1</v>
      </c>
      <c r="AA303" s="13">
        <f ca="1">IF(Table25[[#This Row],[Start Date]]&gt;TODAY(),1,)</f>
        <v>0</v>
      </c>
    </row>
    <row r="304" spans="2:27" s="46" customFormat="1" hidden="1" x14ac:dyDescent="0.25">
      <c r="B304" s="76"/>
      <c r="C304" s="59" t="e">
        <v>#N/A</v>
      </c>
      <c r="D304" s="59" t="e">
        <v>#N/A</v>
      </c>
      <c r="E304" s="58"/>
      <c r="F304" s="69"/>
      <c r="G304" s="69"/>
      <c r="H304" s="61"/>
      <c r="I304" s="60"/>
      <c r="J304" s="60"/>
      <c r="K304" s="60"/>
      <c r="L304" s="60"/>
      <c r="M304" s="60"/>
      <c r="N304" s="60"/>
      <c r="O304" s="58"/>
      <c r="P304" s="58"/>
      <c r="Q304" s="13" t="e">
        <v>#N/A</v>
      </c>
      <c r="R304" s="13" t="e">
        <v>#N/A</v>
      </c>
      <c r="S304" s="13"/>
      <c r="T304" s="62"/>
      <c r="U304" s="13"/>
      <c r="V304" s="13"/>
      <c r="W304" s="13"/>
      <c r="X304" s="58"/>
      <c r="Y304" s="51">
        <f ca="1">Table25[[#This Row],[End Date]]+2-TODAY()</f>
        <v>-46242</v>
      </c>
      <c r="Z304" s="13">
        <f>IF(ISBLANK(Table25[[#This Row],[Roster Received By]]),1,0)</f>
        <v>1</v>
      </c>
      <c r="AA304" s="13">
        <f ca="1">IF(Table25[[#This Row],[Start Date]]&gt;TODAY(),1,)</f>
        <v>0</v>
      </c>
    </row>
    <row r="305" spans="1:27" s="46" customFormat="1" hidden="1" x14ac:dyDescent="0.25">
      <c r="B305" s="76"/>
      <c r="C305" s="59" t="e">
        <v>#N/A</v>
      </c>
      <c r="D305" s="59" t="e">
        <v>#N/A</v>
      </c>
      <c r="E305" s="58"/>
      <c r="F305" s="69"/>
      <c r="G305" s="69"/>
      <c r="H305" s="61"/>
      <c r="I305" s="60"/>
      <c r="J305" s="60"/>
      <c r="K305" s="60"/>
      <c r="L305" s="60"/>
      <c r="M305" s="60"/>
      <c r="N305" s="60"/>
      <c r="O305" s="58"/>
      <c r="P305" s="58"/>
      <c r="Q305" s="13" t="e">
        <v>#N/A</v>
      </c>
      <c r="R305" s="13" t="e">
        <v>#N/A</v>
      </c>
      <c r="S305" s="13"/>
      <c r="T305" s="62"/>
      <c r="U305" s="13"/>
      <c r="V305" s="13"/>
      <c r="W305" s="13"/>
      <c r="X305" s="58"/>
      <c r="Y305" s="51">
        <f ca="1">Table25[[#This Row],[End Date]]+2-TODAY()</f>
        <v>-46242</v>
      </c>
      <c r="Z305" s="13">
        <f>IF(ISBLANK(Table25[[#This Row],[Roster Received By]]),1,0)</f>
        <v>1</v>
      </c>
      <c r="AA305" s="13">
        <f ca="1">IF(Table25[[#This Row],[Start Date]]&gt;TODAY(),1,)</f>
        <v>0</v>
      </c>
    </row>
    <row r="306" spans="1:27" s="46" customFormat="1" hidden="1" x14ac:dyDescent="0.25">
      <c r="B306" s="76"/>
      <c r="C306" s="59" t="e">
        <v>#N/A</v>
      </c>
      <c r="D306" s="59" t="e">
        <v>#N/A</v>
      </c>
      <c r="E306" s="58"/>
      <c r="F306" s="69"/>
      <c r="G306" s="69"/>
      <c r="H306" s="61"/>
      <c r="I306" s="60"/>
      <c r="J306" s="60"/>
      <c r="K306" s="60"/>
      <c r="L306" s="60"/>
      <c r="M306" s="60"/>
      <c r="N306" s="60"/>
      <c r="O306" s="58"/>
      <c r="P306" s="58"/>
      <c r="Q306" s="13" t="e">
        <v>#N/A</v>
      </c>
      <c r="R306" s="13" t="e">
        <v>#N/A</v>
      </c>
      <c r="S306" s="13"/>
      <c r="T306" s="62"/>
      <c r="U306" s="13"/>
      <c r="V306" s="13"/>
      <c r="W306" s="13"/>
      <c r="X306" s="58"/>
      <c r="Y306" s="51">
        <f ca="1">Table25[[#This Row],[End Date]]+2-TODAY()</f>
        <v>-46242</v>
      </c>
      <c r="Z306" s="13">
        <f>IF(ISBLANK(Table25[[#This Row],[Roster Received By]]),1,0)</f>
        <v>1</v>
      </c>
      <c r="AA306" s="13">
        <f ca="1">IF(Table25[[#This Row],[Start Date]]&gt;TODAY(),1,)</f>
        <v>0</v>
      </c>
    </row>
    <row r="307" spans="1:27" s="46" customFormat="1" hidden="1" x14ac:dyDescent="0.25">
      <c r="B307" s="76"/>
      <c r="C307" s="59" t="e">
        <v>#N/A</v>
      </c>
      <c r="D307" s="59" t="e">
        <v>#N/A</v>
      </c>
      <c r="E307" s="58"/>
      <c r="F307" s="69"/>
      <c r="G307" s="69"/>
      <c r="H307" s="67"/>
      <c r="I307" s="67"/>
      <c r="J307" s="61"/>
      <c r="K307" s="61"/>
      <c r="L307" s="61"/>
      <c r="M307" s="61"/>
      <c r="N307" s="61"/>
      <c r="O307" s="58"/>
      <c r="P307" s="58"/>
      <c r="Q307" s="13" t="e">
        <v>#N/A</v>
      </c>
      <c r="R307" s="13" t="e">
        <v>#N/A</v>
      </c>
      <c r="S307" s="13"/>
      <c r="T307" s="62"/>
      <c r="U307" s="13"/>
      <c r="V307" s="13"/>
      <c r="W307" s="13"/>
      <c r="X307" s="58"/>
      <c r="Y307" s="51">
        <f ca="1">Table25[[#This Row],[End Date]]+2-TODAY()</f>
        <v>-46242</v>
      </c>
      <c r="Z307" s="13">
        <f>IF(ISBLANK(Table25[[#This Row],[Roster Received By]]),1,0)</f>
        <v>1</v>
      </c>
      <c r="AA307" s="13">
        <f ca="1">IF(Table25[[#This Row],[Start Date]]&gt;TODAY(),1,)</f>
        <v>0</v>
      </c>
    </row>
    <row r="308" spans="1:27" s="46" customFormat="1" hidden="1" x14ac:dyDescent="0.25">
      <c r="B308" s="76"/>
      <c r="C308" s="59" t="e">
        <v>#N/A</v>
      </c>
      <c r="D308" s="59" t="e">
        <v>#N/A</v>
      </c>
      <c r="E308" s="58"/>
      <c r="F308" s="69"/>
      <c r="G308" s="69"/>
      <c r="H308" s="64"/>
      <c r="I308" s="64"/>
      <c r="J308" s="64"/>
      <c r="K308" s="64"/>
      <c r="L308" s="64"/>
      <c r="M308" s="64"/>
      <c r="N308" s="61"/>
      <c r="O308" s="58"/>
      <c r="P308" s="58"/>
      <c r="Q308" s="13" t="e">
        <v>#N/A</v>
      </c>
      <c r="R308" s="13" t="e">
        <v>#N/A</v>
      </c>
      <c r="S308" s="13"/>
      <c r="T308" s="62"/>
      <c r="U308" s="13"/>
      <c r="V308" s="13"/>
      <c r="W308" s="59"/>
      <c r="X308" s="58"/>
      <c r="Y308" s="51">
        <f ca="1">Table25[[#This Row],[End Date]]+2-TODAY()</f>
        <v>-46242</v>
      </c>
      <c r="Z308" s="13">
        <f>IF(ISBLANK(Table25[[#This Row],[Roster Received By]]),1,0)</f>
        <v>1</v>
      </c>
      <c r="AA308" s="13">
        <f ca="1">IF(Table25[[#This Row],[Start Date]]&gt;TODAY(),1,)</f>
        <v>0</v>
      </c>
    </row>
    <row r="309" spans="1:27" s="46" customFormat="1" hidden="1" x14ac:dyDescent="0.25">
      <c r="B309" s="76"/>
      <c r="C309" s="59" t="e">
        <v>#N/A</v>
      </c>
      <c r="D309" s="59" t="e">
        <v>#N/A</v>
      </c>
      <c r="E309" s="47"/>
      <c r="F309" s="69"/>
      <c r="G309" s="69"/>
      <c r="H309" s="64"/>
      <c r="I309" s="64"/>
      <c r="J309" s="61"/>
      <c r="K309" s="61"/>
      <c r="L309" s="61"/>
      <c r="M309" s="61"/>
      <c r="N309" s="61"/>
      <c r="O309" s="58"/>
      <c r="P309" s="58"/>
      <c r="Q309" s="13" t="e">
        <v>#N/A</v>
      </c>
      <c r="R309" s="13" t="e">
        <v>#N/A</v>
      </c>
      <c r="S309" s="13"/>
      <c r="T309" s="62"/>
      <c r="U309" s="13"/>
      <c r="V309" s="13"/>
      <c r="W309" s="13"/>
      <c r="X309" s="58"/>
      <c r="Y309" s="51">
        <f ca="1">Table25[[#This Row],[End Date]]+2-TODAY()</f>
        <v>-46242</v>
      </c>
      <c r="Z309" s="13">
        <f>IF(ISBLANK(Table25[[#This Row],[Roster Received By]]),1,0)</f>
        <v>1</v>
      </c>
      <c r="AA309" s="13">
        <f ca="1">IF(Table25[[#This Row],[Start Date]]&gt;TODAY(),1,)</f>
        <v>0</v>
      </c>
    </row>
    <row r="310" spans="1:27" s="46" customFormat="1" hidden="1" x14ac:dyDescent="0.25">
      <c r="B310" s="76"/>
      <c r="C310" s="59" t="e">
        <v>#N/A</v>
      </c>
      <c r="D310" s="59" t="e">
        <v>#N/A</v>
      </c>
      <c r="E310" s="47"/>
      <c r="F310" s="69"/>
      <c r="G310" s="69"/>
      <c r="H310" s="64"/>
      <c r="I310" s="64"/>
      <c r="J310" s="61"/>
      <c r="K310" s="61"/>
      <c r="L310" s="61"/>
      <c r="M310" s="61"/>
      <c r="N310" s="61"/>
      <c r="O310" s="58"/>
      <c r="P310" s="58"/>
      <c r="Q310" s="13" t="e">
        <v>#N/A</v>
      </c>
      <c r="R310" s="13" t="e">
        <v>#N/A</v>
      </c>
      <c r="S310" s="13"/>
      <c r="T310" s="62"/>
      <c r="U310" s="13"/>
      <c r="V310" s="13"/>
      <c r="W310" s="13"/>
      <c r="X310" s="58"/>
      <c r="Y310" s="51">
        <f ca="1">Table25[[#This Row],[End Date]]+2-TODAY()</f>
        <v>-46242</v>
      </c>
      <c r="Z310" s="13">
        <f>IF(ISBLANK(Table25[[#This Row],[Roster Received By]]),1,0)</f>
        <v>1</v>
      </c>
      <c r="AA310" s="13">
        <f ca="1">IF(Table25[[#This Row],[Start Date]]&gt;TODAY(),1,)</f>
        <v>0</v>
      </c>
    </row>
    <row r="311" spans="1:27" s="46" customFormat="1" hidden="1" x14ac:dyDescent="0.25">
      <c r="B311" s="76"/>
      <c r="C311" s="59" t="e">
        <v>#N/A</v>
      </c>
      <c r="D311" s="59" t="e">
        <v>#N/A</v>
      </c>
      <c r="E311" s="58"/>
      <c r="F311" s="69"/>
      <c r="G311" s="69"/>
      <c r="H311" s="67"/>
      <c r="I311" s="67"/>
      <c r="J311" s="61"/>
      <c r="K311" s="61"/>
      <c r="L311" s="61"/>
      <c r="M311" s="61"/>
      <c r="N311" s="61"/>
      <c r="O311" s="58"/>
      <c r="P311" s="58"/>
      <c r="Q311" s="13" t="e">
        <v>#N/A</v>
      </c>
      <c r="R311" s="13" t="e">
        <v>#N/A</v>
      </c>
      <c r="S311" s="62"/>
      <c r="T311" s="62"/>
      <c r="U311" s="13"/>
      <c r="V311" s="13"/>
      <c r="W311" s="13"/>
      <c r="X311" s="58"/>
      <c r="Y311" s="51">
        <f ca="1">Table25[[#This Row],[End Date]]+2-TODAY()</f>
        <v>-46242</v>
      </c>
      <c r="Z311" s="13">
        <f>IF(ISBLANK(Table25[[#This Row],[Roster Received By]]),1,0)</f>
        <v>1</v>
      </c>
      <c r="AA311" s="13">
        <f ca="1">IF(Table25[[#This Row],[Start Date]]&gt;TODAY(),1,)</f>
        <v>0</v>
      </c>
    </row>
    <row r="312" spans="1:27" s="46" customFormat="1" hidden="1" x14ac:dyDescent="0.25">
      <c r="B312" s="58"/>
      <c r="C312" s="59" t="e">
        <v>#N/A</v>
      </c>
      <c r="D312" s="59" t="e">
        <v>#N/A</v>
      </c>
      <c r="E312" s="58"/>
      <c r="F312" s="69"/>
      <c r="G312" s="69"/>
      <c r="H312" s="64"/>
      <c r="I312" s="64"/>
      <c r="J312" s="61"/>
      <c r="K312" s="61"/>
      <c r="L312" s="61"/>
      <c r="M312" s="61"/>
      <c r="N312" s="61"/>
      <c r="O312" s="58"/>
      <c r="P312" s="58"/>
      <c r="Q312" s="13" t="e">
        <v>#N/A</v>
      </c>
      <c r="R312" s="13" t="e">
        <v>#N/A</v>
      </c>
      <c r="S312" s="62"/>
      <c r="T312" s="62"/>
      <c r="U312" s="13"/>
      <c r="V312" s="13"/>
      <c r="W312" s="59"/>
      <c r="X312" s="58"/>
      <c r="Y312" s="68">
        <f ca="1">Table25[[#This Row],[End Date]]+2-TODAY()</f>
        <v>-46242</v>
      </c>
      <c r="Z312" s="13">
        <f>IF(ISBLANK(Table25[[#This Row],[Roster Received By]]),1,0)</f>
        <v>1</v>
      </c>
      <c r="AA312" s="59">
        <f ca="1">IF(Table25[[#This Row],[Start Date]]&gt;TODAY(),1,)</f>
        <v>0</v>
      </c>
    </row>
    <row r="313" spans="1:27" s="46" customFormat="1" hidden="1" x14ac:dyDescent="0.25">
      <c r="B313" s="77"/>
      <c r="C313" s="59" t="e">
        <v>#N/A</v>
      </c>
      <c r="D313" s="59" t="e">
        <v>#N/A</v>
      </c>
      <c r="E313" s="58"/>
      <c r="F313" s="69"/>
      <c r="G313" s="69"/>
      <c r="H313" s="67"/>
      <c r="I313" s="67"/>
      <c r="J313" s="61"/>
      <c r="K313" s="61"/>
      <c r="L313" s="61"/>
      <c r="M313" s="61"/>
      <c r="N313" s="61"/>
      <c r="O313" s="58"/>
      <c r="P313" s="58"/>
      <c r="Q313" s="13" t="e">
        <v>#N/A</v>
      </c>
      <c r="R313" s="13" t="e">
        <v>#N/A</v>
      </c>
      <c r="S313" s="13"/>
      <c r="T313" s="62"/>
      <c r="U313" s="13"/>
      <c r="V313" s="13"/>
      <c r="W313" s="13"/>
      <c r="X313" s="58"/>
      <c r="Y313" s="51">
        <f ca="1">Table25[[#This Row],[End Date]]+2-TODAY()</f>
        <v>-46242</v>
      </c>
      <c r="Z313" s="13">
        <f>IF(ISBLANK(Table25[[#This Row],[Roster Received By]]),1,0)</f>
        <v>1</v>
      </c>
      <c r="AA313" s="13">
        <f ca="1">IF(Table25[[#This Row],[Start Date]]&gt;TODAY(),1,)</f>
        <v>0</v>
      </c>
    </row>
    <row r="314" spans="1:27" s="46" customFormat="1" hidden="1" x14ac:dyDescent="0.25">
      <c r="B314" s="76"/>
      <c r="C314" s="59" t="e">
        <v>#N/A</v>
      </c>
      <c r="D314" s="59" t="e">
        <v>#N/A</v>
      </c>
      <c r="E314" s="58"/>
      <c r="F314" s="69"/>
      <c r="G314" s="69"/>
      <c r="H314" s="61"/>
      <c r="I314" s="60"/>
      <c r="J314" s="60"/>
      <c r="K314" s="60"/>
      <c r="L314" s="60"/>
      <c r="M314" s="60"/>
      <c r="N314" s="60"/>
      <c r="O314" s="58"/>
      <c r="P314" s="58"/>
      <c r="Q314" s="13" t="e">
        <v>#N/A</v>
      </c>
      <c r="R314" s="13" t="e">
        <v>#N/A</v>
      </c>
      <c r="S314" s="13"/>
      <c r="T314" s="62"/>
      <c r="U314" s="13"/>
      <c r="V314" s="13"/>
      <c r="W314" s="13"/>
      <c r="X314" s="58"/>
      <c r="Y314" s="51">
        <f ca="1">Table25[[#This Row],[End Date]]+2-TODAY()</f>
        <v>-46242</v>
      </c>
      <c r="Z314" s="13">
        <f>IF(ISBLANK(Table25[[#This Row],[Roster Received By]]),1,0)</f>
        <v>1</v>
      </c>
      <c r="AA314" s="13">
        <f ca="1">IF(Table25[[#This Row],[Start Date]]&gt;TODAY(),1,)</f>
        <v>0</v>
      </c>
    </row>
    <row r="315" spans="1:27" s="46" customFormat="1" hidden="1" x14ac:dyDescent="0.25">
      <c r="B315" s="77"/>
      <c r="C315" s="59" t="e">
        <v>#N/A</v>
      </c>
      <c r="D315" s="59" t="e">
        <v>#N/A</v>
      </c>
      <c r="E315" s="58"/>
      <c r="F315" s="69"/>
      <c r="G315" s="69"/>
      <c r="H315" s="64"/>
      <c r="I315" s="64"/>
      <c r="J315" s="61"/>
      <c r="K315" s="61"/>
      <c r="L315" s="61"/>
      <c r="M315" s="61"/>
      <c r="N315" s="61"/>
      <c r="O315" s="58"/>
      <c r="P315" s="58"/>
      <c r="Q315" s="13" t="e">
        <v>#N/A</v>
      </c>
      <c r="R315" s="13" t="e">
        <v>#N/A</v>
      </c>
      <c r="S315" s="13"/>
      <c r="T315" s="62"/>
      <c r="U315" s="13"/>
      <c r="V315" s="13"/>
      <c r="W315" s="13"/>
      <c r="X315" s="58"/>
      <c r="Y315" s="51">
        <f ca="1">Table25[[#This Row],[End Date]]+2-TODAY()</f>
        <v>-46242</v>
      </c>
      <c r="Z315" s="13">
        <f>IF(ISBLANK(Table25[[#This Row],[Roster Received By]]),1,0)</f>
        <v>1</v>
      </c>
      <c r="AA315" s="13">
        <f ca="1">IF(Table25[[#This Row],[Start Date]]&gt;TODAY(),1,)</f>
        <v>0</v>
      </c>
    </row>
    <row r="316" spans="1:27" s="46" customFormat="1" hidden="1" x14ac:dyDescent="0.25">
      <c r="B316" s="77"/>
      <c r="C316" s="59" t="e">
        <v>#N/A</v>
      </c>
      <c r="D316" s="59" t="e">
        <v>#N/A</v>
      </c>
      <c r="E316" s="58"/>
      <c r="F316" s="69"/>
      <c r="G316" s="69"/>
      <c r="H316" s="64"/>
      <c r="I316" s="64"/>
      <c r="J316" s="61"/>
      <c r="K316" s="61"/>
      <c r="L316" s="61"/>
      <c r="M316" s="61"/>
      <c r="N316" s="61"/>
      <c r="O316" s="58"/>
      <c r="P316" s="58"/>
      <c r="Q316" s="13" t="e">
        <v>#N/A</v>
      </c>
      <c r="R316" s="13" t="e">
        <v>#N/A</v>
      </c>
      <c r="S316" s="13"/>
      <c r="T316" s="62"/>
      <c r="U316" s="13"/>
      <c r="V316" s="13"/>
      <c r="W316" s="13"/>
      <c r="X316" s="58"/>
      <c r="Y316" s="51">
        <f ca="1">Table25[[#This Row],[End Date]]+2-TODAY()</f>
        <v>-46242</v>
      </c>
      <c r="Z316" s="13">
        <f>IF(ISBLANK(Table25[[#This Row],[Roster Received By]]),1,0)</f>
        <v>1</v>
      </c>
      <c r="AA316" s="13">
        <f ca="1">IF(Table25[[#This Row],[Start Date]]&gt;TODAY(),1,)</f>
        <v>0</v>
      </c>
    </row>
    <row r="317" spans="1:27" s="46" customFormat="1" hidden="1" x14ac:dyDescent="0.25">
      <c r="A317" s="101"/>
      <c r="B317" s="77"/>
      <c r="C317" s="59" t="e">
        <v>#N/A</v>
      </c>
      <c r="D317" s="59" t="e">
        <v>#N/A</v>
      </c>
      <c r="E317" s="58"/>
      <c r="F317" s="91"/>
      <c r="G317" s="91"/>
      <c r="H317" s="64"/>
      <c r="I317" s="64"/>
      <c r="J317" s="61"/>
      <c r="K317" s="61"/>
      <c r="L317" s="61"/>
      <c r="M317" s="61"/>
      <c r="N317" s="61"/>
      <c r="O317" s="58"/>
      <c r="P317" s="58"/>
      <c r="Q317" s="13" t="e">
        <v>#N/A</v>
      </c>
      <c r="R317" s="13" t="e">
        <v>#N/A</v>
      </c>
      <c r="S317" s="62"/>
      <c r="T317" s="62"/>
      <c r="U317" s="13"/>
      <c r="V317" s="13"/>
      <c r="W317" s="13"/>
      <c r="X317" s="58"/>
      <c r="Y317" s="51">
        <f ca="1">Table25[[#This Row],[End Date]]+2-TODAY()</f>
        <v>-46242</v>
      </c>
      <c r="Z317" s="13">
        <f>IF(ISBLANK(Table25[[#This Row],[Roster Received By]]),1,0)</f>
        <v>1</v>
      </c>
      <c r="AA317" s="13">
        <f ca="1">IF(Table25[[#This Row],[Start Date]]&gt;TODAY(),1,)</f>
        <v>0</v>
      </c>
    </row>
    <row r="318" spans="1:27" s="46" customFormat="1" hidden="1" x14ac:dyDescent="0.25">
      <c r="A318" s="58"/>
      <c r="B318" s="77"/>
      <c r="C318" s="59" t="e">
        <v>#N/A</v>
      </c>
      <c r="D318" s="59" t="e">
        <v>#N/A</v>
      </c>
      <c r="E318" s="77"/>
      <c r="F318" s="92"/>
      <c r="G318" s="92"/>
      <c r="H318" s="49"/>
      <c r="I318" s="60"/>
      <c r="J318" s="60"/>
      <c r="K318" s="60"/>
      <c r="L318" s="60"/>
      <c r="M318" s="60"/>
      <c r="N318" s="60"/>
      <c r="O318" s="58"/>
      <c r="P318" s="58"/>
      <c r="Q318" s="13" t="e">
        <v>#N/A</v>
      </c>
      <c r="R318" s="13" t="e">
        <v>#N/A</v>
      </c>
      <c r="S318" s="13"/>
      <c r="T318" s="62"/>
      <c r="U318" s="13"/>
      <c r="V318" s="13"/>
      <c r="W318" s="13"/>
      <c r="X318" s="58"/>
      <c r="Y318" s="51">
        <f ca="1">Table25[[#This Row],[End Date]]+2-TODAY()</f>
        <v>-46242</v>
      </c>
      <c r="Z318" s="13">
        <f>IF(ISBLANK(Table25[[#This Row],[Roster Received By]]),1,0)</f>
        <v>1</v>
      </c>
      <c r="AA318" s="13">
        <f ca="1">IF(Table25[[#This Row],[Start Date]]&gt;TODAY(),1,)</f>
        <v>0</v>
      </c>
    </row>
    <row r="319" spans="1:27" s="46" customFormat="1" hidden="1" x14ac:dyDescent="0.25">
      <c r="B319" s="77"/>
      <c r="C319" s="59" t="e">
        <v>#N/A</v>
      </c>
      <c r="D319" s="59" t="e">
        <v>#N/A</v>
      </c>
      <c r="E319" s="77"/>
      <c r="F319" s="91"/>
      <c r="G319" s="91"/>
      <c r="H319" s="61"/>
      <c r="I319" s="60"/>
      <c r="J319" s="60"/>
      <c r="K319" s="60"/>
      <c r="L319" s="60"/>
      <c r="M319" s="60"/>
      <c r="N319" s="60"/>
      <c r="O319" s="58"/>
      <c r="P319" s="58"/>
      <c r="Q319" s="13" t="e">
        <v>#N/A</v>
      </c>
      <c r="R319" s="13" t="e">
        <v>#N/A</v>
      </c>
      <c r="S319" s="13"/>
      <c r="T319" s="62"/>
      <c r="U319" s="13"/>
      <c r="V319" s="13"/>
      <c r="W319" s="13"/>
      <c r="X319" s="58"/>
      <c r="Y319" s="51">
        <f ca="1">Table25[[#This Row],[End Date]]+2-TODAY()</f>
        <v>-46242</v>
      </c>
      <c r="Z319" s="13">
        <f>IF(ISBLANK(Table25[[#This Row],[Roster Received By]]),1,0)</f>
        <v>1</v>
      </c>
      <c r="AA319" s="13">
        <f ca="1">IF(Table25[[#This Row],[Start Date]]&gt;TODAY(),1,)</f>
        <v>0</v>
      </c>
    </row>
    <row r="320" spans="1:27" s="46" customFormat="1" hidden="1" x14ac:dyDescent="0.25">
      <c r="B320" s="77"/>
      <c r="C320" s="59" t="e">
        <v>#N/A</v>
      </c>
      <c r="D320" s="59" t="e">
        <v>#N/A</v>
      </c>
      <c r="E320" s="58"/>
      <c r="F320" s="61"/>
      <c r="G320" s="61"/>
      <c r="H320" s="64"/>
      <c r="I320" s="64"/>
      <c r="J320" s="64"/>
      <c r="K320" s="64"/>
      <c r="L320" s="64"/>
      <c r="M320" s="64"/>
      <c r="N320" s="61"/>
      <c r="O320" s="58"/>
      <c r="P320" s="58"/>
      <c r="Q320" s="13" t="e">
        <v>#N/A</v>
      </c>
      <c r="R320" s="13" t="e">
        <v>#N/A</v>
      </c>
      <c r="S320" s="13"/>
      <c r="T320" s="62"/>
      <c r="U320" s="13"/>
      <c r="V320" s="13"/>
      <c r="W320" s="13"/>
      <c r="X320" s="58"/>
      <c r="Y320" s="51">
        <f ca="1">Table25[[#This Row],[End Date]]+2-TODAY()</f>
        <v>-46242</v>
      </c>
      <c r="Z320" s="13">
        <f>IF(ISBLANK(Table25[[#This Row],[Roster Received By]]),1,0)</f>
        <v>1</v>
      </c>
      <c r="AA320" s="13">
        <f ca="1">IF(Table25[[#This Row],[Start Date]]&gt;TODAY(),1,)</f>
        <v>0</v>
      </c>
    </row>
    <row r="321" spans="1:27" s="46" customFormat="1" hidden="1" x14ac:dyDescent="0.25">
      <c r="B321" s="77"/>
      <c r="C321" s="59" t="e">
        <v>#N/A</v>
      </c>
      <c r="D321" s="59" t="e">
        <v>#N/A</v>
      </c>
      <c r="E321" s="48"/>
      <c r="F321" s="69"/>
      <c r="G321" s="69"/>
      <c r="H321" s="64"/>
      <c r="I321" s="64"/>
      <c r="J321" s="61"/>
      <c r="K321" s="61"/>
      <c r="L321" s="61"/>
      <c r="M321" s="61"/>
      <c r="N321" s="61"/>
      <c r="O321" s="58"/>
      <c r="P321" s="58"/>
      <c r="Q321" s="13" t="e">
        <v>#N/A</v>
      </c>
      <c r="R321" s="13" t="e">
        <v>#N/A</v>
      </c>
      <c r="S321" s="13"/>
      <c r="T321" s="62"/>
      <c r="U321" s="13"/>
      <c r="V321" s="13"/>
      <c r="W321" s="13"/>
      <c r="X321" s="58"/>
      <c r="Y321" s="51">
        <f ca="1">Table25[[#This Row],[End Date]]+2-TODAY()</f>
        <v>-46242</v>
      </c>
      <c r="Z321" s="13">
        <f>IF(ISBLANK(Table25[[#This Row],[Roster Received By]]),1,0)</f>
        <v>1</v>
      </c>
      <c r="AA321" s="13">
        <f ca="1">IF(Table25[[#This Row],[Start Date]]&gt;TODAY(),1,)</f>
        <v>0</v>
      </c>
    </row>
    <row r="322" spans="1:27" s="46" customFormat="1" hidden="1" x14ac:dyDescent="0.25">
      <c r="B322" s="77"/>
      <c r="C322" s="59" t="e">
        <v>#N/A</v>
      </c>
      <c r="D322" s="59" t="e">
        <v>#N/A</v>
      </c>
      <c r="E322" s="75"/>
      <c r="F322" s="69"/>
      <c r="G322" s="69"/>
      <c r="H322" s="67"/>
      <c r="I322" s="67"/>
      <c r="J322" s="61"/>
      <c r="K322" s="61"/>
      <c r="L322" s="61"/>
      <c r="M322" s="61"/>
      <c r="N322" s="61"/>
      <c r="O322" s="58"/>
      <c r="P322" s="58"/>
      <c r="Q322" s="13" t="e">
        <v>#N/A</v>
      </c>
      <c r="R322" s="13" t="e">
        <v>#N/A</v>
      </c>
      <c r="S322" s="13"/>
      <c r="T322" s="62"/>
      <c r="U322" s="13"/>
      <c r="V322" s="13"/>
      <c r="W322" s="13"/>
      <c r="X322" s="58"/>
      <c r="Y322" s="51">
        <f ca="1">Table25[[#This Row],[End Date]]+2-TODAY()</f>
        <v>-46242</v>
      </c>
      <c r="Z322" s="13">
        <f>IF(ISBLANK(Table25[[#This Row],[Roster Received By]]),1,0)</f>
        <v>1</v>
      </c>
      <c r="AA322" s="13">
        <f ca="1">IF(Table25[[#This Row],[Start Date]]&gt;TODAY(),1,)</f>
        <v>0</v>
      </c>
    </row>
    <row r="323" spans="1:27" s="46" customFormat="1" hidden="1" x14ac:dyDescent="0.25">
      <c r="B323" s="77"/>
      <c r="C323" s="59" t="e">
        <v>#N/A</v>
      </c>
      <c r="D323" s="59" t="e">
        <v>#N/A</v>
      </c>
      <c r="E323" s="75"/>
      <c r="F323" s="69"/>
      <c r="G323" s="69"/>
      <c r="H323" s="61"/>
      <c r="I323" s="60"/>
      <c r="J323" s="60"/>
      <c r="K323" s="60"/>
      <c r="L323" s="60"/>
      <c r="M323" s="60"/>
      <c r="N323" s="60"/>
      <c r="O323" s="58"/>
      <c r="P323" s="58"/>
      <c r="Q323" s="13" t="e">
        <v>#N/A</v>
      </c>
      <c r="R323" s="13" t="e">
        <v>#N/A</v>
      </c>
      <c r="S323" s="13"/>
      <c r="T323" s="62"/>
      <c r="U323" s="13"/>
      <c r="V323" s="13"/>
      <c r="W323" s="13"/>
      <c r="X323" s="58"/>
      <c r="Y323" s="51">
        <f ca="1">Table25[[#This Row],[End Date]]+2-TODAY()</f>
        <v>-46242</v>
      </c>
      <c r="Z323" s="13">
        <f>IF(ISBLANK(Table25[[#This Row],[Roster Received By]]),1,0)</f>
        <v>1</v>
      </c>
      <c r="AA323" s="13">
        <f ca="1">IF(Table25[[#This Row],[Start Date]]&gt;TODAY(),1,)</f>
        <v>0</v>
      </c>
    </row>
    <row r="324" spans="1:27" s="46" customFormat="1" hidden="1" x14ac:dyDescent="0.25">
      <c r="A324" s="58"/>
      <c r="B324" s="77"/>
      <c r="C324" s="59" t="e">
        <v>#N/A</v>
      </c>
      <c r="D324" s="59" t="e">
        <v>#N/A</v>
      </c>
      <c r="E324" s="75"/>
      <c r="F324" s="69"/>
      <c r="G324" s="69"/>
      <c r="H324" s="64"/>
      <c r="I324" s="64"/>
      <c r="J324" s="61"/>
      <c r="K324" s="61"/>
      <c r="L324" s="61"/>
      <c r="M324" s="61"/>
      <c r="N324" s="61"/>
      <c r="O324" s="58"/>
      <c r="P324" s="58"/>
      <c r="Q324" s="13" t="e">
        <v>#N/A</v>
      </c>
      <c r="R324" s="13" t="e">
        <v>#N/A</v>
      </c>
      <c r="S324" s="13"/>
      <c r="T324" s="62"/>
      <c r="U324" s="13"/>
      <c r="V324" s="13"/>
      <c r="W324" s="62"/>
      <c r="X324" s="58"/>
      <c r="Y324" s="51">
        <f ca="1">Table25[[#This Row],[End Date]]+2-TODAY()</f>
        <v>-46242</v>
      </c>
      <c r="Z324" s="13">
        <f>IF(ISBLANK(Table25[[#This Row],[Roster Received By]]),1,0)</f>
        <v>1</v>
      </c>
      <c r="AA324" s="13">
        <f ca="1">IF(Table25[[#This Row],[Start Date]]&gt;TODAY(),1,)</f>
        <v>0</v>
      </c>
    </row>
    <row r="325" spans="1:27" s="46" customFormat="1" hidden="1" x14ac:dyDescent="0.25">
      <c r="B325" s="77"/>
      <c r="C325" s="59" t="e">
        <v>#N/A</v>
      </c>
      <c r="D325" s="59" t="e">
        <v>#N/A</v>
      </c>
      <c r="E325" s="75"/>
      <c r="F325" s="69"/>
      <c r="G325" s="69"/>
      <c r="H325" s="64"/>
      <c r="I325" s="64"/>
      <c r="J325" s="61"/>
      <c r="K325" s="61"/>
      <c r="L325" s="61"/>
      <c r="M325" s="61"/>
      <c r="N325" s="61"/>
      <c r="O325" s="58"/>
      <c r="P325" s="58"/>
      <c r="Q325" s="13" t="e">
        <v>#N/A</v>
      </c>
      <c r="R325" s="13" t="e">
        <v>#N/A</v>
      </c>
      <c r="S325" s="13"/>
      <c r="T325" s="62"/>
      <c r="U325" s="13"/>
      <c r="V325" s="13"/>
      <c r="W325" s="13"/>
      <c r="X325" s="58"/>
      <c r="Y325" s="51">
        <f ca="1">Table25[[#This Row],[End Date]]+2-TODAY()</f>
        <v>-46242</v>
      </c>
      <c r="Z325" s="13">
        <f>IF(ISBLANK(Table25[[#This Row],[Roster Received By]]),1,0)</f>
        <v>1</v>
      </c>
      <c r="AA325" s="13">
        <f ca="1">IF(Table25[[#This Row],[Start Date]]&gt;TODAY(),1,)</f>
        <v>0</v>
      </c>
    </row>
    <row r="326" spans="1:27" s="46" customFormat="1" hidden="1" x14ac:dyDescent="0.25">
      <c r="B326" s="77"/>
      <c r="C326" s="59" t="e">
        <v>#N/A</v>
      </c>
      <c r="D326" s="59" t="e">
        <v>#N/A</v>
      </c>
      <c r="E326" s="75"/>
      <c r="F326" s="69"/>
      <c r="G326" s="69"/>
      <c r="H326" s="61"/>
      <c r="I326" s="60"/>
      <c r="J326" s="60"/>
      <c r="K326" s="60"/>
      <c r="L326" s="60"/>
      <c r="M326" s="60"/>
      <c r="N326" s="60"/>
      <c r="O326" s="58"/>
      <c r="P326" s="58"/>
      <c r="Q326" s="13" t="e">
        <v>#N/A</v>
      </c>
      <c r="R326" s="13" t="e">
        <v>#N/A</v>
      </c>
      <c r="S326" s="13"/>
      <c r="T326" s="62"/>
      <c r="U326" s="13"/>
      <c r="V326" s="13"/>
      <c r="W326" s="59"/>
      <c r="X326" s="58"/>
      <c r="Y326" s="51">
        <f ca="1">Table25[[#This Row],[End Date]]+2-TODAY()</f>
        <v>-46242</v>
      </c>
      <c r="Z326" s="13">
        <f>IF(ISBLANK(Table25[[#This Row],[Roster Received By]]),1,0)</f>
        <v>1</v>
      </c>
      <c r="AA326" s="13">
        <f ca="1">IF(Table25[[#This Row],[Start Date]]&gt;TODAY(),1,)</f>
        <v>0</v>
      </c>
    </row>
    <row r="327" spans="1:27" s="46" customFormat="1" hidden="1" x14ac:dyDescent="0.25">
      <c r="B327" s="77"/>
      <c r="C327" s="59" t="e">
        <v>#N/A</v>
      </c>
      <c r="D327" s="59" t="e">
        <v>#N/A</v>
      </c>
      <c r="E327" s="58"/>
      <c r="F327" s="69"/>
      <c r="G327" s="69"/>
      <c r="H327" s="61"/>
      <c r="I327" s="60"/>
      <c r="J327" s="60"/>
      <c r="K327" s="60"/>
      <c r="L327" s="60"/>
      <c r="M327" s="60"/>
      <c r="N327" s="60"/>
      <c r="O327" s="58"/>
      <c r="P327" s="58"/>
      <c r="Q327" s="13" t="e">
        <v>#N/A</v>
      </c>
      <c r="R327" s="13" t="e">
        <v>#N/A</v>
      </c>
      <c r="S327" s="13"/>
      <c r="T327" s="62"/>
      <c r="U327" s="13"/>
      <c r="V327" s="13"/>
      <c r="W327" s="13"/>
      <c r="X327" s="58"/>
      <c r="Y327" s="51">
        <f ca="1">Table25[[#This Row],[End Date]]+2-TODAY()</f>
        <v>-46242</v>
      </c>
      <c r="Z327" s="13">
        <f>IF(ISBLANK(Table25[[#This Row],[Roster Received By]]),1,0)</f>
        <v>1</v>
      </c>
      <c r="AA327" s="13">
        <f ca="1">IF(Table25[[#This Row],[Start Date]]&gt;TODAY(),1,)</f>
        <v>0</v>
      </c>
    </row>
    <row r="328" spans="1:27" s="46" customFormat="1" hidden="1" x14ac:dyDescent="0.25">
      <c r="B328" s="78"/>
      <c r="C328" s="59" t="e">
        <v>#N/A</v>
      </c>
      <c r="D328" s="59" t="e">
        <v>#N/A</v>
      </c>
      <c r="E328" s="75"/>
      <c r="F328" s="57"/>
      <c r="G328" s="57"/>
      <c r="H328" s="49"/>
      <c r="I328" s="60"/>
      <c r="J328" s="60"/>
      <c r="K328" s="60"/>
      <c r="L328" s="60"/>
      <c r="M328" s="60"/>
      <c r="N328" s="60"/>
      <c r="O328" s="58"/>
      <c r="P328" s="58"/>
      <c r="Q328" s="13" t="e">
        <v>#N/A</v>
      </c>
      <c r="R328" s="13" t="e">
        <v>#N/A</v>
      </c>
      <c r="S328" s="13"/>
      <c r="T328" s="62"/>
      <c r="U328" s="13"/>
      <c r="V328" s="13"/>
      <c r="W328" s="13"/>
      <c r="X328" s="58"/>
      <c r="Y328" s="51">
        <f ca="1">Table25[[#This Row],[End Date]]+2-TODAY()</f>
        <v>-46242</v>
      </c>
      <c r="Z328" s="13">
        <f>IF(ISBLANK(Table25[[#This Row],[Roster Received By]]),1,0)</f>
        <v>1</v>
      </c>
      <c r="AA328" s="13">
        <f ca="1">IF(Table25[[#This Row],[Start Date]]&gt;TODAY(),1,)</f>
        <v>0</v>
      </c>
    </row>
    <row r="329" spans="1:27" s="46" customFormat="1" hidden="1" x14ac:dyDescent="0.25">
      <c r="A329" s="58"/>
      <c r="B329" s="77"/>
      <c r="C329" s="59" t="e">
        <v>#N/A</v>
      </c>
      <c r="D329" s="59" t="e">
        <v>#N/A</v>
      </c>
      <c r="E329" s="75"/>
      <c r="F329" s="69"/>
      <c r="G329" s="69"/>
      <c r="H329" s="61"/>
      <c r="I329" s="60"/>
      <c r="J329" s="60"/>
      <c r="K329" s="60"/>
      <c r="L329" s="60"/>
      <c r="M329" s="60"/>
      <c r="N329" s="60"/>
      <c r="O329" s="58"/>
      <c r="P329" s="58"/>
      <c r="Q329" s="13" t="e">
        <v>#N/A</v>
      </c>
      <c r="R329" s="13" t="e">
        <v>#N/A</v>
      </c>
      <c r="S329" s="13"/>
      <c r="T329" s="62"/>
      <c r="U329" s="13"/>
      <c r="V329" s="13"/>
      <c r="W329" s="13"/>
      <c r="X329" s="58"/>
      <c r="Y329" s="51">
        <f ca="1">Table25[[#This Row],[End Date]]+2-TODAY()</f>
        <v>-46242</v>
      </c>
      <c r="Z329" s="13">
        <f>IF(ISBLANK(Table25[[#This Row],[Roster Received By]]),1,0)</f>
        <v>1</v>
      </c>
      <c r="AA329" s="13">
        <f ca="1">IF(Table25[[#This Row],[Start Date]]&gt;TODAY(),1,)</f>
        <v>0</v>
      </c>
    </row>
    <row r="330" spans="1:27" s="46" customFormat="1" hidden="1" x14ac:dyDescent="0.25">
      <c r="B330" s="77"/>
      <c r="C330" s="59" t="e">
        <v>#N/A</v>
      </c>
      <c r="D330" s="59" t="e">
        <v>#N/A</v>
      </c>
      <c r="E330" s="77"/>
      <c r="F330" s="69"/>
      <c r="G330" s="69"/>
      <c r="H330" s="61"/>
      <c r="I330" s="60"/>
      <c r="J330" s="60"/>
      <c r="K330" s="60"/>
      <c r="L330" s="60"/>
      <c r="M330" s="60"/>
      <c r="N330" s="60"/>
      <c r="O330" s="58"/>
      <c r="P330" s="58"/>
      <c r="Q330" s="13" t="e">
        <v>#N/A</v>
      </c>
      <c r="R330" s="13" t="e">
        <v>#N/A</v>
      </c>
      <c r="S330" s="13"/>
      <c r="T330" s="62"/>
      <c r="U330" s="13"/>
      <c r="V330" s="13"/>
      <c r="W330" s="13"/>
      <c r="X330" s="58"/>
      <c r="Y330" s="51">
        <f ca="1">Table25[[#This Row],[End Date]]+2-TODAY()</f>
        <v>-46242</v>
      </c>
      <c r="Z330" s="13">
        <f>IF(ISBLANK(Table25[[#This Row],[Roster Received By]]),1,0)</f>
        <v>1</v>
      </c>
      <c r="AA330" s="13">
        <f ca="1">IF(Table25[[#This Row],[Start Date]]&gt;TODAY(),1,)</f>
        <v>0</v>
      </c>
    </row>
    <row r="331" spans="1:27" s="46" customFormat="1" hidden="1" x14ac:dyDescent="0.25">
      <c r="B331" s="77"/>
      <c r="C331" s="59" t="e">
        <v>#N/A</v>
      </c>
      <c r="D331" s="59" t="e">
        <v>#N/A</v>
      </c>
      <c r="E331" s="77"/>
      <c r="F331" s="69"/>
      <c r="G331" s="69"/>
      <c r="H331" s="61"/>
      <c r="I331" s="60"/>
      <c r="J331" s="60"/>
      <c r="K331" s="60"/>
      <c r="L331" s="60"/>
      <c r="M331" s="60"/>
      <c r="N331" s="60"/>
      <c r="O331" s="58"/>
      <c r="P331" s="58"/>
      <c r="Q331" s="13" t="e">
        <v>#N/A</v>
      </c>
      <c r="R331" s="13" t="e">
        <v>#N/A</v>
      </c>
      <c r="S331" s="13"/>
      <c r="T331" s="62"/>
      <c r="U331" s="13"/>
      <c r="V331" s="13"/>
      <c r="W331" s="13"/>
      <c r="X331" s="58"/>
      <c r="Y331" s="51">
        <f ca="1">Table25[[#This Row],[End Date]]+2-TODAY()</f>
        <v>-46242</v>
      </c>
      <c r="Z331" s="13">
        <f>IF(ISBLANK(Table25[[#This Row],[Roster Received By]]),1,0)</f>
        <v>1</v>
      </c>
      <c r="AA331" s="13">
        <f ca="1">IF(Table25[[#This Row],[Start Date]]&gt;TODAY(),1,)</f>
        <v>0</v>
      </c>
    </row>
    <row r="332" spans="1:27" s="46" customFormat="1" hidden="1" x14ac:dyDescent="0.25">
      <c r="B332" s="77"/>
      <c r="C332" s="59" t="e">
        <v>#N/A</v>
      </c>
      <c r="D332" s="59" t="e">
        <v>#N/A</v>
      </c>
      <c r="E332" s="77"/>
      <c r="F332" s="69"/>
      <c r="G332" s="69"/>
      <c r="H332" s="61"/>
      <c r="I332" s="60"/>
      <c r="J332" s="60"/>
      <c r="K332" s="60"/>
      <c r="L332" s="60"/>
      <c r="M332" s="60"/>
      <c r="N332" s="60"/>
      <c r="O332" s="58"/>
      <c r="P332" s="58"/>
      <c r="Q332" s="13" t="e">
        <v>#N/A</v>
      </c>
      <c r="R332" s="13" t="e">
        <v>#N/A</v>
      </c>
      <c r="S332" s="13"/>
      <c r="T332" s="62"/>
      <c r="U332" s="13"/>
      <c r="V332" s="13"/>
      <c r="W332" s="13"/>
      <c r="X332" s="58"/>
      <c r="Y332" s="51">
        <f ca="1">Table25[[#This Row],[End Date]]+2-TODAY()</f>
        <v>-46242</v>
      </c>
      <c r="Z332" s="13">
        <f>IF(ISBLANK(Table25[[#This Row],[Roster Received By]]),1,0)</f>
        <v>1</v>
      </c>
      <c r="AA332" s="13">
        <f ca="1">IF(Table25[[#This Row],[Start Date]]&gt;TODAY(),1,)</f>
        <v>0</v>
      </c>
    </row>
    <row r="333" spans="1:27" s="65" customFormat="1" ht="15.75" hidden="1" customHeight="1" x14ac:dyDescent="0.25">
      <c r="A333" s="46"/>
      <c r="B333" s="77"/>
      <c r="C333" s="59" t="e">
        <v>#N/A</v>
      </c>
      <c r="D333" s="59" t="e">
        <v>#N/A</v>
      </c>
      <c r="E333" s="88"/>
      <c r="F333" s="69"/>
      <c r="G333" s="69"/>
      <c r="H333" s="64"/>
      <c r="I333" s="64"/>
      <c r="J333" s="64"/>
      <c r="K333" s="64"/>
      <c r="L333" s="64"/>
      <c r="M333" s="64"/>
      <c r="N333" s="61"/>
      <c r="O333" s="58"/>
      <c r="P333" s="58"/>
      <c r="Q333" s="13" t="e">
        <v>#N/A</v>
      </c>
      <c r="R333" s="13" t="e">
        <v>#N/A</v>
      </c>
      <c r="S333" s="13"/>
      <c r="T333" s="62"/>
      <c r="U333" s="13"/>
      <c r="V333" s="13"/>
      <c r="W333" s="13"/>
      <c r="X333" s="58"/>
      <c r="Y333" s="51">
        <f ca="1">Table25[[#This Row],[End Date]]+2-TODAY()</f>
        <v>-46242</v>
      </c>
      <c r="Z333" s="13">
        <f>IF(ISBLANK(Table25[[#This Row],[Roster Received By]]),1,0)</f>
        <v>1</v>
      </c>
      <c r="AA333" s="13">
        <f ca="1">IF(Table25[[#This Row],[Start Date]]&gt;TODAY(),1,)</f>
        <v>0</v>
      </c>
    </row>
    <row r="334" spans="1:27" s="65" customFormat="1" ht="15.75" hidden="1" customHeight="1" x14ac:dyDescent="0.25">
      <c r="A334" s="58"/>
      <c r="B334" s="77"/>
      <c r="C334" s="59" t="e">
        <v>#N/A</v>
      </c>
      <c r="D334" s="59" t="e">
        <v>#N/A</v>
      </c>
      <c r="E334" s="88"/>
      <c r="F334" s="69"/>
      <c r="G334" s="69"/>
      <c r="H334" s="64"/>
      <c r="I334" s="64"/>
      <c r="J334" s="61"/>
      <c r="K334" s="61"/>
      <c r="L334" s="61"/>
      <c r="M334" s="61"/>
      <c r="N334" s="61"/>
      <c r="O334" s="58"/>
      <c r="P334" s="58"/>
      <c r="Q334" s="13" t="e">
        <v>#N/A</v>
      </c>
      <c r="R334" s="13" t="e">
        <v>#N/A</v>
      </c>
      <c r="S334" s="13"/>
      <c r="T334" s="62"/>
      <c r="U334" s="13"/>
      <c r="V334" s="13"/>
      <c r="W334" s="13"/>
      <c r="X334" s="58"/>
      <c r="Y334" s="51">
        <f ca="1">Table25[[#This Row],[End Date]]+2-TODAY()</f>
        <v>-46242</v>
      </c>
      <c r="Z334" s="13">
        <f>IF(ISBLANK(Table25[[#This Row],[Roster Received By]]),1,0)</f>
        <v>1</v>
      </c>
      <c r="AA334" s="13">
        <f ca="1">IF(Table25[[#This Row],[Start Date]]&gt;TODAY(),1,)</f>
        <v>0</v>
      </c>
    </row>
    <row r="335" spans="1:27" s="65" customFormat="1" ht="15.75" hidden="1" customHeight="1" x14ac:dyDescent="0.25">
      <c r="A335" s="46"/>
      <c r="B335" s="77"/>
      <c r="C335" s="59" t="e">
        <v>#N/A</v>
      </c>
      <c r="D335" s="59" t="e">
        <v>#N/A</v>
      </c>
      <c r="E335" s="77"/>
      <c r="F335" s="69"/>
      <c r="G335" s="69"/>
      <c r="H335" s="61"/>
      <c r="I335" s="60"/>
      <c r="J335" s="60"/>
      <c r="K335" s="60"/>
      <c r="L335" s="60"/>
      <c r="M335" s="60"/>
      <c r="N335" s="60"/>
      <c r="O335" s="58"/>
      <c r="P335" s="58"/>
      <c r="Q335" s="13" t="e">
        <v>#N/A</v>
      </c>
      <c r="R335" s="13" t="e">
        <v>#N/A</v>
      </c>
      <c r="S335" s="13"/>
      <c r="T335" s="62"/>
      <c r="U335" s="13"/>
      <c r="V335" s="13"/>
      <c r="W335" s="66"/>
      <c r="X335" s="58"/>
      <c r="Y335" s="51">
        <f ca="1">Table25[[#This Row],[End Date]]+2-TODAY()</f>
        <v>-46242</v>
      </c>
      <c r="Z335" s="13">
        <f>IF(ISBLANK(Table25[[#This Row],[Roster Received By]]),1,0)</f>
        <v>1</v>
      </c>
      <c r="AA335" s="13">
        <f ca="1">IF(Table25[[#This Row],[Start Date]]&gt;TODAY(),1,)</f>
        <v>0</v>
      </c>
    </row>
    <row r="336" spans="1:27" s="65" customFormat="1" ht="15.75" hidden="1" customHeight="1" x14ac:dyDescent="0.25">
      <c r="A336" s="46"/>
      <c r="B336" s="77"/>
      <c r="C336" s="59" t="e">
        <v>#N/A</v>
      </c>
      <c r="D336" s="59" t="e">
        <v>#N/A</v>
      </c>
      <c r="E336" s="77"/>
      <c r="F336" s="69"/>
      <c r="G336" s="69"/>
      <c r="H336" s="64"/>
      <c r="I336" s="64"/>
      <c r="J336" s="64"/>
      <c r="K336" s="64"/>
      <c r="L336" s="64"/>
      <c r="M336" s="64"/>
      <c r="N336" s="61"/>
      <c r="O336" s="58"/>
      <c r="P336" s="58"/>
      <c r="Q336" s="13" t="e">
        <v>#N/A</v>
      </c>
      <c r="R336" s="13" t="e">
        <v>#N/A</v>
      </c>
      <c r="S336" s="13"/>
      <c r="T336" s="62"/>
      <c r="U336" s="13"/>
      <c r="V336" s="13"/>
      <c r="W336" s="13"/>
      <c r="X336" s="58"/>
      <c r="Y336" s="51">
        <f ca="1">Table25[[#This Row],[End Date]]+2-TODAY()</f>
        <v>-46242</v>
      </c>
      <c r="Z336" s="13">
        <f>IF(ISBLANK(Table25[[#This Row],[Roster Received By]]),1,0)</f>
        <v>1</v>
      </c>
      <c r="AA336" s="13">
        <f ca="1">IF(Table25[[#This Row],[Start Date]]&gt;TODAY(),1,)</f>
        <v>0</v>
      </c>
    </row>
    <row r="337" spans="1:27" s="65" customFormat="1" ht="15.75" hidden="1" customHeight="1" x14ac:dyDescent="0.25">
      <c r="A337" s="46"/>
      <c r="B337" s="75"/>
      <c r="C337" s="59" t="e">
        <v>#N/A</v>
      </c>
      <c r="D337" s="59" t="e">
        <v>#N/A</v>
      </c>
      <c r="E337" s="75"/>
      <c r="F337" s="69"/>
      <c r="G337" s="69"/>
      <c r="H337" s="67"/>
      <c r="I337" s="67"/>
      <c r="J337" s="61"/>
      <c r="K337" s="61"/>
      <c r="L337" s="61"/>
      <c r="M337" s="61"/>
      <c r="N337" s="61"/>
      <c r="O337" s="58"/>
      <c r="P337" s="58"/>
      <c r="Q337" s="13" t="e">
        <v>#N/A</v>
      </c>
      <c r="R337" s="13" t="e">
        <v>#N/A</v>
      </c>
      <c r="S337" s="13"/>
      <c r="T337" s="62"/>
      <c r="U337" s="13"/>
      <c r="V337" s="13"/>
      <c r="W337" s="59"/>
      <c r="X337" s="58"/>
      <c r="Y337" s="51">
        <f ca="1">Table25[[#This Row],[End Date]]+2-TODAY()</f>
        <v>-46242</v>
      </c>
      <c r="Z337" s="13">
        <f>IF(ISBLANK(Table25[[#This Row],[Roster Received By]]),1,0)</f>
        <v>1</v>
      </c>
      <c r="AA337" s="13">
        <f ca="1">IF(Table25[[#This Row],[Start Date]]&gt;TODAY(),1,)</f>
        <v>0</v>
      </c>
    </row>
    <row r="338" spans="1:27" s="65" customFormat="1" ht="15.75" hidden="1" customHeight="1" x14ac:dyDescent="0.25">
      <c r="A338" s="46"/>
      <c r="B338" s="75"/>
      <c r="C338" s="59" t="e">
        <v>#N/A</v>
      </c>
      <c r="D338" s="59" t="e">
        <v>#N/A</v>
      </c>
      <c r="E338" s="58"/>
      <c r="F338" s="69"/>
      <c r="G338" s="69"/>
      <c r="H338" s="67"/>
      <c r="I338" s="67"/>
      <c r="J338" s="61"/>
      <c r="K338" s="61"/>
      <c r="L338" s="61"/>
      <c r="M338" s="61"/>
      <c r="N338" s="61"/>
      <c r="O338" s="58"/>
      <c r="P338" s="58"/>
      <c r="Q338" s="13" t="e">
        <v>#N/A</v>
      </c>
      <c r="R338" s="13" t="e">
        <v>#N/A</v>
      </c>
      <c r="S338" s="13"/>
      <c r="T338" s="62"/>
      <c r="U338" s="13"/>
      <c r="V338" s="13"/>
      <c r="W338" s="13"/>
      <c r="X338" s="58"/>
      <c r="Y338" s="51">
        <f ca="1">Table25[[#This Row],[End Date]]+2-TODAY()</f>
        <v>-46242</v>
      </c>
      <c r="Z338" s="13">
        <f>IF(ISBLANK(Table25[[#This Row],[Roster Received By]]),1,0)</f>
        <v>1</v>
      </c>
      <c r="AA338" s="13">
        <f ca="1">IF(Table25[[#This Row],[Start Date]]&gt;TODAY(),1,)</f>
        <v>0</v>
      </c>
    </row>
    <row r="339" spans="1:27" s="65" customFormat="1" ht="15.75" hidden="1" customHeight="1" x14ac:dyDescent="0.25">
      <c r="A339" s="46"/>
      <c r="B339" s="77"/>
      <c r="C339" s="59" t="e">
        <v>#N/A</v>
      </c>
      <c r="D339" s="59" t="e">
        <v>#N/A</v>
      </c>
      <c r="E339" s="75"/>
      <c r="F339" s="69"/>
      <c r="G339" s="69"/>
      <c r="H339" s="61"/>
      <c r="I339" s="60"/>
      <c r="J339" s="60"/>
      <c r="K339" s="60"/>
      <c r="L339" s="60"/>
      <c r="M339" s="60"/>
      <c r="N339" s="60"/>
      <c r="O339" s="58"/>
      <c r="P339" s="58"/>
      <c r="Q339" s="13" t="e">
        <v>#N/A</v>
      </c>
      <c r="R339" s="13" t="e">
        <v>#N/A</v>
      </c>
      <c r="S339" s="13"/>
      <c r="T339" s="62"/>
      <c r="U339" s="13"/>
      <c r="V339" s="13"/>
      <c r="W339" s="13"/>
      <c r="X339" s="58"/>
      <c r="Y339" s="51">
        <f ca="1">Table25[[#This Row],[End Date]]+2-TODAY()</f>
        <v>-46242</v>
      </c>
      <c r="Z339" s="13">
        <f>IF(ISBLANK(Table25[[#This Row],[Roster Received By]]),1,0)</f>
        <v>1</v>
      </c>
      <c r="AA339" s="13">
        <f ca="1">IF(Table25[[#This Row],[Start Date]]&gt;TODAY(),1,)</f>
        <v>0</v>
      </c>
    </row>
    <row r="340" spans="1:27" s="65" customFormat="1" ht="15.75" hidden="1" customHeight="1" x14ac:dyDescent="0.25">
      <c r="A340" s="46"/>
      <c r="B340" s="75"/>
      <c r="C340" s="59" t="e">
        <v>#N/A</v>
      </c>
      <c r="D340" s="59" t="e">
        <v>#N/A</v>
      </c>
      <c r="E340" s="75"/>
      <c r="F340" s="79"/>
      <c r="G340" s="80"/>
      <c r="H340" s="67"/>
      <c r="I340" s="67"/>
      <c r="J340" s="61"/>
      <c r="K340" s="61"/>
      <c r="L340" s="61"/>
      <c r="M340" s="61"/>
      <c r="N340" s="61"/>
      <c r="O340" s="58"/>
      <c r="P340" s="58"/>
      <c r="Q340" s="13" t="e">
        <v>#N/A</v>
      </c>
      <c r="R340" s="13" t="e">
        <v>#N/A</v>
      </c>
      <c r="S340" s="13"/>
      <c r="T340" s="62"/>
      <c r="U340" s="13"/>
      <c r="V340" s="13"/>
      <c r="W340" s="13"/>
      <c r="X340" s="58"/>
      <c r="Y340" s="51">
        <f ca="1">Table25[[#This Row],[End Date]]+2-TODAY()</f>
        <v>-46242</v>
      </c>
      <c r="Z340" s="13">
        <f>IF(ISBLANK(Table25[[#This Row],[Roster Received By]]),1,0)</f>
        <v>1</v>
      </c>
      <c r="AA340" s="13">
        <f ca="1">IF(Table25[[#This Row],[Start Date]]&gt;TODAY(),1,)</f>
        <v>0</v>
      </c>
    </row>
    <row r="341" spans="1:27" s="65" customFormat="1" ht="15.75" hidden="1" customHeight="1" x14ac:dyDescent="0.25">
      <c r="A341" s="58"/>
      <c r="B341" s="75"/>
      <c r="C341" s="59" t="e">
        <v>#N/A</v>
      </c>
      <c r="D341" s="59" t="e">
        <v>#N/A</v>
      </c>
      <c r="E341" s="75"/>
      <c r="F341" s="91"/>
      <c r="G341" s="91"/>
      <c r="H341" s="67"/>
      <c r="I341" s="67"/>
      <c r="J341" s="61"/>
      <c r="K341" s="61"/>
      <c r="L341" s="61"/>
      <c r="M341" s="61"/>
      <c r="N341" s="61"/>
      <c r="O341" s="58"/>
      <c r="P341" s="58"/>
      <c r="Q341" s="13" t="e">
        <v>#N/A</v>
      </c>
      <c r="R341" s="13" t="e">
        <v>#N/A</v>
      </c>
      <c r="S341" s="13"/>
      <c r="T341" s="62"/>
      <c r="U341" s="13"/>
      <c r="V341" s="13"/>
      <c r="W341" s="13"/>
      <c r="X341" s="58"/>
      <c r="Y341" s="51">
        <f ca="1">Table25[[#This Row],[End Date]]+2-TODAY()</f>
        <v>-46242</v>
      </c>
      <c r="Z341" s="13">
        <f>IF(ISBLANK(Table25[[#This Row],[Roster Received By]]),1,0)</f>
        <v>1</v>
      </c>
      <c r="AA341" s="13">
        <f ca="1">IF(Table25[[#This Row],[Start Date]]&gt;TODAY(),1,)</f>
        <v>0</v>
      </c>
    </row>
    <row r="342" spans="1:27" s="65" customFormat="1" ht="15.75" hidden="1" customHeight="1" x14ac:dyDescent="0.25">
      <c r="A342" s="46"/>
      <c r="B342" s="75"/>
      <c r="C342" s="59" t="e">
        <v>#N/A</v>
      </c>
      <c r="D342" s="59" t="e">
        <v>#N/A</v>
      </c>
      <c r="E342" s="48"/>
      <c r="F342" s="92"/>
      <c r="G342" s="92"/>
      <c r="H342" s="60"/>
      <c r="I342" s="60"/>
      <c r="J342" s="61"/>
      <c r="K342" s="61"/>
      <c r="L342" s="61"/>
      <c r="M342" s="61"/>
      <c r="N342" s="61"/>
      <c r="O342" s="58"/>
      <c r="P342" s="58"/>
      <c r="Q342" s="13" t="e">
        <v>#N/A</v>
      </c>
      <c r="R342" s="13" t="e">
        <v>#N/A</v>
      </c>
      <c r="S342" s="13"/>
      <c r="T342" s="62"/>
      <c r="U342" s="13"/>
      <c r="V342" s="13"/>
      <c r="W342" s="13"/>
      <c r="X342" s="58"/>
      <c r="Y342" s="51">
        <f ca="1">Table25[[#This Row],[End Date]]+2-TODAY()</f>
        <v>-46242</v>
      </c>
      <c r="Z342" s="13">
        <f>IF(ISBLANK(Table25[[#This Row],[Roster Received By]]),1,0)</f>
        <v>1</v>
      </c>
      <c r="AA342" s="13">
        <f ca="1">IF(Table25[[#This Row],[Start Date]]&gt;TODAY(),1,)</f>
        <v>0</v>
      </c>
    </row>
    <row r="343" spans="1:27" s="65" customFormat="1" ht="15.75" hidden="1" customHeight="1" x14ac:dyDescent="0.25">
      <c r="A343" s="58"/>
      <c r="B343" s="77"/>
      <c r="C343" s="59" t="e">
        <v>#N/A</v>
      </c>
      <c r="D343" s="59" t="e">
        <v>#N/A</v>
      </c>
      <c r="E343" s="75"/>
      <c r="F343" s="91"/>
      <c r="G343" s="91"/>
      <c r="H343" s="61"/>
      <c r="I343" s="60"/>
      <c r="J343" s="60"/>
      <c r="K343" s="60"/>
      <c r="L343" s="60"/>
      <c r="M343" s="60"/>
      <c r="N343" s="60"/>
      <c r="O343" s="58"/>
      <c r="P343" s="58"/>
      <c r="Q343" s="13" t="e">
        <v>#N/A</v>
      </c>
      <c r="R343" s="13" t="e">
        <v>#N/A</v>
      </c>
      <c r="S343" s="13"/>
      <c r="T343" s="62"/>
      <c r="U343" s="13"/>
      <c r="V343" s="13"/>
      <c r="W343" s="13"/>
      <c r="X343" s="58"/>
      <c r="Y343" s="51">
        <f ca="1">Table25[[#This Row],[End Date]]+2-TODAY()</f>
        <v>-46242</v>
      </c>
      <c r="Z343" s="13">
        <f>IF(ISBLANK(Table25[[#This Row],[Roster Received By]]),1,0)</f>
        <v>1</v>
      </c>
      <c r="AA343" s="13">
        <f ca="1">IF(Table25[[#This Row],[Start Date]]&gt;TODAY(),1,)</f>
        <v>0</v>
      </c>
    </row>
    <row r="344" spans="1:27" s="65" customFormat="1" ht="15.75" hidden="1" customHeight="1" x14ac:dyDescent="0.25">
      <c r="A344" s="58"/>
      <c r="B344" s="75"/>
      <c r="C344" s="59" t="e">
        <v>#N/A</v>
      </c>
      <c r="D344" s="59" t="e">
        <v>#N/A</v>
      </c>
      <c r="E344" s="75"/>
      <c r="F344" s="91"/>
      <c r="G344" s="91"/>
      <c r="H344" s="64"/>
      <c r="I344" s="64"/>
      <c r="J344" s="61"/>
      <c r="K344" s="61"/>
      <c r="L344" s="61"/>
      <c r="M344" s="61"/>
      <c r="N344" s="61"/>
      <c r="O344" s="58"/>
      <c r="P344" s="58"/>
      <c r="Q344" s="13" t="e">
        <v>#N/A</v>
      </c>
      <c r="R344" s="13" t="e">
        <v>#N/A</v>
      </c>
      <c r="S344" s="13"/>
      <c r="T344" s="62"/>
      <c r="U344" s="13"/>
      <c r="V344" s="13"/>
      <c r="W344" s="13"/>
      <c r="X344" s="58"/>
      <c r="Y344" s="51">
        <f ca="1">Table25[[#This Row],[End Date]]+2-TODAY()</f>
        <v>-46242</v>
      </c>
      <c r="Z344" s="13">
        <f>IF(ISBLANK(Table25[[#This Row],[Roster Received By]]),1,0)</f>
        <v>1</v>
      </c>
      <c r="AA344" s="13">
        <f ca="1">IF(Table25[[#This Row],[Start Date]]&gt;TODAY(),1,)</f>
        <v>0</v>
      </c>
    </row>
    <row r="345" spans="1:27" s="65" customFormat="1" ht="15.75" hidden="1" customHeight="1" x14ac:dyDescent="0.25">
      <c r="A345" s="46"/>
      <c r="B345" s="75"/>
      <c r="C345" s="59" t="e">
        <v>#N/A</v>
      </c>
      <c r="D345" s="59" t="e">
        <v>#N/A</v>
      </c>
      <c r="E345" s="48"/>
      <c r="F345" s="91"/>
      <c r="G345" s="91"/>
      <c r="H345" s="64"/>
      <c r="I345" s="64"/>
      <c r="J345" s="61"/>
      <c r="K345" s="61"/>
      <c r="L345" s="61"/>
      <c r="M345" s="61"/>
      <c r="N345" s="61"/>
      <c r="O345" s="58"/>
      <c r="P345" s="58"/>
      <c r="Q345" s="13" t="e">
        <v>#N/A</v>
      </c>
      <c r="R345" s="13" t="e">
        <v>#N/A</v>
      </c>
      <c r="S345" s="13"/>
      <c r="T345" s="62"/>
      <c r="U345" s="13"/>
      <c r="V345" s="13"/>
      <c r="W345" s="13"/>
      <c r="X345" s="58"/>
      <c r="Y345" s="51">
        <f ca="1">Table25[[#This Row],[End Date]]+2-TODAY()</f>
        <v>-46242</v>
      </c>
      <c r="Z345" s="13">
        <f>IF(ISBLANK(Table25[[#This Row],[Roster Received By]]),1,0)</f>
        <v>1</v>
      </c>
      <c r="AA345" s="13">
        <f ca="1">IF(Table25[[#This Row],[Start Date]]&gt;TODAY(),1,)</f>
        <v>0</v>
      </c>
    </row>
    <row r="346" spans="1:27" s="65" customFormat="1" ht="15.75" hidden="1" customHeight="1" x14ac:dyDescent="0.25">
      <c r="A346" s="46"/>
      <c r="B346" s="75"/>
      <c r="C346" s="59" t="e">
        <v>#N/A</v>
      </c>
      <c r="D346" s="59" t="e">
        <v>#N/A</v>
      </c>
      <c r="E346" s="48"/>
      <c r="F346" s="57"/>
      <c r="G346" s="57"/>
      <c r="H346" s="60"/>
      <c r="I346" s="60"/>
      <c r="J346" s="61"/>
      <c r="K346" s="61"/>
      <c r="L346" s="61"/>
      <c r="M346" s="61"/>
      <c r="N346" s="61"/>
      <c r="O346" s="58"/>
      <c r="P346" s="58"/>
      <c r="Q346" s="13" t="e">
        <v>#N/A</v>
      </c>
      <c r="R346" s="13" t="e">
        <v>#N/A</v>
      </c>
      <c r="S346" s="13"/>
      <c r="T346" s="62"/>
      <c r="U346" s="13"/>
      <c r="V346" s="13"/>
      <c r="W346" s="13"/>
      <c r="X346" s="58"/>
      <c r="Y346" s="51">
        <f ca="1">Table25[[#This Row],[End Date]]+2-TODAY()</f>
        <v>-46242</v>
      </c>
      <c r="Z346" s="13">
        <f>IF(ISBLANK(Table25[[#This Row],[Roster Received By]]),1,0)</f>
        <v>1</v>
      </c>
      <c r="AA346" s="13">
        <f ca="1">IF(Table25[[#This Row],[Start Date]]&gt;TODAY(),1,)</f>
        <v>0</v>
      </c>
    </row>
    <row r="347" spans="1:27" s="65" customFormat="1" ht="15.75" hidden="1" customHeight="1" x14ac:dyDescent="0.25">
      <c r="A347" s="46"/>
      <c r="B347" s="75"/>
      <c r="C347" s="59" t="e">
        <v>#N/A</v>
      </c>
      <c r="D347" s="59" t="e">
        <v>#N/A</v>
      </c>
      <c r="E347" s="75"/>
      <c r="F347" s="69"/>
      <c r="G347" s="69"/>
      <c r="H347" s="61"/>
      <c r="I347" s="60"/>
      <c r="J347" s="60"/>
      <c r="K347" s="60"/>
      <c r="L347" s="60"/>
      <c r="M347" s="60"/>
      <c r="N347" s="60"/>
      <c r="O347" s="58"/>
      <c r="P347" s="58"/>
      <c r="Q347" s="13" t="e">
        <v>#N/A</v>
      </c>
      <c r="R347" s="13" t="e">
        <v>#N/A</v>
      </c>
      <c r="S347" s="13"/>
      <c r="T347" s="62"/>
      <c r="U347" s="13"/>
      <c r="V347" s="13"/>
      <c r="W347" s="13"/>
      <c r="X347" s="58"/>
      <c r="Y347" s="51">
        <f ca="1">Table25[[#This Row],[End Date]]+2-TODAY()</f>
        <v>-46242</v>
      </c>
      <c r="Z347" s="13">
        <f>IF(ISBLANK(Table25[[#This Row],[Roster Received By]]),1,0)</f>
        <v>1</v>
      </c>
      <c r="AA347" s="13">
        <f ca="1">IF(Table25[[#This Row],[Start Date]]&gt;TODAY(),1,)</f>
        <v>0</v>
      </c>
    </row>
    <row r="348" spans="1:27" s="59" customFormat="1" hidden="1" x14ac:dyDescent="0.25">
      <c r="A348" s="46"/>
      <c r="B348" s="77"/>
      <c r="C348" s="59" t="e">
        <v>#N/A</v>
      </c>
      <c r="D348" s="59" t="e">
        <v>#N/A</v>
      </c>
      <c r="E348" s="75"/>
      <c r="F348" s="69"/>
      <c r="G348" s="69"/>
      <c r="H348" s="61"/>
      <c r="I348" s="60"/>
      <c r="J348" s="60"/>
      <c r="K348" s="60"/>
      <c r="L348" s="60"/>
      <c r="M348" s="60"/>
      <c r="N348" s="60"/>
      <c r="O348" s="58"/>
      <c r="P348" s="58"/>
      <c r="Q348" s="13" t="e">
        <v>#N/A</v>
      </c>
      <c r="R348" s="13" t="e">
        <v>#N/A</v>
      </c>
      <c r="S348" s="13"/>
      <c r="T348" s="62"/>
      <c r="U348" s="13"/>
      <c r="V348" s="13"/>
      <c r="W348" s="13"/>
      <c r="X348" s="58"/>
      <c r="Y348" s="51">
        <f ca="1">Table25[[#This Row],[End Date]]+2-TODAY()</f>
        <v>-46242</v>
      </c>
      <c r="Z348" s="13">
        <f>IF(ISBLANK(Table25[[#This Row],[Roster Received By]]),1,0)</f>
        <v>1</v>
      </c>
      <c r="AA348" s="13">
        <f ca="1">IF(Table25[[#This Row],[Start Date]]&gt;TODAY(),1,)</f>
        <v>0</v>
      </c>
    </row>
    <row r="349" spans="1:27" s="46" customFormat="1" hidden="1" x14ac:dyDescent="0.25">
      <c r="B349" s="77"/>
      <c r="C349" s="59" t="e">
        <v>#N/A</v>
      </c>
      <c r="D349" s="59" t="e">
        <v>#N/A</v>
      </c>
      <c r="E349" s="48"/>
      <c r="F349" s="57"/>
      <c r="G349" s="57"/>
      <c r="H349" s="60"/>
      <c r="I349" s="60"/>
      <c r="J349" s="61"/>
      <c r="K349" s="61"/>
      <c r="L349" s="61"/>
      <c r="M349" s="61"/>
      <c r="N349" s="61"/>
      <c r="O349" s="58"/>
      <c r="P349" s="58"/>
      <c r="Q349" s="13" t="e">
        <v>#N/A</v>
      </c>
      <c r="R349" s="13" t="e">
        <v>#N/A</v>
      </c>
      <c r="S349" s="13"/>
      <c r="T349" s="62"/>
      <c r="U349" s="13"/>
      <c r="V349" s="13"/>
      <c r="W349" s="59"/>
      <c r="X349" s="58"/>
      <c r="Y349" s="68">
        <f ca="1">Table25[[#This Row],[End Date]]+2-TODAY()</f>
        <v>-46242</v>
      </c>
      <c r="Z349" s="13">
        <f>IF(ISBLANK(Table25[[#This Row],[Roster Received By]]),1,0)</f>
        <v>1</v>
      </c>
      <c r="AA349" s="59">
        <f ca="1">IF(Table25[[#This Row],[Start Date]]&gt;TODAY(),1,)</f>
        <v>0</v>
      </c>
    </row>
    <row r="350" spans="1:27" s="46" customFormat="1" hidden="1" x14ac:dyDescent="0.25">
      <c r="B350" s="75"/>
      <c r="C350" s="59" t="e">
        <v>#N/A</v>
      </c>
      <c r="D350" s="59" t="e">
        <v>#N/A</v>
      </c>
      <c r="E350" s="87"/>
      <c r="F350" s="90"/>
      <c r="G350" s="90"/>
      <c r="H350" s="127"/>
      <c r="I350" s="60"/>
      <c r="J350" s="60"/>
      <c r="K350" s="60"/>
      <c r="L350" s="60"/>
      <c r="M350" s="60"/>
      <c r="N350" s="60"/>
      <c r="O350" s="58"/>
      <c r="P350" s="58"/>
      <c r="Q350" s="13" t="e">
        <v>#N/A</v>
      </c>
      <c r="R350" s="13" t="e">
        <v>#N/A</v>
      </c>
      <c r="S350" s="13"/>
      <c r="T350" s="62"/>
      <c r="U350" s="13"/>
      <c r="V350" s="13"/>
      <c r="W350" s="59"/>
      <c r="X350" s="58"/>
      <c r="Y350" s="68">
        <f ca="1">Table25[[#This Row],[End Date]]+2-TODAY()</f>
        <v>-46242</v>
      </c>
      <c r="Z350" s="13">
        <f>IF(ISBLANK(Table25[[#This Row],[Roster Received By]]),1,0)</f>
        <v>1</v>
      </c>
      <c r="AA350" s="59">
        <f ca="1">IF(Table25[[#This Row],[Start Date]]&gt;TODAY(),1,)</f>
        <v>0</v>
      </c>
    </row>
    <row r="351" spans="1:27" s="46" customFormat="1" hidden="1" x14ac:dyDescent="0.25">
      <c r="B351" s="75"/>
      <c r="C351" s="59" t="e">
        <v>#N/A</v>
      </c>
      <c r="D351" s="59" t="e">
        <v>#N/A</v>
      </c>
      <c r="E351" s="75"/>
      <c r="F351" s="69"/>
      <c r="G351" s="69"/>
      <c r="H351" s="61"/>
      <c r="I351" s="60"/>
      <c r="J351" s="60"/>
      <c r="K351" s="60"/>
      <c r="L351" s="60"/>
      <c r="M351" s="60"/>
      <c r="N351" s="60"/>
      <c r="O351" s="58"/>
      <c r="P351" s="58"/>
      <c r="Q351" s="13" t="e">
        <v>#N/A</v>
      </c>
      <c r="R351" s="13" t="e">
        <v>#N/A</v>
      </c>
      <c r="S351" s="13"/>
      <c r="T351" s="62"/>
      <c r="U351" s="13"/>
      <c r="V351" s="13"/>
      <c r="W351" s="59"/>
      <c r="X351" s="58"/>
      <c r="Y351" s="68">
        <f ca="1">Table25[[#This Row],[End Date]]+2-TODAY()</f>
        <v>-46242</v>
      </c>
      <c r="Z351" s="13">
        <f>IF(ISBLANK(Table25[[#This Row],[Roster Received By]]),1,0)</f>
        <v>1</v>
      </c>
      <c r="AA351" s="59">
        <f ca="1">IF(Table25[[#This Row],[Start Date]]&gt;TODAY(),1,)</f>
        <v>0</v>
      </c>
    </row>
    <row r="352" spans="1:27" s="46" customFormat="1" hidden="1" x14ac:dyDescent="0.25">
      <c r="B352" s="75"/>
      <c r="C352" s="59" t="e">
        <v>#N/A</v>
      </c>
      <c r="D352" s="59" t="e">
        <v>#N/A</v>
      </c>
      <c r="E352" s="75"/>
      <c r="F352" s="69"/>
      <c r="G352" s="69"/>
      <c r="H352" s="61"/>
      <c r="I352" s="60"/>
      <c r="J352" s="60"/>
      <c r="K352" s="60"/>
      <c r="L352" s="60"/>
      <c r="M352" s="60"/>
      <c r="N352" s="60"/>
      <c r="O352" s="58"/>
      <c r="P352" s="58"/>
      <c r="Q352" s="13" t="e">
        <v>#N/A</v>
      </c>
      <c r="R352" s="13" t="e">
        <v>#N/A</v>
      </c>
      <c r="S352" s="13"/>
      <c r="T352" s="62"/>
      <c r="U352" s="13"/>
      <c r="V352" s="13"/>
      <c r="W352" s="59"/>
      <c r="X352" s="58"/>
      <c r="Y352" s="68">
        <f ca="1">Table25[[#This Row],[End Date]]+2-TODAY()</f>
        <v>-46242</v>
      </c>
      <c r="Z352" s="13">
        <f>IF(ISBLANK(Table25[[#This Row],[Roster Received By]]),1,0)</f>
        <v>1</v>
      </c>
      <c r="AA352" s="59">
        <f ca="1">IF(Table25[[#This Row],[Start Date]]&gt;TODAY(),1,)</f>
        <v>0</v>
      </c>
    </row>
    <row r="353" spans="1:27" s="46" customFormat="1" hidden="1" x14ac:dyDescent="0.25">
      <c r="B353" s="75"/>
      <c r="C353" s="59" t="e">
        <v>#N/A</v>
      </c>
      <c r="D353" s="59" t="e">
        <v>#N/A</v>
      </c>
      <c r="E353" s="75"/>
      <c r="F353" s="69"/>
      <c r="G353" s="69"/>
      <c r="H353" s="64"/>
      <c r="I353" s="64"/>
      <c r="J353" s="64"/>
      <c r="K353" s="64"/>
      <c r="L353" s="64"/>
      <c r="M353" s="64"/>
      <c r="N353" s="61"/>
      <c r="O353" s="58"/>
      <c r="P353" s="58"/>
      <c r="Q353" s="13" t="e">
        <v>#N/A</v>
      </c>
      <c r="R353" s="13" t="e">
        <v>#N/A</v>
      </c>
      <c r="S353" s="13"/>
      <c r="T353" s="62"/>
      <c r="U353" s="13"/>
      <c r="V353" s="13"/>
      <c r="W353" s="59"/>
      <c r="X353" s="58"/>
      <c r="Y353" s="68">
        <f ca="1">Table25[[#This Row],[End Date]]+2-TODAY()</f>
        <v>-46242</v>
      </c>
      <c r="Z353" s="13">
        <f>IF(ISBLANK(Table25[[#This Row],[Roster Received By]]),1,0)</f>
        <v>1</v>
      </c>
      <c r="AA353" s="59">
        <f ca="1">IF(Table25[[#This Row],[Start Date]]&gt;TODAY(),1,)</f>
        <v>0</v>
      </c>
    </row>
    <row r="354" spans="1:27" s="46" customFormat="1" hidden="1" x14ac:dyDescent="0.25">
      <c r="A354" s="58"/>
      <c r="B354" s="77"/>
      <c r="C354" s="59" t="e">
        <v>#N/A</v>
      </c>
      <c r="D354" s="59" t="e">
        <v>#N/A</v>
      </c>
      <c r="E354" s="75"/>
      <c r="F354" s="69"/>
      <c r="G354" s="69"/>
      <c r="H354" s="64"/>
      <c r="I354" s="64"/>
      <c r="J354" s="61"/>
      <c r="K354" s="61"/>
      <c r="L354" s="61"/>
      <c r="M354" s="61"/>
      <c r="N354" s="61"/>
      <c r="O354" s="58"/>
      <c r="P354" s="58"/>
      <c r="Q354" s="13" t="e">
        <v>#N/A</v>
      </c>
      <c r="R354" s="13" t="e">
        <v>#N/A</v>
      </c>
      <c r="S354" s="13"/>
      <c r="T354" s="62"/>
      <c r="U354" s="13"/>
      <c r="V354" s="13"/>
      <c r="W354" s="59"/>
      <c r="X354" s="58"/>
      <c r="Y354" s="68">
        <f ca="1">Table25[[#This Row],[End Date]]+2-TODAY()</f>
        <v>-46242</v>
      </c>
      <c r="Z354" s="13">
        <f>IF(ISBLANK(Table25[[#This Row],[Roster Received By]]),1,0)</f>
        <v>1</v>
      </c>
      <c r="AA354" s="59">
        <f ca="1">IF(Table25[[#This Row],[Start Date]]&gt;TODAY(),1,)</f>
        <v>0</v>
      </c>
    </row>
    <row r="355" spans="1:27" s="46" customFormat="1" hidden="1" x14ac:dyDescent="0.25">
      <c r="B355" s="75"/>
      <c r="C355" s="59" t="e">
        <v>#N/A</v>
      </c>
      <c r="D355" s="59" t="e">
        <v>#N/A</v>
      </c>
      <c r="E355" s="75"/>
      <c r="F355" s="69"/>
      <c r="G355" s="69"/>
      <c r="H355" s="64"/>
      <c r="I355" s="64"/>
      <c r="J355" s="61"/>
      <c r="K355" s="61"/>
      <c r="L355" s="61"/>
      <c r="M355" s="61"/>
      <c r="N355" s="61"/>
      <c r="O355" s="58"/>
      <c r="P355" s="58"/>
      <c r="Q355" s="13" t="e">
        <v>#N/A</v>
      </c>
      <c r="R355" s="13" t="e">
        <v>#N/A</v>
      </c>
      <c r="S355" s="62"/>
      <c r="T355" s="62"/>
      <c r="U355" s="13"/>
      <c r="V355" s="13"/>
      <c r="W355" s="59"/>
      <c r="X355" s="58"/>
      <c r="Y355" s="68">
        <f ca="1">Table25[[#This Row],[End Date]]+2-TODAY()</f>
        <v>-46242</v>
      </c>
      <c r="Z355" s="13">
        <f>IF(ISBLANK(Table25[[#This Row],[Roster Received By]]),1,0)</f>
        <v>1</v>
      </c>
      <c r="AA355" s="59">
        <f ca="1">IF(Table25[[#This Row],[Start Date]]&gt;TODAY(),1,)</f>
        <v>0</v>
      </c>
    </row>
    <row r="356" spans="1:27" s="46" customFormat="1" hidden="1" x14ac:dyDescent="0.25">
      <c r="B356" s="75"/>
      <c r="C356" s="59" t="e">
        <v>#N/A</v>
      </c>
      <c r="D356" s="59" t="e">
        <v>#N/A</v>
      </c>
      <c r="E356" s="48"/>
      <c r="F356" s="69"/>
      <c r="G356" s="69"/>
      <c r="H356" s="64"/>
      <c r="I356" s="64"/>
      <c r="J356" s="61"/>
      <c r="K356" s="61"/>
      <c r="L356" s="61"/>
      <c r="M356" s="61"/>
      <c r="N356" s="61"/>
      <c r="O356" s="58"/>
      <c r="P356" s="58"/>
      <c r="Q356" s="13" t="e">
        <v>#N/A</v>
      </c>
      <c r="R356" s="13" t="e">
        <v>#N/A</v>
      </c>
      <c r="S356" s="13"/>
      <c r="T356" s="62"/>
      <c r="U356" s="13"/>
      <c r="V356" s="13"/>
      <c r="W356" s="59"/>
      <c r="X356" s="58"/>
      <c r="Y356" s="68">
        <f ca="1">Table25[[#This Row],[End Date]]+2-TODAY()</f>
        <v>-46242</v>
      </c>
      <c r="Z356" s="13">
        <f>IF(ISBLANK(Table25[[#This Row],[Roster Received By]]),1,0)</f>
        <v>1</v>
      </c>
      <c r="AA356" s="59">
        <f ca="1">IF(Table25[[#This Row],[Start Date]]&gt;TODAY(),1,)</f>
        <v>0</v>
      </c>
    </row>
    <row r="357" spans="1:27" s="46" customFormat="1" hidden="1" x14ac:dyDescent="0.25">
      <c r="A357" s="58"/>
      <c r="B357" s="77"/>
      <c r="C357" s="59" t="e">
        <v>#N/A</v>
      </c>
      <c r="D357" s="59" t="e">
        <v>#N/A</v>
      </c>
      <c r="E357" s="75"/>
      <c r="F357" s="61"/>
      <c r="G357" s="61"/>
      <c r="H357" s="64"/>
      <c r="I357" s="64"/>
      <c r="J357" s="61"/>
      <c r="K357" s="61"/>
      <c r="L357" s="61"/>
      <c r="M357" s="61"/>
      <c r="N357" s="61"/>
      <c r="O357" s="58"/>
      <c r="P357" s="58"/>
      <c r="Q357" s="13" t="e">
        <v>#N/A</v>
      </c>
      <c r="R357" s="13" t="e">
        <v>#N/A</v>
      </c>
      <c r="S357" s="13"/>
      <c r="T357" s="62"/>
      <c r="U357" s="13"/>
      <c r="V357" s="13"/>
      <c r="W357" s="59"/>
      <c r="X357" s="58"/>
      <c r="Y357" s="68">
        <f ca="1">Table25[[#This Row],[End Date]]+2-TODAY()</f>
        <v>-46242</v>
      </c>
      <c r="Z357" s="13">
        <f>IF(ISBLANK(Table25[[#This Row],[Roster Received By]]),1,0)</f>
        <v>1</v>
      </c>
      <c r="AA357" s="59">
        <f ca="1">IF(Table25[[#This Row],[Start Date]]&gt;TODAY(),1,)</f>
        <v>0</v>
      </c>
    </row>
    <row r="358" spans="1:27" s="46" customFormat="1" hidden="1" x14ac:dyDescent="0.25">
      <c r="B358" s="86"/>
      <c r="C358" s="59" t="e">
        <v>#N/A</v>
      </c>
      <c r="D358" s="59" t="e">
        <v>#N/A</v>
      </c>
      <c r="E358" s="75"/>
      <c r="F358" s="61"/>
      <c r="G358" s="61"/>
      <c r="H358" s="61"/>
      <c r="I358" s="60"/>
      <c r="J358" s="60"/>
      <c r="K358" s="60"/>
      <c r="L358" s="60"/>
      <c r="M358" s="60"/>
      <c r="N358" s="60"/>
      <c r="O358" s="58"/>
      <c r="P358" s="58"/>
      <c r="Q358" s="13" t="e">
        <v>#N/A</v>
      </c>
      <c r="R358" s="13" t="e">
        <v>#N/A</v>
      </c>
      <c r="S358" s="13"/>
      <c r="T358" s="62"/>
      <c r="U358" s="13"/>
      <c r="V358" s="13"/>
      <c r="W358" s="59"/>
      <c r="X358" s="58"/>
      <c r="Y358" s="68">
        <f ca="1">Table25[[#This Row],[End Date]]+2-TODAY()</f>
        <v>-46242</v>
      </c>
      <c r="Z358" s="13">
        <f>IF(ISBLANK(Table25[[#This Row],[Roster Received By]]),1,0)</f>
        <v>1</v>
      </c>
      <c r="AA358" s="59">
        <f ca="1">IF(Table25[[#This Row],[Start Date]]&gt;TODAY(),1,)</f>
        <v>0</v>
      </c>
    </row>
    <row r="359" spans="1:27" s="46" customFormat="1" hidden="1" x14ac:dyDescent="0.25">
      <c r="B359" s="77"/>
      <c r="C359" s="59" t="e">
        <v>#N/A</v>
      </c>
      <c r="D359" s="59" t="e">
        <v>#N/A</v>
      </c>
      <c r="E359" s="75"/>
      <c r="F359" s="61"/>
      <c r="G359" s="61"/>
      <c r="H359" s="64"/>
      <c r="I359" s="64"/>
      <c r="J359" s="61"/>
      <c r="K359" s="61"/>
      <c r="L359" s="61"/>
      <c r="M359" s="61"/>
      <c r="N359" s="61"/>
      <c r="O359" s="58"/>
      <c r="P359" s="58"/>
      <c r="Q359" s="13" t="e">
        <v>#N/A</v>
      </c>
      <c r="R359" s="13" t="e">
        <v>#N/A</v>
      </c>
      <c r="S359" s="13"/>
      <c r="T359" s="62"/>
      <c r="U359" s="13"/>
      <c r="V359" s="13"/>
      <c r="W359" s="59"/>
      <c r="X359" s="58"/>
      <c r="Y359" s="68">
        <f ca="1">Table25[[#This Row],[End Date]]+2-TODAY()</f>
        <v>-46242</v>
      </c>
      <c r="Z359" s="13">
        <f>IF(ISBLANK(Table25[[#This Row],[Roster Received By]]),1,0)</f>
        <v>1</v>
      </c>
      <c r="AA359" s="59">
        <f ca="1">IF(Table25[[#This Row],[Start Date]]&gt;TODAY(),1,)</f>
        <v>0</v>
      </c>
    </row>
    <row r="360" spans="1:27" s="46" customFormat="1" hidden="1" x14ac:dyDescent="0.25">
      <c r="B360" s="75"/>
      <c r="C360" s="59" t="e">
        <v>#N/A</v>
      </c>
      <c r="D360" s="59" t="e">
        <v>#N/A</v>
      </c>
      <c r="E360" s="58"/>
      <c r="F360" s="61"/>
      <c r="G360" s="61"/>
      <c r="H360" s="64"/>
      <c r="I360" s="71"/>
      <c r="J360" s="71"/>
      <c r="K360" s="71"/>
      <c r="L360" s="71"/>
      <c r="M360" s="71"/>
      <c r="N360" s="71"/>
      <c r="O360" s="58"/>
      <c r="P360" s="58"/>
      <c r="Q360" s="13" t="e">
        <v>#N/A</v>
      </c>
      <c r="R360" s="13" t="e">
        <v>#N/A</v>
      </c>
      <c r="S360" s="62"/>
      <c r="T360" s="72"/>
      <c r="U360" s="72"/>
      <c r="V360" s="72"/>
      <c r="W360" s="72"/>
      <c r="X360" s="58"/>
      <c r="Y360" s="72"/>
    </row>
    <row r="361" spans="1:27" s="46" customFormat="1" hidden="1" x14ac:dyDescent="0.25">
      <c r="A361" s="47"/>
      <c r="B361" s="75"/>
      <c r="C361" s="59" t="e">
        <v>#N/A</v>
      </c>
      <c r="D361" s="59" t="e">
        <v>#N/A</v>
      </c>
      <c r="E361" s="75"/>
      <c r="F361" s="61"/>
      <c r="G361" s="61"/>
      <c r="H361" s="61"/>
      <c r="I361" s="60"/>
      <c r="J361" s="60"/>
      <c r="K361" s="60"/>
      <c r="L361" s="60"/>
      <c r="M361" s="60"/>
      <c r="N361" s="60"/>
      <c r="O361" s="58"/>
      <c r="P361" s="58"/>
      <c r="Q361" s="13" t="e">
        <v>#N/A</v>
      </c>
      <c r="R361" s="13" t="e">
        <v>#N/A</v>
      </c>
      <c r="S361" s="13"/>
      <c r="T361" s="62"/>
      <c r="U361" s="13"/>
      <c r="V361" s="13"/>
      <c r="W361" s="59"/>
      <c r="X361" s="58"/>
      <c r="Y361" s="68">
        <f ca="1">Table25[[#This Row],[End Date]]+2-TODAY()</f>
        <v>-46242</v>
      </c>
      <c r="Z361" s="13">
        <f>IF(ISBLANK(Table25[[#This Row],[Roster Received By]]),1,0)</f>
        <v>1</v>
      </c>
      <c r="AA361" s="59">
        <f ca="1">IF(Table25[[#This Row],[Start Date]]&gt;TODAY(),1,)</f>
        <v>0</v>
      </c>
    </row>
    <row r="362" spans="1:27" s="46" customFormat="1" hidden="1" x14ac:dyDescent="0.25">
      <c r="B362" s="75"/>
      <c r="C362" s="59" t="e">
        <v>#N/A</v>
      </c>
      <c r="D362" s="59" t="e">
        <v>#N/A</v>
      </c>
      <c r="E362" s="75"/>
      <c r="F362" s="61"/>
      <c r="G362" s="61"/>
      <c r="H362" s="64"/>
      <c r="I362" s="64"/>
      <c r="J362" s="61"/>
      <c r="K362" s="61"/>
      <c r="L362" s="61"/>
      <c r="M362" s="61"/>
      <c r="N362" s="61"/>
      <c r="O362" s="58"/>
      <c r="P362" s="58"/>
      <c r="Q362" s="13" t="e">
        <v>#N/A</v>
      </c>
      <c r="R362" s="13" t="e">
        <v>#N/A</v>
      </c>
      <c r="S362" s="13"/>
      <c r="T362" s="62"/>
      <c r="U362" s="13"/>
      <c r="V362" s="13"/>
      <c r="W362" s="59"/>
      <c r="X362" s="58"/>
      <c r="Y362" s="68">
        <f ca="1">Table25[[#This Row],[End Date]]+2-TODAY()</f>
        <v>-46242</v>
      </c>
      <c r="Z362" s="13">
        <f>IF(ISBLANK(Table25[[#This Row],[Roster Received By]]),1,0)</f>
        <v>1</v>
      </c>
      <c r="AA362" s="59">
        <f ca="1">IF(Table25[[#This Row],[Start Date]]&gt;TODAY(),1,)</f>
        <v>0</v>
      </c>
    </row>
    <row r="363" spans="1:27" s="46" customFormat="1" hidden="1" x14ac:dyDescent="0.25">
      <c r="A363" s="58"/>
      <c r="B363" s="77"/>
      <c r="C363" s="59" t="e">
        <v>#N/A</v>
      </c>
      <c r="D363" s="59" t="e">
        <v>#N/A</v>
      </c>
      <c r="E363" s="75"/>
      <c r="F363" s="61"/>
      <c r="G363" s="61"/>
      <c r="H363" s="64"/>
      <c r="I363" s="64"/>
      <c r="J363" s="61"/>
      <c r="K363" s="61"/>
      <c r="L363" s="61"/>
      <c r="M363" s="61"/>
      <c r="N363" s="61"/>
      <c r="O363" s="58"/>
      <c r="P363" s="58"/>
      <c r="Q363" s="13" t="e">
        <v>#N/A</v>
      </c>
      <c r="R363" s="13" t="e">
        <v>#N/A</v>
      </c>
      <c r="S363" s="13"/>
      <c r="T363" s="62"/>
      <c r="U363" s="13"/>
      <c r="V363" s="13"/>
      <c r="W363" s="59"/>
      <c r="X363" s="58"/>
      <c r="Y363" s="68">
        <f ca="1">Table25[[#This Row],[End Date]]+2-TODAY()</f>
        <v>-46242</v>
      </c>
      <c r="Z363" s="13">
        <f>IF(ISBLANK(Table25[[#This Row],[Roster Received By]]),1,0)</f>
        <v>1</v>
      </c>
      <c r="AA363" s="59">
        <f ca="1">IF(Table25[[#This Row],[Start Date]]&gt;TODAY(),1,)</f>
        <v>0</v>
      </c>
    </row>
    <row r="364" spans="1:27" s="46" customFormat="1" hidden="1" x14ac:dyDescent="0.25">
      <c r="B364" s="75"/>
      <c r="C364" s="59" t="e">
        <v>#N/A</v>
      </c>
      <c r="D364" s="59" t="e">
        <v>#N/A</v>
      </c>
      <c r="E364" s="75"/>
      <c r="F364" s="61"/>
      <c r="G364" s="61"/>
      <c r="H364" s="61"/>
      <c r="I364" s="60"/>
      <c r="J364" s="60"/>
      <c r="K364" s="60"/>
      <c r="L364" s="60"/>
      <c r="M364" s="60"/>
      <c r="N364" s="60"/>
      <c r="O364" s="58"/>
      <c r="P364" s="58"/>
      <c r="Q364" s="13" t="e">
        <v>#N/A</v>
      </c>
      <c r="R364" s="13" t="e">
        <v>#N/A</v>
      </c>
      <c r="S364" s="13"/>
      <c r="T364" s="62"/>
      <c r="U364" s="13"/>
      <c r="V364" s="13"/>
      <c r="W364" s="59"/>
      <c r="X364" s="58"/>
      <c r="Y364" s="68">
        <f ca="1">Table25[[#This Row],[End Date]]+2-TODAY()</f>
        <v>-46242</v>
      </c>
      <c r="Z364" s="13">
        <f>IF(ISBLANK(Table25[[#This Row],[Roster Received By]]),1,0)</f>
        <v>1</v>
      </c>
      <c r="AA364" s="59">
        <f ca="1">IF(Table25[[#This Row],[Start Date]]&gt;TODAY(),1,)</f>
        <v>0</v>
      </c>
    </row>
    <row r="365" spans="1:27" s="46" customFormat="1" hidden="1" x14ac:dyDescent="0.25">
      <c r="B365" s="75"/>
      <c r="C365" s="59" t="e">
        <v>#N/A</v>
      </c>
      <c r="D365" s="59" t="e">
        <v>#N/A</v>
      </c>
      <c r="E365" s="75"/>
      <c r="F365" s="61"/>
      <c r="G365" s="61"/>
      <c r="H365" s="61"/>
      <c r="I365" s="60"/>
      <c r="J365" s="60"/>
      <c r="K365" s="60"/>
      <c r="L365" s="60"/>
      <c r="M365" s="60"/>
      <c r="N365" s="60"/>
      <c r="O365" s="58"/>
      <c r="P365" s="58"/>
      <c r="Q365" s="13" t="e">
        <v>#N/A</v>
      </c>
      <c r="R365" s="13" t="e">
        <v>#N/A</v>
      </c>
      <c r="S365" s="13"/>
      <c r="T365" s="62"/>
      <c r="U365" s="13"/>
      <c r="V365" s="13"/>
      <c r="W365" s="59"/>
      <c r="X365" s="58"/>
      <c r="Y365" s="68">
        <f ca="1">Table25[[#This Row],[End Date]]+2-TODAY()</f>
        <v>-46242</v>
      </c>
      <c r="Z365" s="13">
        <f>IF(ISBLANK(Table25[[#This Row],[Roster Received By]]),1,0)</f>
        <v>1</v>
      </c>
      <c r="AA365" s="59">
        <f ca="1">IF(Table25[[#This Row],[Start Date]]&gt;TODAY(),1,)</f>
        <v>0</v>
      </c>
    </row>
    <row r="366" spans="1:27" s="46" customFormat="1" hidden="1" x14ac:dyDescent="0.25">
      <c r="B366" s="75"/>
      <c r="C366" s="59" t="e">
        <v>#N/A</v>
      </c>
      <c r="D366" s="59" t="e">
        <v>#N/A</v>
      </c>
      <c r="E366" s="75"/>
      <c r="F366" s="61"/>
      <c r="G366" s="61"/>
      <c r="H366" s="61"/>
      <c r="I366" s="60"/>
      <c r="J366" s="60"/>
      <c r="K366" s="60"/>
      <c r="L366" s="60"/>
      <c r="M366" s="60"/>
      <c r="N366" s="60"/>
      <c r="O366" s="58"/>
      <c r="P366" s="58"/>
      <c r="Q366" s="13" t="e">
        <v>#N/A</v>
      </c>
      <c r="R366" s="13" t="e">
        <v>#N/A</v>
      </c>
      <c r="S366" s="13"/>
      <c r="T366" s="62"/>
      <c r="U366" s="13"/>
      <c r="V366" s="13"/>
      <c r="W366" s="59"/>
      <c r="X366" s="58"/>
      <c r="Y366" s="68">
        <f ca="1">Table25[[#This Row],[End Date]]+2-TODAY()</f>
        <v>-46242</v>
      </c>
      <c r="Z366" s="13">
        <f>IF(ISBLANK(Table25[[#This Row],[Roster Received By]]),1,0)</f>
        <v>1</v>
      </c>
      <c r="AA366" s="59">
        <f ca="1">IF(Table25[[#This Row],[Start Date]]&gt;TODAY(),1,)</f>
        <v>0</v>
      </c>
    </row>
    <row r="367" spans="1:27" s="46" customFormat="1" hidden="1" x14ac:dyDescent="0.25">
      <c r="B367" s="75"/>
      <c r="C367" s="59" t="e">
        <v>#N/A</v>
      </c>
      <c r="D367" s="59" t="e">
        <v>#N/A</v>
      </c>
      <c r="E367" s="58"/>
      <c r="F367" s="61"/>
      <c r="G367" s="61"/>
      <c r="H367" s="61"/>
      <c r="I367" s="60"/>
      <c r="J367" s="60"/>
      <c r="K367" s="60"/>
      <c r="L367" s="60"/>
      <c r="M367" s="60"/>
      <c r="N367" s="60"/>
      <c r="O367" s="58"/>
      <c r="P367" s="58"/>
      <c r="Q367" s="13" t="e">
        <v>#N/A</v>
      </c>
      <c r="R367" s="13" t="e">
        <v>#N/A</v>
      </c>
      <c r="S367" s="13"/>
      <c r="T367" s="62"/>
      <c r="U367" s="13"/>
      <c r="V367" s="13"/>
      <c r="W367" s="59"/>
      <c r="X367" s="58"/>
      <c r="Y367" s="68">
        <f ca="1">Table25[[#This Row],[End Date]]+2-TODAY()</f>
        <v>-46242</v>
      </c>
      <c r="Z367" s="13">
        <f>IF(ISBLANK(Table25[[#This Row],[Roster Received By]]),1,0)</f>
        <v>1</v>
      </c>
      <c r="AA367" s="59">
        <f ca="1">IF(Table25[[#This Row],[Start Date]]&gt;TODAY(),1,)</f>
        <v>0</v>
      </c>
    </row>
    <row r="368" spans="1:27" s="46" customFormat="1" hidden="1" x14ac:dyDescent="0.25">
      <c r="B368" s="75"/>
      <c r="C368" s="59" t="e">
        <v>#N/A</v>
      </c>
      <c r="D368" s="59" t="e">
        <v>#N/A</v>
      </c>
      <c r="E368" s="75"/>
      <c r="F368" s="61"/>
      <c r="G368" s="61"/>
      <c r="H368" s="64"/>
      <c r="I368" s="64"/>
      <c r="J368" s="61"/>
      <c r="K368" s="61"/>
      <c r="L368" s="61"/>
      <c r="M368" s="61"/>
      <c r="N368" s="61"/>
      <c r="O368" s="58"/>
      <c r="P368" s="58"/>
      <c r="Q368" s="13" t="e">
        <v>#N/A</v>
      </c>
      <c r="R368" s="13" t="e">
        <v>#N/A</v>
      </c>
      <c r="S368" s="13"/>
      <c r="T368" s="62"/>
      <c r="U368" s="13"/>
      <c r="V368" s="13"/>
      <c r="W368" s="59"/>
      <c r="X368" s="58"/>
      <c r="Y368" s="68">
        <f ca="1">Table25[[#This Row],[End Date]]+2-TODAY()</f>
        <v>-46242</v>
      </c>
      <c r="Z368" s="13">
        <f>IF(ISBLANK(Table25[[#This Row],[Roster Received By]]),1,0)</f>
        <v>1</v>
      </c>
      <c r="AA368" s="59">
        <f ca="1">IF(Table25[[#This Row],[Start Date]]&gt;TODAY(),1,)</f>
        <v>0</v>
      </c>
    </row>
    <row r="369" spans="1:27" s="46" customFormat="1" hidden="1" x14ac:dyDescent="0.25">
      <c r="B369" s="75"/>
      <c r="C369" s="59" t="e">
        <v>#N/A</v>
      </c>
      <c r="D369" s="59" t="e">
        <v>#N/A</v>
      </c>
      <c r="E369" s="75"/>
      <c r="F369" s="61"/>
      <c r="G369" s="61"/>
      <c r="H369" s="64"/>
      <c r="I369" s="64"/>
      <c r="J369" s="61"/>
      <c r="K369" s="61"/>
      <c r="L369" s="61"/>
      <c r="M369" s="61"/>
      <c r="N369" s="61"/>
      <c r="O369" s="58"/>
      <c r="P369" s="58"/>
      <c r="Q369" s="13" t="e">
        <v>#N/A</v>
      </c>
      <c r="R369" s="13" t="e">
        <v>#N/A</v>
      </c>
      <c r="S369" s="13"/>
      <c r="T369" s="62"/>
      <c r="U369" s="13"/>
      <c r="V369" s="13"/>
      <c r="W369" s="59"/>
      <c r="X369" s="58"/>
      <c r="Y369" s="68">
        <f ca="1">Table25[[#This Row],[End Date]]+2-TODAY()</f>
        <v>-46242</v>
      </c>
      <c r="Z369" s="13">
        <f>IF(ISBLANK(Table25[[#This Row],[Roster Received By]]),1,0)</f>
        <v>1</v>
      </c>
      <c r="AA369" s="59">
        <f ca="1">IF(Table25[[#This Row],[Start Date]]&gt;TODAY(),1,)</f>
        <v>0</v>
      </c>
    </row>
    <row r="370" spans="1:27" s="46" customFormat="1" hidden="1" x14ac:dyDescent="0.25">
      <c r="B370" s="75"/>
      <c r="C370" s="59" t="e">
        <v>#N/A</v>
      </c>
      <c r="D370" s="59" t="e">
        <v>#N/A</v>
      </c>
      <c r="E370" s="75"/>
      <c r="F370" s="61"/>
      <c r="G370" s="61"/>
      <c r="H370" s="64"/>
      <c r="I370" s="64"/>
      <c r="J370" s="61"/>
      <c r="K370" s="61"/>
      <c r="L370" s="61"/>
      <c r="M370" s="61"/>
      <c r="N370" s="61"/>
      <c r="O370" s="58"/>
      <c r="P370" s="58"/>
      <c r="Q370" s="13" t="e">
        <v>#N/A</v>
      </c>
      <c r="R370" s="13" t="e">
        <v>#N/A</v>
      </c>
      <c r="S370" s="13"/>
      <c r="T370" s="62"/>
      <c r="U370" s="13"/>
      <c r="V370" s="13"/>
      <c r="W370" s="59"/>
      <c r="X370" s="58"/>
      <c r="Y370" s="68">
        <f ca="1">Table25[[#This Row],[End Date]]+2-TODAY()</f>
        <v>-46242</v>
      </c>
      <c r="Z370" s="13">
        <f>IF(ISBLANK(Table25[[#This Row],[Roster Received By]]),1,0)</f>
        <v>1</v>
      </c>
      <c r="AA370" s="59">
        <f ca="1">IF(Table25[[#This Row],[Start Date]]&gt;TODAY(),1,)</f>
        <v>0</v>
      </c>
    </row>
    <row r="371" spans="1:27" s="46" customFormat="1" hidden="1" x14ac:dyDescent="0.25">
      <c r="B371" s="75"/>
      <c r="C371" s="59" t="e">
        <v>#N/A</v>
      </c>
      <c r="D371" s="59" t="e">
        <v>#N/A</v>
      </c>
      <c r="E371" s="75"/>
      <c r="F371" s="61"/>
      <c r="G371" s="61"/>
      <c r="H371" s="64"/>
      <c r="I371" s="64"/>
      <c r="J371" s="61"/>
      <c r="K371" s="61"/>
      <c r="L371" s="61"/>
      <c r="M371" s="61"/>
      <c r="N371" s="61"/>
      <c r="O371" s="58"/>
      <c r="P371" s="58"/>
      <c r="Q371" s="13" t="e">
        <v>#N/A</v>
      </c>
      <c r="R371" s="13" t="e">
        <v>#N/A</v>
      </c>
      <c r="S371" s="13"/>
      <c r="T371" s="62"/>
      <c r="U371" s="13"/>
      <c r="V371" s="13"/>
      <c r="W371" s="59"/>
      <c r="X371" s="58"/>
      <c r="Y371" s="68">
        <f ca="1">Table25[[#This Row],[End Date]]+2-TODAY()</f>
        <v>-46242</v>
      </c>
      <c r="Z371" s="13">
        <f>IF(ISBLANK(Table25[[#This Row],[Roster Received By]]),1,0)</f>
        <v>1</v>
      </c>
      <c r="AA371" s="59">
        <f ca="1">IF(Table25[[#This Row],[Start Date]]&gt;TODAY(),1,)</f>
        <v>0</v>
      </c>
    </row>
    <row r="372" spans="1:27" s="46" customFormat="1" hidden="1" x14ac:dyDescent="0.25">
      <c r="B372" s="75"/>
      <c r="C372" s="59" t="e">
        <v>#N/A</v>
      </c>
      <c r="D372" s="59" t="e">
        <v>#N/A</v>
      </c>
      <c r="E372" s="48"/>
      <c r="F372" s="57"/>
      <c r="G372" s="57"/>
      <c r="H372" s="49"/>
      <c r="I372" s="60"/>
      <c r="J372" s="60"/>
      <c r="K372" s="60"/>
      <c r="L372" s="60"/>
      <c r="M372" s="60"/>
      <c r="N372" s="60"/>
      <c r="O372" s="58"/>
      <c r="P372" s="58"/>
      <c r="Q372" s="13" t="e">
        <v>#N/A</v>
      </c>
      <c r="R372" s="13" t="e">
        <v>#N/A</v>
      </c>
      <c r="S372" s="13"/>
      <c r="T372" s="62"/>
      <c r="U372" s="13"/>
      <c r="V372" s="13"/>
      <c r="W372" s="59"/>
      <c r="X372" s="58"/>
      <c r="Y372" s="68">
        <f ca="1">Table25[[#This Row],[End Date]]+2-TODAY()</f>
        <v>-46242</v>
      </c>
      <c r="Z372" s="13">
        <f>IF(ISBLANK(Table25[[#This Row],[Roster Received By]]),1,0)</f>
        <v>1</v>
      </c>
      <c r="AA372" s="59">
        <f ca="1">IF(Table25[[#This Row],[Start Date]]&gt;TODAY(),1,)</f>
        <v>0</v>
      </c>
    </row>
    <row r="373" spans="1:27" s="46" customFormat="1" hidden="1" x14ac:dyDescent="0.25">
      <c r="B373" s="75"/>
      <c r="C373" s="59" t="e">
        <v>#N/A</v>
      </c>
      <c r="D373" s="59" t="e">
        <v>#N/A</v>
      </c>
      <c r="E373" s="75"/>
      <c r="F373" s="69"/>
      <c r="G373" s="69"/>
      <c r="H373" s="64"/>
      <c r="I373" s="64"/>
      <c r="J373" s="61"/>
      <c r="K373" s="61"/>
      <c r="L373" s="61"/>
      <c r="M373" s="61"/>
      <c r="N373" s="61"/>
      <c r="O373" s="58"/>
      <c r="P373" s="58"/>
      <c r="Q373" s="13" t="e">
        <v>#N/A</v>
      </c>
      <c r="R373" s="13" t="e">
        <v>#N/A</v>
      </c>
      <c r="S373" s="13"/>
      <c r="T373" s="62"/>
      <c r="U373" s="13"/>
      <c r="V373" s="13"/>
      <c r="W373" s="59"/>
      <c r="X373" s="58"/>
      <c r="Y373" s="68">
        <f ca="1">Table25[[#This Row],[End Date]]+2-TODAY()</f>
        <v>-46242</v>
      </c>
      <c r="Z373" s="13">
        <f>IF(ISBLANK(Table25[[#This Row],[Roster Received By]]),1,0)</f>
        <v>1</v>
      </c>
      <c r="AA373" s="59">
        <f ca="1">IF(Table25[[#This Row],[Start Date]]&gt;TODAY(),1,)</f>
        <v>0</v>
      </c>
    </row>
    <row r="374" spans="1:27" s="46" customFormat="1" hidden="1" x14ac:dyDescent="0.25">
      <c r="A374" s="58"/>
      <c r="B374" s="75"/>
      <c r="C374" s="59" t="e">
        <v>#N/A</v>
      </c>
      <c r="D374" s="59" t="e">
        <v>#N/A</v>
      </c>
      <c r="E374" s="75"/>
      <c r="F374" s="69"/>
      <c r="G374" s="69"/>
      <c r="H374" s="64"/>
      <c r="I374" s="64"/>
      <c r="J374" s="61"/>
      <c r="K374" s="61"/>
      <c r="L374" s="61"/>
      <c r="M374" s="61"/>
      <c r="N374" s="61"/>
      <c r="O374" s="58"/>
      <c r="P374" s="58"/>
      <c r="Q374" s="13" t="e">
        <v>#N/A</v>
      </c>
      <c r="R374" s="13" t="e">
        <v>#N/A</v>
      </c>
      <c r="S374" s="13"/>
      <c r="T374" s="62"/>
      <c r="U374" s="13"/>
      <c r="V374" s="13"/>
      <c r="W374" s="59"/>
      <c r="X374" s="58"/>
      <c r="Y374" s="68">
        <f ca="1">Table25[[#This Row],[End Date]]+2-TODAY()</f>
        <v>-46242</v>
      </c>
      <c r="Z374" s="13">
        <f>IF(ISBLANK(Table25[[#This Row],[Roster Received By]]),1,0)</f>
        <v>1</v>
      </c>
      <c r="AA374" s="59">
        <f ca="1">IF(Table25[[#This Row],[Start Date]]&gt;TODAY(),1,)</f>
        <v>0</v>
      </c>
    </row>
    <row r="375" spans="1:27" s="46" customFormat="1" hidden="1" x14ac:dyDescent="0.25">
      <c r="B375" s="75"/>
      <c r="C375" s="59" t="e">
        <v>#N/A</v>
      </c>
      <c r="D375" s="59" t="e">
        <v>#N/A</v>
      </c>
      <c r="E375" s="48"/>
      <c r="F375" s="69"/>
      <c r="G375" s="69"/>
      <c r="H375" s="64"/>
      <c r="I375" s="64"/>
      <c r="J375" s="61"/>
      <c r="K375" s="61"/>
      <c r="L375" s="61"/>
      <c r="M375" s="61"/>
      <c r="N375" s="61"/>
      <c r="O375" s="58"/>
      <c r="P375" s="58"/>
      <c r="Q375" s="13" t="e">
        <v>#N/A</v>
      </c>
      <c r="R375" s="13" t="e">
        <v>#N/A</v>
      </c>
      <c r="S375" s="13"/>
      <c r="T375" s="62"/>
      <c r="U375" s="13"/>
      <c r="V375" s="13"/>
      <c r="W375" s="59"/>
      <c r="X375" s="58"/>
      <c r="Y375" s="68">
        <f ca="1">Table25[[#This Row],[End Date]]+2-TODAY()</f>
        <v>-46242</v>
      </c>
      <c r="Z375" s="13">
        <f>IF(ISBLANK(Table25[[#This Row],[Roster Received By]]),1,0)</f>
        <v>1</v>
      </c>
      <c r="AA375" s="59">
        <f ca="1">IF(Table25[[#This Row],[Start Date]]&gt;TODAY(),1,)</f>
        <v>0</v>
      </c>
    </row>
    <row r="376" spans="1:27" s="46" customFormat="1" hidden="1" x14ac:dyDescent="0.25">
      <c r="B376" s="75"/>
      <c r="C376" s="59" t="e">
        <v>#N/A</v>
      </c>
      <c r="D376" s="59" t="e">
        <v>#N/A</v>
      </c>
      <c r="E376" s="75"/>
      <c r="F376" s="69"/>
      <c r="G376" s="69"/>
      <c r="H376" s="64"/>
      <c r="I376" s="64"/>
      <c r="J376" s="61"/>
      <c r="K376" s="61"/>
      <c r="L376" s="61"/>
      <c r="M376" s="61"/>
      <c r="N376" s="61"/>
      <c r="O376" s="58"/>
      <c r="P376" s="58"/>
      <c r="Q376" s="13" t="e">
        <v>#N/A</v>
      </c>
      <c r="R376" s="13" t="e">
        <v>#N/A</v>
      </c>
      <c r="S376" s="13"/>
      <c r="T376" s="62"/>
      <c r="U376" s="13"/>
      <c r="V376" s="13"/>
      <c r="W376" s="59"/>
      <c r="X376" s="58"/>
      <c r="Y376" s="68">
        <f ca="1">Table25[[#This Row],[End Date]]+2-TODAY()</f>
        <v>-46242</v>
      </c>
      <c r="Z376" s="13">
        <f>IF(ISBLANK(Table25[[#This Row],[Roster Received By]]),1,0)</f>
        <v>1</v>
      </c>
      <c r="AA376" s="59">
        <f ca="1">IF(Table25[[#This Row],[Start Date]]&gt;TODAY(),1,)</f>
        <v>0</v>
      </c>
    </row>
    <row r="377" spans="1:27" s="46" customFormat="1" hidden="1" x14ac:dyDescent="0.25">
      <c r="B377" s="75"/>
      <c r="C377" s="59" t="e">
        <v>#N/A</v>
      </c>
      <c r="D377" s="59" t="e">
        <v>#N/A</v>
      </c>
      <c r="E377" s="75"/>
      <c r="F377" s="69"/>
      <c r="G377" s="69"/>
      <c r="H377" s="61"/>
      <c r="I377" s="60"/>
      <c r="J377" s="60"/>
      <c r="K377" s="60"/>
      <c r="L377" s="60"/>
      <c r="M377" s="60"/>
      <c r="N377" s="60"/>
      <c r="O377" s="58"/>
      <c r="P377" s="58"/>
      <c r="Q377" s="13" t="e">
        <v>#N/A</v>
      </c>
      <c r="R377" s="13" t="e">
        <v>#N/A</v>
      </c>
      <c r="S377" s="13"/>
      <c r="T377" s="62"/>
      <c r="U377" s="13"/>
      <c r="V377" s="13"/>
      <c r="W377" s="59"/>
      <c r="X377" s="58"/>
      <c r="Y377" s="68">
        <f ca="1">Table25[[#This Row],[End Date]]+2-TODAY()</f>
        <v>-46242</v>
      </c>
      <c r="Z377" s="13">
        <f>IF(ISBLANK(Table25[[#This Row],[Roster Received By]]),1,0)</f>
        <v>1</v>
      </c>
      <c r="AA377" s="59">
        <f ca="1">IF(Table25[[#This Row],[Start Date]]&gt;TODAY(),1,)</f>
        <v>0</v>
      </c>
    </row>
    <row r="378" spans="1:27" s="46" customFormat="1" hidden="1" x14ac:dyDescent="0.25">
      <c r="B378" s="75"/>
      <c r="C378" s="59" t="e">
        <v>#N/A</v>
      </c>
      <c r="D378" s="59" t="e">
        <v>#N/A</v>
      </c>
      <c r="E378" s="75"/>
      <c r="F378" s="69"/>
      <c r="G378" s="69"/>
      <c r="H378" s="61"/>
      <c r="I378" s="60"/>
      <c r="J378" s="60"/>
      <c r="K378" s="60"/>
      <c r="L378" s="60"/>
      <c r="M378" s="60"/>
      <c r="N378" s="60"/>
      <c r="O378" s="58"/>
      <c r="P378" s="58"/>
      <c r="Q378" s="13" t="e">
        <v>#N/A</v>
      </c>
      <c r="R378" s="13" t="e">
        <v>#N/A</v>
      </c>
      <c r="S378" s="13"/>
      <c r="T378" s="62"/>
      <c r="U378" s="13"/>
      <c r="V378" s="13"/>
      <c r="W378" s="59"/>
      <c r="X378" s="58"/>
      <c r="Y378" s="68">
        <f ca="1">Table25[[#This Row],[End Date]]+2-TODAY()</f>
        <v>-46242</v>
      </c>
      <c r="Z378" s="13">
        <f>IF(ISBLANK(Table25[[#This Row],[Roster Received By]]),1,0)</f>
        <v>1</v>
      </c>
      <c r="AA378" s="59">
        <f ca="1">IF(Table25[[#This Row],[Start Date]]&gt;TODAY(),1,)</f>
        <v>0</v>
      </c>
    </row>
    <row r="379" spans="1:27" s="46" customFormat="1" hidden="1" x14ac:dyDescent="0.25">
      <c r="B379" s="85"/>
      <c r="C379" s="59" t="e">
        <v>#N/A</v>
      </c>
      <c r="D379" s="59" t="e">
        <v>#N/A</v>
      </c>
      <c r="E379" s="75"/>
      <c r="F379" s="69"/>
      <c r="G379" s="69"/>
      <c r="H379" s="61"/>
      <c r="I379" s="60"/>
      <c r="J379" s="60"/>
      <c r="K379" s="60"/>
      <c r="L379" s="60"/>
      <c r="M379" s="60"/>
      <c r="N379" s="60"/>
      <c r="O379" s="58"/>
      <c r="P379" s="58"/>
      <c r="Q379" s="13" t="e">
        <v>#N/A</v>
      </c>
      <c r="R379" s="13" t="e">
        <v>#N/A</v>
      </c>
      <c r="S379" s="13"/>
      <c r="T379" s="62"/>
      <c r="U379" s="13"/>
      <c r="V379" s="13"/>
      <c r="W379" s="59"/>
      <c r="X379" s="58"/>
      <c r="Y379" s="68">
        <f ca="1">Table25[[#This Row],[End Date]]+2-TODAY()</f>
        <v>-46242</v>
      </c>
      <c r="Z379" s="13">
        <f>IF(ISBLANK(Table25[[#This Row],[Roster Received By]]),1,0)</f>
        <v>1</v>
      </c>
      <c r="AA379" s="59">
        <f ca="1">IF(Table25[[#This Row],[Start Date]]&gt;TODAY(),1,)</f>
        <v>0</v>
      </c>
    </row>
    <row r="380" spans="1:27" s="46" customFormat="1" hidden="1" x14ac:dyDescent="0.25">
      <c r="B380" s="75"/>
      <c r="C380" s="59" t="e">
        <v>#N/A</v>
      </c>
      <c r="D380" s="59" t="e">
        <v>#N/A</v>
      </c>
      <c r="E380" s="58"/>
      <c r="F380" s="61"/>
      <c r="G380" s="61"/>
      <c r="H380" s="64"/>
      <c r="I380" s="64"/>
      <c r="J380" s="61"/>
      <c r="K380" s="61"/>
      <c r="L380" s="61"/>
      <c r="M380" s="61"/>
      <c r="N380" s="61"/>
      <c r="O380" s="58"/>
      <c r="P380" s="58"/>
      <c r="Q380" s="13" t="e">
        <v>#N/A</v>
      </c>
      <c r="R380" s="13" t="e">
        <v>#N/A</v>
      </c>
      <c r="S380" s="62"/>
      <c r="T380" s="62"/>
      <c r="U380" s="13"/>
      <c r="V380" s="13"/>
      <c r="W380" s="59"/>
      <c r="X380" s="58"/>
      <c r="Y380" s="68">
        <f ca="1">Table25[[#This Row],[End Date]]+2-TODAY()</f>
        <v>-46242</v>
      </c>
      <c r="Z380" s="13">
        <f>IF(ISBLANK(Table25[[#This Row],[Roster Received By]]),1,0)</f>
        <v>1</v>
      </c>
      <c r="AA380" s="59">
        <f ca="1">IF(Table25[[#This Row],[Start Date]]&gt;TODAY(),1,)</f>
        <v>0</v>
      </c>
    </row>
    <row r="381" spans="1:27" s="46" customFormat="1" hidden="1" x14ac:dyDescent="0.25">
      <c r="B381" s="48"/>
      <c r="C381" s="59" t="e">
        <v>#N/A</v>
      </c>
      <c r="D381" s="59" t="e">
        <v>#N/A</v>
      </c>
      <c r="E381" s="50"/>
      <c r="F381" s="49"/>
      <c r="G381" s="49"/>
      <c r="H381" s="60"/>
      <c r="I381" s="60"/>
      <c r="J381" s="61"/>
      <c r="K381" s="61"/>
      <c r="L381" s="61"/>
      <c r="M381" s="61"/>
      <c r="N381" s="61"/>
      <c r="O381" s="58"/>
      <c r="P381" s="58"/>
      <c r="Q381" s="13" t="e">
        <v>#N/A</v>
      </c>
      <c r="R381" s="13" t="e">
        <v>#N/A</v>
      </c>
      <c r="S381" s="13"/>
      <c r="T381" s="62"/>
      <c r="U381" s="13"/>
      <c r="V381" s="13"/>
      <c r="W381" s="59"/>
      <c r="X381" s="58"/>
      <c r="Y381" s="68">
        <f ca="1">Table25[[#This Row],[End Date]]+2-TODAY()</f>
        <v>-46242</v>
      </c>
      <c r="Z381" s="13">
        <f>IF(ISBLANK(Table25[[#This Row],[Roster Received By]]),1,0)</f>
        <v>1</v>
      </c>
      <c r="AA381" s="59">
        <f ca="1">IF(Table25[[#This Row],[Start Date]]&gt;TODAY(),1,)</f>
        <v>0</v>
      </c>
    </row>
    <row r="382" spans="1:27" s="46" customFormat="1" hidden="1" x14ac:dyDescent="0.25">
      <c r="A382" s="58"/>
      <c r="B382" s="75"/>
      <c r="C382" s="59" t="e">
        <v>#N/A</v>
      </c>
      <c r="D382" s="59" t="e">
        <v>#N/A</v>
      </c>
      <c r="E382" s="81"/>
      <c r="F382" s="61"/>
      <c r="G382" s="61"/>
      <c r="H382" s="61"/>
      <c r="I382" s="60"/>
      <c r="J382" s="60"/>
      <c r="K382" s="60"/>
      <c r="L382" s="60"/>
      <c r="M382" s="60"/>
      <c r="N382" s="60"/>
      <c r="O382" s="58"/>
      <c r="P382" s="58"/>
      <c r="Q382" s="13" t="e">
        <v>#N/A</v>
      </c>
      <c r="R382" s="13" t="e">
        <v>#N/A</v>
      </c>
      <c r="S382" s="13"/>
      <c r="T382" s="62"/>
      <c r="U382" s="13"/>
      <c r="V382" s="13"/>
      <c r="W382" s="59"/>
      <c r="X382" s="58"/>
      <c r="Y382" s="68">
        <f ca="1">Table25[[#This Row],[End Date]]+2-TODAY()</f>
        <v>-46242</v>
      </c>
      <c r="Z382" s="13">
        <f>IF(ISBLANK(Table25[[#This Row],[Roster Received By]]),1,0)</f>
        <v>1</v>
      </c>
      <c r="AA382" s="59">
        <f ca="1">IF(Table25[[#This Row],[Start Date]]&gt;TODAY(),1,)</f>
        <v>0</v>
      </c>
    </row>
    <row r="383" spans="1:27" s="46" customFormat="1" hidden="1" x14ac:dyDescent="0.25">
      <c r="B383" s="75"/>
      <c r="C383" s="59" t="e">
        <v>#N/A</v>
      </c>
      <c r="D383" s="59" t="e">
        <v>#N/A</v>
      </c>
      <c r="E383" s="50"/>
      <c r="F383" s="49"/>
      <c r="G383" s="49"/>
      <c r="H383" s="49"/>
      <c r="I383" s="60"/>
      <c r="J383" s="60"/>
      <c r="K383" s="60"/>
      <c r="L383" s="60"/>
      <c r="M383" s="60"/>
      <c r="N383" s="60"/>
      <c r="O383" s="58"/>
      <c r="P383" s="58"/>
      <c r="Q383" s="13" t="e">
        <v>#N/A</v>
      </c>
      <c r="R383" s="13" t="e">
        <v>#N/A</v>
      </c>
      <c r="S383" s="13"/>
      <c r="T383" s="62"/>
      <c r="U383" s="13"/>
      <c r="V383" s="13"/>
      <c r="W383" s="59"/>
      <c r="X383" s="58"/>
      <c r="Y383" s="68">
        <f ca="1">Table25[[#This Row],[End Date]]+2-TODAY()</f>
        <v>-46242</v>
      </c>
      <c r="Z383" s="13">
        <f>IF(ISBLANK(Table25[[#This Row],[Roster Received By]]),1,0)</f>
        <v>1</v>
      </c>
      <c r="AA383" s="59">
        <f ca="1">IF(Table25[[#This Row],[Start Date]]&gt;TODAY(),1,)</f>
        <v>0</v>
      </c>
    </row>
    <row r="384" spans="1:27" s="46" customFormat="1" hidden="1" x14ac:dyDescent="0.25">
      <c r="B384" s="75"/>
      <c r="C384" s="59" t="e">
        <v>#N/A</v>
      </c>
      <c r="D384" s="59" t="e">
        <v>#N/A</v>
      </c>
      <c r="E384" s="50"/>
      <c r="F384" s="49"/>
      <c r="G384" s="49"/>
      <c r="H384" s="49"/>
      <c r="I384" s="60"/>
      <c r="J384" s="60"/>
      <c r="K384" s="60"/>
      <c r="L384" s="60"/>
      <c r="M384" s="60"/>
      <c r="N384" s="60"/>
      <c r="O384" s="58"/>
      <c r="P384" s="58"/>
      <c r="Q384" s="13" t="e">
        <v>#N/A</v>
      </c>
      <c r="R384" s="13" t="e">
        <v>#N/A</v>
      </c>
      <c r="S384" s="13"/>
      <c r="T384" s="62"/>
      <c r="U384" s="13"/>
      <c r="V384" s="13"/>
      <c r="W384" s="59"/>
      <c r="X384" s="58"/>
      <c r="Y384" s="68">
        <f ca="1">Table25[[#This Row],[End Date]]+2-TODAY()</f>
        <v>-46242</v>
      </c>
      <c r="Z384" s="13">
        <f>IF(ISBLANK(Table25[[#This Row],[Roster Received By]]),1,0)</f>
        <v>1</v>
      </c>
      <c r="AA384" s="59">
        <f ca="1">IF(Table25[[#This Row],[Start Date]]&gt;TODAY(),1,)</f>
        <v>0</v>
      </c>
    </row>
    <row r="385" spans="1:27" s="46" customFormat="1" hidden="1" x14ac:dyDescent="0.25">
      <c r="B385" s="75"/>
      <c r="C385" s="59" t="e">
        <v>#N/A</v>
      </c>
      <c r="D385" s="59" t="e">
        <v>#N/A</v>
      </c>
      <c r="E385" s="50"/>
      <c r="F385" s="49"/>
      <c r="G385" s="49"/>
      <c r="H385" s="60"/>
      <c r="I385" s="60"/>
      <c r="J385" s="61"/>
      <c r="K385" s="61"/>
      <c r="L385" s="61"/>
      <c r="M385" s="61"/>
      <c r="N385" s="61"/>
      <c r="O385" s="58"/>
      <c r="P385" s="58"/>
      <c r="Q385" s="13" t="e">
        <v>#N/A</v>
      </c>
      <c r="R385" s="13" t="e">
        <v>#N/A</v>
      </c>
      <c r="S385" s="13"/>
      <c r="T385" s="62"/>
      <c r="U385" s="13"/>
      <c r="V385" s="13"/>
      <c r="W385" s="59"/>
      <c r="X385" s="58"/>
      <c r="Y385" s="68">
        <f ca="1">Table25[[#This Row],[End Date]]+2-TODAY()</f>
        <v>-46242</v>
      </c>
      <c r="Z385" s="13">
        <f>IF(ISBLANK(Table25[[#This Row],[Roster Received By]]),1,0)</f>
        <v>1</v>
      </c>
      <c r="AA385" s="59">
        <f ca="1">IF(Table25[[#This Row],[Start Date]]&gt;TODAY(),1,)</f>
        <v>0</v>
      </c>
    </row>
    <row r="386" spans="1:27" s="46" customFormat="1" hidden="1" x14ac:dyDescent="0.25">
      <c r="B386" s="75"/>
      <c r="C386" s="59" t="e">
        <v>#N/A</v>
      </c>
      <c r="D386" s="59" t="e">
        <v>#N/A</v>
      </c>
      <c r="E386" s="58"/>
      <c r="F386" s="49"/>
      <c r="G386" s="61"/>
      <c r="H386" s="61"/>
      <c r="I386" s="60"/>
      <c r="J386" s="60"/>
      <c r="K386" s="60"/>
      <c r="L386" s="60"/>
      <c r="M386" s="60"/>
      <c r="N386" s="60"/>
      <c r="O386" s="58"/>
      <c r="P386" s="58"/>
      <c r="Q386" s="13" t="e">
        <v>#N/A</v>
      </c>
      <c r="R386" s="13" t="e">
        <v>#N/A</v>
      </c>
      <c r="S386" s="13"/>
      <c r="T386" s="62"/>
      <c r="U386" s="13"/>
      <c r="V386" s="13"/>
      <c r="W386" s="59"/>
      <c r="X386" s="58"/>
      <c r="Y386" s="68">
        <f ca="1">Table25[[#This Row],[End Date]]+2-TODAY()</f>
        <v>-46242</v>
      </c>
      <c r="Z386" s="13">
        <f>IF(ISBLANK(Table25[[#This Row],[Roster Received By]]),1,0)</f>
        <v>1</v>
      </c>
      <c r="AA386" s="59">
        <f ca="1">IF(Table25[[#This Row],[Start Date]]&gt;TODAY(),1,)</f>
        <v>0</v>
      </c>
    </row>
    <row r="387" spans="1:27" s="46" customFormat="1" hidden="1" x14ac:dyDescent="0.25">
      <c r="B387" s="75"/>
      <c r="C387" s="59" t="e">
        <v>#N/A</v>
      </c>
      <c r="D387" s="59" t="e">
        <v>#N/A</v>
      </c>
      <c r="E387" s="75"/>
      <c r="F387" s="61"/>
      <c r="G387" s="61"/>
      <c r="H387" s="61"/>
      <c r="I387" s="60"/>
      <c r="J387" s="60"/>
      <c r="K387" s="60"/>
      <c r="L387" s="60"/>
      <c r="M387" s="60"/>
      <c r="N387" s="60"/>
      <c r="O387" s="58"/>
      <c r="P387" s="58"/>
      <c r="Q387" s="13" t="e">
        <v>#N/A</v>
      </c>
      <c r="R387" s="13" t="e">
        <v>#N/A</v>
      </c>
      <c r="S387" s="13"/>
      <c r="T387" s="62"/>
      <c r="U387" s="13"/>
      <c r="V387" s="13"/>
      <c r="W387" s="59"/>
      <c r="X387" s="58"/>
      <c r="Y387" s="68">
        <f ca="1">Table25[[#This Row],[End Date]]+2-TODAY()</f>
        <v>-46242</v>
      </c>
      <c r="Z387" s="13">
        <f>IF(ISBLANK(Table25[[#This Row],[Roster Received By]]),1,0)</f>
        <v>1</v>
      </c>
      <c r="AA387" s="59">
        <f ca="1">IF(Table25[[#This Row],[Start Date]]&gt;TODAY(),1,)</f>
        <v>0</v>
      </c>
    </row>
    <row r="388" spans="1:27" s="46" customFormat="1" hidden="1" x14ac:dyDescent="0.25">
      <c r="B388" s="48"/>
      <c r="C388" s="59" t="e">
        <v>#N/A</v>
      </c>
      <c r="D388" s="59" t="e">
        <v>#N/A</v>
      </c>
      <c r="E388" s="50"/>
      <c r="F388" s="49"/>
      <c r="G388" s="49"/>
      <c r="H388" s="60"/>
      <c r="I388" s="60"/>
      <c r="J388" s="61"/>
      <c r="K388" s="61"/>
      <c r="L388" s="61"/>
      <c r="M388" s="61"/>
      <c r="N388" s="61"/>
      <c r="O388" s="58"/>
      <c r="P388" s="58"/>
      <c r="Q388" s="13" t="e">
        <v>#N/A</v>
      </c>
      <c r="R388" s="13" t="e">
        <v>#N/A</v>
      </c>
      <c r="S388" s="13"/>
      <c r="T388" s="62"/>
      <c r="U388" s="13"/>
      <c r="V388" s="13"/>
      <c r="W388" s="59"/>
      <c r="X388" s="58"/>
      <c r="Y388" s="68">
        <f ca="1">Table25[[#This Row],[End Date]]+2-TODAY()</f>
        <v>-46242</v>
      </c>
      <c r="Z388" s="13">
        <f>IF(ISBLANK(Table25[[#This Row],[Roster Received By]]),1,0)</f>
        <v>1</v>
      </c>
      <c r="AA388" s="59">
        <f ca="1">IF(Table25[[#This Row],[Start Date]]&gt;TODAY(),1,)</f>
        <v>0</v>
      </c>
    </row>
    <row r="389" spans="1:27" s="46" customFormat="1" hidden="1" x14ac:dyDescent="0.25">
      <c r="B389" s="75"/>
      <c r="C389" s="59" t="e">
        <v>#N/A</v>
      </c>
      <c r="D389" s="59" t="e">
        <v>#N/A</v>
      </c>
      <c r="E389" s="50"/>
      <c r="F389" s="61"/>
      <c r="G389" s="61"/>
      <c r="H389" s="64"/>
      <c r="I389" s="64"/>
      <c r="J389" s="61"/>
      <c r="K389" s="61"/>
      <c r="L389" s="61"/>
      <c r="M389" s="61"/>
      <c r="N389" s="61"/>
      <c r="O389" s="58"/>
      <c r="P389" s="58"/>
      <c r="Q389" s="13" t="e">
        <v>#N/A</v>
      </c>
      <c r="R389" s="13" t="e">
        <v>#N/A</v>
      </c>
      <c r="S389" s="13"/>
      <c r="T389" s="62"/>
      <c r="U389" s="13"/>
      <c r="V389" s="13"/>
      <c r="W389" s="59"/>
      <c r="X389" s="58"/>
      <c r="Y389" s="68">
        <f ca="1">Table25[[#This Row],[End Date]]+2-TODAY()</f>
        <v>-46242</v>
      </c>
      <c r="Z389" s="13">
        <f>IF(ISBLANK(Table25[[#This Row],[Roster Received By]]),1,0)</f>
        <v>1</v>
      </c>
      <c r="AA389" s="59">
        <f ca="1">IF(Table25[[#This Row],[Start Date]]&gt;TODAY(),1,)</f>
        <v>0</v>
      </c>
    </row>
    <row r="390" spans="1:27" s="46" customFormat="1" hidden="1" x14ac:dyDescent="0.25">
      <c r="A390" s="58"/>
      <c r="B390" s="58"/>
      <c r="C390" s="59" t="e">
        <v>#N/A</v>
      </c>
      <c r="D390" s="59" t="e">
        <v>#N/A</v>
      </c>
      <c r="E390" s="81"/>
      <c r="F390" s="61"/>
      <c r="G390" s="61"/>
      <c r="H390" s="61"/>
      <c r="I390" s="60"/>
      <c r="J390" s="60"/>
      <c r="K390" s="60"/>
      <c r="L390" s="60"/>
      <c r="M390" s="60"/>
      <c r="N390" s="60"/>
      <c r="O390" s="58"/>
      <c r="P390" s="58"/>
      <c r="Q390" s="13" t="e">
        <v>#N/A</v>
      </c>
      <c r="R390" s="13" t="e">
        <v>#N/A</v>
      </c>
      <c r="S390" s="13"/>
      <c r="T390" s="62"/>
      <c r="U390" s="13"/>
      <c r="V390" s="13"/>
      <c r="W390" s="59"/>
      <c r="X390" s="58"/>
      <c r="Y390" s="68">
        <f ca="1">Table25[[#This Row],[End Date]]+2-TODAY()</f>
        <v>-46242</v>
      </c>
      <c r="Z390" s="13">
        <f>IF(ISBLANK(Table25[[#This Row],[Roster Received By]]),1,0)</f>
        <v>1</v>
      </c>
      <c r="AA390" s="59">
        <f ca="1">IF(Table25[[#This Row],[Start Date]]&gt;TODAY(),1,)</f>
        <v>0</v>
      </c>
    </row>
    <row r="391" spans="1:27" s="46" customFormat="1" hidden="1" x14ac:dyDescent="0.25">
      <c r="B391" s="58"/>
      <c r="C391" s="59" t="e">
        <v>#N/A</v>
      </c>
      <c r="D391" s="59" t="e">
        <v>#N/A</v>
      </c>
      <c r="E391" s="81"/>
      <c r="F391" s="61"/>
      <c r="G391" s="61"/>
      <c r="H391" s="61"/>
      <c r="I391" s="60"/>
      <c r="J391" s="60"/>
      <c r="K391" s="60"/>
      <c r="L391" s="60"/>
      <c r="M391" s="60"/>
      <c r="N391" s="60"/>
      <c r="O391" s="58"/>
      <c r="P391" s="58"/>
      <c r="Q391" s="13" t="e">
        <v>#N/A</v>
      </c>
      <c r="R391" s="13" t="e">
        <v>#N/A</v>
      </c>
      <c r="S391" s="13"/>
      <c r="T391" s="62"/>
      <c r="U391" s="13"/>
      <c r="V391" s="13"/>
      <c r="W391" s="59"/>
      <c r="X391" s="58"/>
      <c r="Y391" s="68">
        <f ca="1">Table25[[#This Row],[End Date]]+2-TODAY()</f>
        <v>-46242</v>
      </c>
      <c r="Z391" s="13">
        <f>IF(ISBLANK(Table25[[#This Row],[Roster Received By]]),1,0)</f>
        <v>1</v>
      </c>
      <c r="AA391" s="59">
        <f ca="1">IF(Table25[[#This Row],[Start Date]]&gt;TODAY(),1,)</f>
        <v>0</v>
      </c>
    </row>
    <row r="392" spans="1:27" s="46" customFormat="1" hidden="1" x14ac:dyDescent="0.25">
      <c r="B392" s="75"/>
      <c r="C392" s="59" t="e">
        <v>#N/A</v>
      </c>
      <c r="D392" s="59" t="e">
        <v>#N/A</v>
      </c>
      <c r="E392" s="81"/>
      <c r="F392" s="61"/>
      <c r="G392" s="61"/>
      <c r="H392" s="61"/>
      <c r="I392" s="60"/>
      <c r="J392" s="60"/>
      <c r="K392" s="60"/>
      <c r="L392" s="60"/>
      <c r="M392" s="60"/>
      <c r="N392" s="60"/>
      <c r="O392" s="58"/>
      <c r="P392" s="58"/>
      <c r="Q392" s="13" t="e">
        <v>#N/A</v>
      </c>
      <c r="R392" s="13" t="e">
        <v>#N/A</v>
      </c>
      <c r="S392" s="13"/>
      <c r="T392" s="62"/>
      <c r="U392" s="13"/>
      <c r="V392" s="13"/>
      <c r="W392" s="59"/>
      <c r="X392" s="58"/>
      <c r="Y392" s="68">
        <f ca="1">Table25[[#This Row],[End Date]]+2-TODAY()</f>
        <v>-46242</v>
      </c>
      <c r="Z392" s="13">
        <f>IF(ISBLANK(Table25[[#This Row],[Roster Received By]]),1,0)</f>
        <v>1</v>
      </c>
      <c r="AA392" s="59">
        <f ca="1">IF(Table25[[#This Row],[Start Date]]&gt;TODAY(),1,)</f>
        <v>0</v>
      </c>
    </row>
    <row r="393" spans="1:27" s="46" customFormat="1" hidden="1" x14ac:dyDescent="0.25">
      <c r="B393" s="75"/>
      <c r="C393" s="59" t="e">
        <v>#N/A</v>
      </c>
      <c r="D393" s="59" t="e">
        <v>#N/A</v>
      </c>
      <c r="E393" s="50"/>
      <c r="F393" s="61"/>
      <c r="G393" s="61"/>
      <c r="H393" s="67"/>
      <c r="I393" s="67"/>
      <c r="J393" s="61"/>
      <c r="K393" s="61"/>
      <c r="L393" s="61"/>
      <c r="M393" s="61"/>
      <c r="N393" s="61"/>
      <c r="O393" s="58"/>
      <c r="P393" s="58"/>
      <c r="Q393" s="13" t="e">
        <v>#N/A</v>
      </c>
      <c r="R393" s="13" t="e">
        <v>#N/A</v>
      </c>
      <c r="S393" s="13"/>
      <c r="T393" s="62"/>
      <c r="U393" s="13"/>
      <c r="V393" s="13"/>
      <c r="W393" s="59"/>
      <c r="X393" s="58"/>
      <c r="Y393" s="68">
        <f ca="1">Table25[[#This Row],[End Date]]+2-TODAY()</f>
        <v>-46242</v>
      </c>
      <c r="Z393" s="13">
        <f>IF(ISBLANK(Table25[[#This Row],[Roster Received By]]),1,0)</f>
        <v>1</v>
      </c>
      <c r="AA393" s="59">
        <f ca="1">IF(Table25[[#This Row],[Start Date]]&gt;TODAY(),1,)</f>
        <v>0</v>
      </c>
    </row>
    <row r="394" spans="1:27" s="46" customFormat="1" hidden="1" x14ac:dyDescent="0.25">
      <c r="B394" s="58"/>
      <c r="C394" s="59" t="e">
        <v>#N/A</v>
      </c>
      <c r="D394" s="59" t="e">
        <v>#N/A</v>
      </c>
      <c r="E394" s="58"/>
      <c r="F394" s="61"/>
      <c r="G394" s="61"/>
      <c r="H394" s="61"/>
      <c r="I394" s="60"/>
      <c r="J394" s="60"/>
      <c r="K394" s="60"/>
      <c r="L394" s="60"/>
      <c r="M394" s="60"/>
      <c r="N394" s="60"/>
      <c r="O394" s="58"/>
      <c r="P394" s="58"/>
      <c r="Q394" s="13" t="e">
        <v>#N/A</v>
      </c>
      <c r="R394" s="13" t="e">
        <v>#N/A</v>
      </c>
      <c r="S394" s="13"/>
      <c r="T394" s="62"/>
      <c r="U394" s="13"/>
      <c r="V394" s="13"/>
      <c r="W394" s="59"/>
      <c r="X394" s="58"/>
      <c r="Y394" s="68">
        <f ca="1">Table25[[#This Row],[End Date]]+2-TODAY()</f>
        <v>-46242</v>
      </c>
      <c r="Z394" s="13">
        <f>IF(ISBLANK(Table25[[#This Row],[Roster Received By]]),1,0)</f>
        <v>1</v>
      </c>
      <c r="AA394" s="59">
        <f ca="1">IF(Table25[[#This Row],[Start Date]]&gt;TODAY(),1,)</f>
        <v>0</v>
      </c>
    </row>
    <row r="395" spans="1:27" s="46" customFormat="1" hidden="1" x14ac:dyDescent="0.25">
      <c r="A395" s="58"/>
      <c r="B395" s="58"/>
      <c r="C395" s="59" t="e">
        <v>#N/A</v>
      </c>
      <c r="D395" s="59" t="e">
        <v>#N/A</v>
      </c>
      <c r="E395" s="81"/>
      <c r="F395" s="61"/>
      <c r="G395" s="61"/>
      <c r="H395" s="61"/>
      <c r="I395" s="60"/>
      <c r="J395" s="60"/>
      <c r="K395" s="60"/>
      <c r="L395" s="60"/>
      <c r="M395" s="60"/>
      <c r="N395" s="60"/>
      <c r="O395" s="58"/>
      <c r="P395" s="58"/>
      <c r="Q395" s="13" t="e">
        <v>#N/A</v>
      </c>
      <c r="R395" s="13" t="e">
        <v>#N/A</v>
      </c>
      <c r="S395" s="13"/>
      <c r="T395" s="62"/>
      <c r="U395" s="13"/>
      <c r="V395" s="13"/>
      <c r="W395" s="59"/>
      <c r="X395" s="58"/>
      <c r="Y395" s="68">
        <f ca="1">Table25[[#This Row],[End Date]]+2-TODAY()</f>
        <v>-46242</v>
      </c>
      <c r="Z395" s="13">
        <f>IF(ISBLANK(Table25[[#This Row],[Roster Received By]]),1,0)</f>
        <v>1</v>
      </c>
      <c r="AA395" s="59">
        <f ca="1">IF(Table25[[#This Row],[Start Date]]&gt;TODAY(),1,)</f>
        <v>0</v>
      </c>
    </row>
    <row r="396" spans="1:27" s="46" customFormat="1" hidden="1" x14ac:dyDescent="0.25">
      <c r="B396" s="58"/>
      <c r="C396" s="59" t="e">
        <v>#N/A</v>
      </c>
      <c r="D396" s="59" t="e">
        <v>#N/A</v>
      </c>
      <c r="E396" s="81"/>
      <c r="F396" s="61"/>
      <c r="G396" s="61"/>
      <c r="H396" s="64"/>
      <c r="I396" s="64"/>
      <c r="J396" s="61"/>
      <c r="K396" s="61"/>
      <c r="L396" s="84"/>
      <c r="M396" s="61"/>
      <c r="N396" s="61"/>
      <c r="O396" s="58"/>
      <c r="P396" s="58"/>
      <c r="Q396" s="13" t="e">
        <v>#N/A</v>
      </c>
      <c r="R396" s="13" t="e">
        <v>#N/A</v>
      </c>
      <c r="S396" s="62"/>
      <c r="T396" s="62"/>
      <c r="U396" s="13"/>
      <c r="V396" s="13"/>
      <c r="W396" s="59"/>
      <c r="X396" s="58"/>
      <c r="Y396" s="68">
        <f ca="1">Table25[[#This Row],[End Date]]+2-TODAY()</f>
        <v>-46242</v>
      </c>
      <c r="Z396" s="13">
        <f>IF(ISBLANK(Table25[[#This Row],[Roster Received By]]),1,0)</f>
        <v>1</v>
      </c>
      <c r="AA396" s="59">
        <f ca="1">IF(Table25[[#This Row],[Start Date]]&gt;TODAY(),1,)</f>
        <v>0</v>
      </c>
    </row>
    <row r="397" spans="1:27" s="46" customFormat="1" hidden="1" x14ac:dyDescent="0.25">
      <c r="B397" s="58"/>
      <c r="C397" s="59" t="e">
        <v>#N/A</v>
      </c>
      <c r="D397" s="59" t="e">
        <v>#N/A</v>
      </c>
      <c r="E397" s="81"/>
      <c r="F397" s="61"/>
      <c r="G397" s="61"/>
      <c r="H397" s="64"/>
      <c r="I397" s="64"/>
      <c r="J397" s="61"/>
      <c r="K397" s="61"/>
      <c r="L397" s="61"/>
      <c r="M397" s="61"/>
      <c r="N397" s="61"/>
      <c r="O397" s="58"/>
      <c r="P397" s="58"/>
      <c r="Q397" s="13" t="e">
        <v>#N/A</v>
      </c>
      <c r="R397" s="13" t="e">
        <v>#N/A</v>
      </c>
      <c r="S397" s="13"/>
      <c r="T397" s="62"/>
      <c r="U397" s="13"/>
      <c r="V397" s="13"/>
      <c r="W397" s="13"/>
      <c r="X397" s="58"/>
      <c r="Y397" s="51">
        <f ca="1">Table25[[#This Row],[End Date]]+2-TODAY()</f>
        <v>-46242</v>
      </c>
      <c r="Z397" s="13">
        <f>IF(ISBLANK(Table25[[#This Row],[Roster Received By]]),1,0)</f>
        <v>1</v>
      </c>
      <c r="AA397" s="13">
        <f ca="1">IF(Table25[[#This Row],[Start Date]]&gt;TODAY(),1,)</f>
        <v>0</v>
      </c>
    </row>
    <row r="398" spans="1:27" s="46" customFormat="1" hidden="1" x14ac:dyDescent="0.25">
      <c r="B398" s="58"/>
      <c r="C398" s="59" t="e">
        <v>#N/A</v>
      </c>
      <c r="D398" s="59" t="e">
        <v>#N/A</v>
      </c>
      <c r="E398" s="48"/>
      <c r="F398" s="49"/>
      <c r="G398" s="49"/>
      <c r="H398" s="60"/>
      <c r="I398" s="60"/>
      <c r="J398" s="61"/>
      <c r="K398" s="61"/>
      <c r="L398" s="61"/>
      <c r="M398" s="61"/>
      <c r="N398" s="61"/>
      <c r="O398" s="58"/>
      <c r="P398" s="58"/>
      <c r="Q398" s="13" t="e">
        <v>#N/A</v>
      </c>
      <c r="R398" s="13" t="e">
        <v>#N/A</v>
      </c>
      <c r="S398" s="13"/>
      <c r="T398" s="62"/>
      <c r="U398" s="13"/>
      <c r="V398" s="13"/>
      <c r="W398" s="13"/>
      <c r="X398" s="58"/>
      <c r="Y398" s="51">
        <f ca="1">Table25[[#This Row],[End Date]]+2-TODAY()</f>
        <v>-46242</v>
      </c>
      <c r="Z398" s="13">
        <f>IF(ISBLANK(Table25[[#This Row],[Roster Received By]]),1,0)</f>
        <v>1</v>
      </c>
      <c r="AA398" s="13">
        <f ca="1">IF(Table25[[#This Row],[Start Date]]&gt;TODAY(),1,)</f>
        <v>0</v>
      </c>
    </row>
    <row r="399" spans="1:27" s="46" customFormat="1" hidden="1" x14ac:dyDescent="0.25">
      <c r="B399" s="58"/>
      <c r="C399" s="59" t="e">
        <v>#N/A</v>
      </c>
      <c r="D399" s="59" t="e">
        <v>#N/A</v>
      </c>
      <c r="E399" s="50"/>
      <c r="F399" s="61"/>
      <c r="G399" s="61"/>
      <c r="H399" s="64"/>
      <c r="I399" s="64"/>
      <c r="J399" s="61"/>
      <c r="K399" s="61"/>
      <c r="L399" s="61"/>
      <c r="M399" s="61"/>
      <c r="N399" s="61"/>
      <c r="O399" s="58"/>
      <c r="P399" s="58"/>
      <c r="Q399" s="13" t="e">
        <v>#N/A</v>
      </c>
      <c r="R399" s="13" t="e">
        <v>#N/A</v>
      </c>
      <c r="S399" s="13"/>
      <c r="T399" s="62"/>
      <c r="U399" s="13"/>
      <c r="V399" s="13"/>
      <c r="W399" s="59"/>
      <c r="X399" s="58"/>
      <c r="Y399" s="68">
        <f ca="1">Table25[[#This Row],[End Date]]+2-TODAY()</f>
        <v>-46242</v>
      </c>
      <c r="Z399" s="13">
        <f>IF(ISBLANK(Table25[[#This Row],[Roster Received By]]),1,0)</f>
        <v>1</v>
      </c>
      <c r="AA399" s="59">
        <f ca="1">IF(Table25[[#This Row],[Start Date]]&gt;TODAY(),1,)</f>
        <v>0</v>
      </c>
    </row>
    <row r="400" spans="1:27" s="46" customFormat="1" hidden="1" x14ac:dyDescent="0.25">
      <c r="B400" s="75"/>
      <c r="C400" s="59" t="e">
        <v>#N/A</v>
      </c>
      <c r="D400" s="59" t="e">
        <v>#N/A</v>
      </c>
      <c r="E400" s="50"/>
      <c r="F400" s="61"/>
      <c r="G400" s="61"/>
      <c r="H400" s="64"/>
      <c r="I400" s="64"/>
      <c r="J400" s="61"/>
      <c r="K400" s="61"/>
      <c r="L400" s="61"/>
      <c r="M400" s="61"/>
      <c r="N400" s="61"/>
      <c r="O400" s="58"/>
      <c r="P400" s="58"/>
      <c r="Q400" s="13" t="e">
        <v>#N/A</v>
      </c>
      <c r="R400" s="13" t="e">
        <v>#N/A</v>
      </c>
      <c r="S400" s="13"/>
      <c r="T400" s="62"/>
      <c r="U400" s="13"/>
      <c r="V400" s="13"/>
      <c r="W400" s="59"/>
      <c r="X400" s="58"/>
      <c r="Y400" s="68">
        <f ca="1">Table25[[#This Row],[End Date]]+2-TODAY()</f>
        <v>-46242</v>
      </c>
      <c r="Z400" s="13">
        <f>IF(ISBLANK(Table25[[#This Row],[Roster Received By]]),1,0)</f>
        <v>1</v>
      </c>
      <c r="AA400" s="59">
        <f ca="1">IF(Table25[[#This Row],[Start Date]]&gt;TODAY(),1,)</f>
        <v>0</v>
      </c>
    </row>
    <row r="401" spans="1:27" s="46" customFormat="1" hidden="1" x14ac:dyDescent="0.25">
      <c r="B401" s="58"/>
      <c r="C401" s="59" t="e">
        <v>#N/A</v>
      </c>
      <c r="D401" s="59" t="e">
        <v>#N/A</v>
      </c>
      <c r="E401" s="81"/>
      <c r="F401" s="61"/>
      <c r="G401" s="61"/>
      <c r="H401" s="64"/>
      <c r="I401" s="64"/>
      <c r="J401" s="61"/>
      <c r="K401" s="61"/>
      <c r="L401" s="61"/>
      <c r="M401" s="61"/>
      <c r="N401" s="61"/>
      <c r="O401" s="58"/>
      <c r="P401" s="58"/>
      <c r="Q401" s="13" t="e">
        <v>#N/A</v>
      </c>
      <c r="R401" s="13" t="e">
        <v>#N/A</v>
      </c>
      <c r="S401" s="62"/>
      <c r="T401" s="62"/>
      <c r="U401" s="13"/>
      <c r="V401" s="13"/>
      <c r="W401" s="59"/>
      <c r="X401" s="58"/>
      <c r="Y401" s="68">
        <f ca="1">Table25[[#This Row],[End Date]]+2-TODAY()</f>
        <v>-46242</v>
      </c>
      <c r="Z401" s="13">
        <f>IF(ISBLANK(Table25[[#This Row],[Roster Received By]]),1,0)</f>
        <v>1</v>
      </c>
      <c r="AA401" s="59">
        <f ca="1">IF(Table25[[#This Row],[Start Date]]&gt;TODAY(),1,)</f>
        <v>0</v>
      </c>
    </row>
    <row r="402" spans="1:27" s="46" customFormat="1" hidden="1" x14ac:dyDescent="0.25">
      <c r="B402" s="58"/>
      <c r="C402" s="59" t="e">
        <v>#N/A</v>
      </c>
      <c r="D402" s="59" t="e">
        <v>#N/A</v>
      </c>
      <c r="E402" s="81"/>
      <c r="F402" s="61"/>
      <c r="G402" s="61"/>
      <c r="H402" s="64"/>
      <c r="I402" s="64"/>
      <c r="J402" s="64"/>
      <c r="K402" s="64"/>
      <c r="L402" s="64"/>
      <c r="M402" s="64"/>
      <c r="N402" s="64"/>
      <c r="O402" s="58"/>
      <c r="P402" s="58"/>
      <c r="Q402" s="13" t="e">
        <v>#N/A</v>
      </c>
      <c r="R402" s="13" t="e">
        <v>#N/A</v>
      </c>
      <c r="S402" s="13"/>
      <c r="T402" s="62"/>
      <c r="U402" s="13"/>
      <c r="V402" s="13"/>
      <c r="W402" s="13"/>
      <c r="X402" s="58"/>
      <c r="Y402" s="68">
        <f ca="1">Table25[[#This Row],[End Date]]+2-TODAY()</f>
        <v>-46242</v>
      </c>
      <c r="Z402" s="13">
        <f>IF(ISBLANK(Table25[[#This Row],[Roster Received By]]),1,0)</f>
        <v>1</v>
      </c>
      <c r="AA402" s="59">
        <f ca="1">IF(Table25[[#This Row],[Start Date]]&gt;TODAY(),1,)</f>
        <v>0</v>
      </c>
    </row>
    <row r="403" spans="1:27" s="46" customFormat="1" hidden="1" x14ac:dyDescent="0.25">
      <c r="B403" s="58"/>
      <c r="C403" s="59" t="e">
        <v>#N/A</v>
      </c>
      <c r="D403" s="59" t="e">
        <v>#N/A</v>
      </c>
      <c r="E403" s="58"/>
      <c r="F403" s="61"/>
      <c r="G403" s="61"/>
      <c r="H403" s="61"/>
      <c r="I403" s="60"/>
      <c r="J403" s="60"/>
      <c r="K403" s="60"/>
      <c r="L403" s="60"/>
      <c r="M403" s="60"/>
      <c r="N403" s="60"/>
      <c r="O403" s="58"/>
      <c r="P403" s="58"/>
      <c r="Q403" s="13" t="e">
        <v>#N/A</v>
      </c>
      <c r="R403" s="13" t="e">
        <v>#N/A</v>
      </c>
      <c r="S403" s="13"/>
      <c r="T403" s="62"/>
      <c r="U403" s="13"/>
      <c r="V403" s="13"/>
      <c r="W403" s="59"/>
      <c r="X403" s="58"/>
      <c r="Y403" s="68">
        <f ca="1">Table25[[#This Row],[End Date]]+2-TODAY()</f>
        <v>-46242</v>
      </c>
      <c r="Z403" s="13">
        <f>IF(ISBLANK(Table25[[#This Row],[Roster Received By]]),1,0)</f>
        <v>1</v>
      </c>
      <c r="AA403" s="59">
        <f ca="1">IF(Table25[[#This Row],[Start Date]]&gt;TODAY(),1,)</f>
        <v>0</v>
      </c>
    </row>
    <row r="404" spans="1:27" s="46" customFormat="1" hidden="1" x14ac:dyDescent="0.25">
      <c r="B404" s="58"/>
      <c r="C404" s="59" t="e">
        <v>#N/A</v>
      </c>
      <c r="D404" s="59" t="e">
        <v>#N/A</v>
      </c>
      <c r="E404" s="58"/>
      <c r="F404" s="61"/>
      <c r="G404" s="61"/>
      <c r="H404" s="64"/>
      <c r="I404" s="64"/>
      <c r="J404" s="64"/>
      <c r="K404" s="64"/>
      <c r="L404" s="64"/>
      <c r="M404" s="64"/>
      <c r="N404" s="61"/>
      <c r="O404" s="58"/>
      <c r="P404" s="58"/>
      <c r="Q404" s="13" t="e">
        <v>#N/A</v>
      </c>
      <c r="R404" s="13" t="e">
        <v>#N/A</v>
      </c>
      <c r="S404" s="13"/>
      <c r="T404" s="62"/>
      <c r="U404" s="13"/>
      <c r="V404" s="13"/>
      <c r="W404" s="59"/>
      <c r="X404" s="58"/>
      <c r="Y404" s="68">
        <f ca="1">Table25[[#This Row],[End Date]]+2-TODAY()</f>
        <v>-46242</v>
      </c>
      <c r="Z404" s="13">
        <f>IF(ISBLANK(Table25[[#This Row],[Roster Received By]]),1,0)</f>
        <v>1</v>
      </c>
      <c r="AA404" s="59">
        <f ca="1">IF(Table25[[#This Row],[Start Date]]&gt;TODAY(),1,)</f>
        <v>0</v>
      </c>
    </row>
    <row r="405" spans="1:27" s="46" customFormat="1" hidden="1" x14ac:dyDescent="0.25">
      <c r="B405" s="75"/>
      <c r="C405" s="59" t="e">
        <v>#N/A</v>
      </c>
      <c r="D405" s="59" t="e">
        <v>#N/A</v>
      </c>
      <c r="E405" s="58"/>
      <c r="F405" s="61"/>
      <c r="G405" s="61"/>
      <c r="H405" s="64"/>
      <c r="I405" s="64"/>
      <c r="J405" s="61"/>
      <c r="K405" s="61"/>
      <c r="L405" s="61"/>
      <c r="M405" s="61"/>
      <c r="N405" s="61"/>
      <c r="O405" s="58"/>
      <c r="P405" s="58"/>
      <c r="Q405" s="13" t="e">
        <v>#N/A</v>
      </c>
      <c r="R405" s="13" t="e">
        <v>#N/A</v>
      </c>
      <c r="S405" s="13"/>
      <c r="T405" s="62"/>
      <c r="U405" s="13"/>
      <c r="V405" s="13"/>
      <c r="W405" s="59"/>
      <c r="X405" s="58"/>
      <c r="Y405" s="68">
        <f ca="1">Table25[[#This Row],[End Date]]+2-TODAY()</f>
        <v>-46242</v>
      </c>
      <c r="Z405" s="13">
        <f>IF(ISBLANK(Table25[[#This Row],[Roster Received By]]),1,0)</f>
        <v>1</v>
      </c>
      <c r="AA405" s="59">
        <f ca="1">IF(Table25[[#This Row],[Start Date]]&gt;TODAY(),1,)</f>
        <v>0</v>
      </c>
    </row>
    <row r="406" spans="1:27" s="46" customFormat="1" hidden="1" x14ac:dyDescent="0.25">
      <c r="A406" s="101"/>
      <c r="B406" s="58"/>
      <c r="C406" s="59" t="e">
        <v>#N/A</v>
      </c>
      <c r="D406" s="59" t="e">
        <v>#N/A</v>
      </c>
      <c r="E406" s="58"/>
      <c r="F406" s="61"/>
      <c r="G406" s="61"/>
      <c r="H406" s="64"/>
      <c r="I406" s="64"/>
      <c r="J406" s="61"/>
      <c r="K406" s="61"/>
      <c r="L406" s="61"/>
      <c r="M406" s="61"/>
      <c r="N406" s="61"/>
      <c r="O406" s="58"/>
      <c r="P406" s="58"/>
      <c r="Q406" s="13" t="e">
        <v>#N/A</v>
      </c>
      <c r="R406" s="13" t="e">
        <v>#N/A</v>
      </c>
      <c r="S406" s="62"/>
      <c r="T406" s="62"/>
      <c r="U406" s="13"/>
      <c r="V406" s="13"/>
      <c r="W406" s="59"/>
      <c r="X406" s="58"/>
      <c r="Y406" s="68">
        <f ca="1">Table25[[#This Row],[End Date]]+2-TODAY()</f>
        <v>-46242</v>
      </c>
      <c r="Z406" s="13">
        <f>IF(ISBLANK(Table25[[#This Row],[Roster Received By]]),1,0)</f>
        <v>1</v>
      </c>
      <c r="AA406" s="59">
        <f ca="1">IF(Table25[[#This Row],[Start Date]]&gt;TODAY(),1,)</f>
        <v>0</v>
      </c>
    </row>
    <row r="407" spans="1:27" s="46" customFormat="1" hidden="1" x14ac:dyDescent="0.25">
      <c r="B407" s="58"/>
      <c r="C407" s="59" t="e">
        <v>#N/A</v>
      </c>
      <c r="D407" s="59" t="e">
        <v>#N/A</v>
      </c>
      <c r="E407" s="73"/>
      <c r="F407" s="74"/>
      <c r="G407" s="74"/>
      <c r="H407" s="74"/>
      <c r="I407" s="60"/>
      <c r="J407" s="60"/>
      <c r="K407" s="60"/>
      <c r="L407" s="60"/>
      <c r="M407" s="60"/>
      <c r="N407" s="60"/>
      <c r="O407" s="58"/>
      <c r="P407" s="58"/>
      <c r="Q407" s="13" t="e">
        <v>#N/A</v>
      </c>
      <c r="R407" s="13" t="e">
        <v>#N/A</v>
      </c>
      <c r="S407" s="13"/>
      <c r="T407" s="62"/>
      <c r="U407" s="13"/>
      <c r="V407" s="13"/>
      <c r="W407" s="59"/>
      <c r="X407" s="58"/>
      <c r="Y407" s="68">
        <f ca="1">Table25[[#This Row],[End Date]]+2-TODAY()</f>
        <v>-46242</v>
      </c>
      <c r="Z407" s="13">
        <f>IF(ISBLANK(Table25[[#This Row],[Roster Received By]]),1,0)</f>
        <v>1</v>
      </c>
      <c r="AA407" s="59">
        <f ca="1">IF(Table25[[#This Row],[Start Date]]&gt;TODAY(),1,)</f>
        <v>0</v>
      </c>
    </row>
    <row r="408" spans="1:27" s="46" customFormat="1" hidden="1" x14ac:dyDescent="0.25">
      <c r="B408" s="58"/>
      <c r="C408" s="59" t="e">
        <v>#N/A</v>
      </c>
      <c r="D408" s="59" t="e">
        <v>#N/A</v>
      </c>
      <c r="E408" s="47"/>
      <c r="F408" s="61"/>
      <c r="G408" s="61"/>
      <c r="H408" s="64"/>
      <c r="I408" s="64"/>
      <c r="J408" s="61"/>
      <c r="K408" s="61"/>
      <c r="L408" s="61"/>
      <c r="M408" s="61"/>
      <c r="N408" s="61"/>
      <c r="O408" s="58"/>
      <c r="P408" s="58"/>
      <c r="Q408" s="13" t="e">
        <v>#N/A</v>
      </c>
      <c r="R408" s="13" t="e">
        <v>#N/A</v>
      </c>
      <c r="S408" s="13"/>
      <c r="T408" s="62"/>
      <c r="U408" s="13"/>
      <c r="V408" s="13"/>
      <c r="W408" s="59"/>
      <c r="X408" s="58"/>
      <c r="Y408" s="68">
        <f ca="1">Table25[[#This Row],[End Date]]+2-TODAY()</f>
        <v>-46242</v>
      </c>
      <c r="Z408" s="13">
        <f>IF(ISBLANK(Table25[[#This Row],[Roster Received By]]),1,0)</f>
        <v>1</v>
      </c>
      <c r="AA408" s="59">
        <f ca="1">IF(Table25[[#This Row],[Start Date]]&gt;TODAY(),1,)</f>
        <v>0</v>
      </c>
    </row>
    <row r="409" spans="1:27" s="46" customFormat="1" hidden="1" x14ac:dyDescent="0.25">
      <c r="B409" s="58"/>
      <c r="C409" s="59" t="e">
        <v>#N/A</v>
      </c>
      <c r="D409" s="59" t="e">
        <v>#N/A</v>
      </c>
      <c r="E409" s="75"/>
      <c r="F409" s="69"/>
      <c r="G409" s="69"/>
      <c r="H409" s="64"/>
      <c r="I409" s="64"/>
      <c r="J409" s="61"/>
      <c r="K409" s="61"/>
      <c r="L409" s="61"/>
      <c r="M409" s="61"/>
      <c r="N409" s="61"/>
      <c r="O409" s="58"/>
      <c r="P409" s="58"/>
      <c r="Q409" s="13" t="e">
        <v>#N/A</v>
      </c>
      <c r="R409" s="13" t="e">
        <v>#N/A</v>
      </c>
      <c r="S409" s="13"/>
      <c r="T409" s="62"/>
      <c r="U409" s="13"/>
      <c r="V409" s="13"/>
      <c r="W409" s="59"/>
      <c r="X409" s="58"/>
      <c r="Y409" s="68">
        <f ca="1">Table25[[#This Row],[End Date]]+2-TODAY()</f>
        <v>-46242</v>
      </c>
      <c r="Z409" s="13">
        <f>IF(ISBLANK(Table25[[#This Row],[Roster Received By]]),1,0)</f>
        <v>1</v>
      </c>
      <c r="AA409" s="59">
        <f ca="1">IF(Table25[[#This Row],[Start Date]]&gt;TODAY(),1,)</f>
        <v>0</v>
      </c>
    </row>
    <row r="410" spans="1:27" s="46" customFormat="1" hidden="1" x14ac:dyDescent="0.25">
      <c r="B410" s="58"/>
      <c r="C410" s="59" t="e">
        <v>#N/A</v>
      </c>
      <c r="D410" s="59" t="e">
        <v>#N/A</v>
      </c>
      <c r="E410" s="75"/>
      <c r="F410" s="69"/>
      <c r="G410" s="69"/>
      <c r="H410" s="64"/>
      <c r="I410" s="64"/>
      <c r="J410" s="64"/>
      <c r="K410" s="64"/>
      <c r="L410" s="64"/>
      <c r="M410" s="64"/>
      <c r="N410" s="61"/>
      <c r="O410" s="58"/>
      <c r="P410" s="58"/>
      <c r="Q410" s="13" t="e">
        <v>#N/A</v>
      </c>
      <c r="R410" s="13" t="e">
        <v>#N/A</v>
      </c>
      <c r="S410" s="13"/>
      <c r="T410" s="62"/>
      <c r="U410" s="13"/>
      <c r="V410" s="13"/>
      <c r="W410" s="59"/>
      <c r="X410" s="58"/>
      <c r="Y410" s="68">
        <f ca="1">Table25[[#This Row],[End Date]]+2-TODAY()</f>
        <v>-46242</v>
      </c>
      <c r="Z410" s="13">
        <f>IF(ISBLANK(Table25[[#This Row],[Roster Received By]]),1,0)</f>
        <v>1</v>
      </c>
      <c r="AA410" s="59">
        <f ca="1">IF(Table25[[#This Row],[Start Date]]&gt;TODAY(),1,)</f>
        <v>0</v>
      </c>
    </row>
    <row r="411" spans="1:27" s="46" customFormat="1" hidden="1" x14ac:dyDescent="0.25">
      <c r="B411" s="58"/>
      <c r="C411" s="59" t="e">
        <v>#N/A</v>
      </c>
      <c r="D411" s="59" t="e">
        <v>#N/A</v>
      </c>
      <c r="E411" s="48"/>
      <c r="F411" s="57"/>
      <c r="G411" s="69"/>
      <c r="H411" s="64"/>
      <c r="I411" s="64"/>
      <c r="J411" s="61"/>
      <c r="K411" s="61"/>
      <c r="L411" s="61"/>
      <c r="M411" s="61"/>
      <c r="N411" s="61"/>
      <c r="O411" s="58"/>
      <c r="P411" s="58"/>
      <c r="Q411" s="13" t="e">
        <v>#N/A</v>
      </c>
      <c r="R411" s="13" t="e">
        <v>#N/A</v>
      </c>
      <c r="S411" s="13"/>
      <c r="T411" s="62"/>
      <c r="U411" s="13"/>
      <c r="V411" s="13"/>
      <c r="W411" s="59"/>
      <c r="X411" s="58"/>
      <c r="Y411" s="68">
        <f ca="1">Table25[[#This Row],[End Date]]+2-TODAY()</f>
        <v>-46242</v>
      </c>
      <c r="Z411" s="13">
        <f>IF(ISBLANK(Table25[[#This Row],[Roster Received By]]),1,0)</f>
        <v>1</v>
      </c>
      <c r="AA411" s="59">
        <f ca="1">IF(Table25[[#This Row],[Start Date]]&gt;TODAY(),1,)</f>
        <v>0</v>
      </c>
    </row>
    <row r="412" spans="1:27" s="46" customFormat="1" hidden="1" x14ac:dyDescent="0.25">
      <c r="B412" s="58"/>
      <c r="C412" s="59" t="e">
        <v>#N/A</v>
      </c>
      <c r="D412" s="59" t="e">
        <v>#N/A</v>
      </c>
      <c r="E412" s="81"/>
      <c r="F412" s="69"/>
      <c r="G412" s="69"/>
      <c r="H412" s="61"/>
      <c r="I412" s="60"/>
      <c r="J412" s="60"/>
      <c r="K412" s="60"/>
      <c r="L412" s="60"/>
      <c r="M412" s="60"/>
      <c r="N412" s="60"/>
      <c r="O412" s="58"/>
      <c r="P412" s="58"/>
      <c r="Q412" s="13" t="e">
        <v>#N/A</v>
      </c>
      <c r="R412" s="13" t="e">
        <v>#N/A</v>
      </c>
      <c r="S412" s="13"/>
      <c r="T412" s="62"/>
      <c r="U412" s="13"/>
      <c r="V412" s="13"/>
      <c r="W412" s="59"/>
      <c r="X412" s="58"/>
      <c r="Y412" s="68">
        <f ca="1">Table25[[#This Row],[End Date]]+2-TODAY()</f>
        <v>-46242</v>
      </c>
      <c r="Z412" s="13">
        <f>IF(ISBLANK(Table25[[#This Row],[Roster Received By]]),1,0)</f>
        <v>1</v>
      </c>
      <c r="AA412" s="59">
        <f ca="1">IF(Table25[[#This Row],[Start Date]]&gt;TODAY(),1,)</f>
        <v>0</v>
      </c>
    </row>
    <row r="413" spans="1:27" s="46" customFormat="1" hidden="1" x14ac:dyDescent="0.25">
      <c r="B413" s="58"/>
      <c r="C413" s="59" t="e">
        <v>#N/A</v>
      </c>
      <c r="D413" s="59" t="e">
        <v>#N/A</v>
      </c>
      <c r="E413" s="81"/>
      <c r="F413" s="69"/>
      <c r="G413" s="69"/>
      <c r="H413" s="61"/>
      <c r="I413" s="60"/>
      <c r="J413" s="60"/>
      <c r="K413" s="60"/>
      <c r="L413" s="60"/>
      <c r="M413" s="60"/>
      <c r="N413" s="60"/>
      <c r="O413" s="58"/>
      <c r="P413" s="58"/>
      <c r="Q413" s="13" t="e">
        <v>#N/A</v>
      </c>
      <c r="R413" s="13" t="e">
        <v>#N/A</v>
      </c>
      <c r="S413" s="13"/>
      <c r="T413" s="62"/>
      <c r="U413" s="13"/>
      <c r="V413" s="13"/>
      <c r="W413" s="59"/>
      <c r="X413" s="58"/>
      <c r="Y413" s="68">
        <f ca="1">Table25[[#This Row],[End Date]]+2-TODAY()</f>
        <v>-46242</v>
      </c>
      <c r="Z413" s="13">
        <f>IF(ISBLANK(Table25[[#This Row],[Roster Received By]]),1,0)</f>
        <v>1</v>
      </c>
      <c r="AA413" s="59">
        <f ca="1">IF(Table25[[#This Row],[Start Date]]&gt;TODAY(),1,)</f>
        <v>0</v>
      </c>
    </row>
    <row r="414" spans="1:27" s="46" customFormat="1" hidden="1" x14ac:dyDescent="0.25">
      <c r="B414" s="58"/>
      <c r="C414" s="59" t="e">
        <v>#N/A</v>
      </c>
      <c r="D414" s="59" t="e">
        <v>#N/A</v>
      </c>
      <c r="E414" s="81"/>
      <c r="F414" s="69"/>
      <c r="G414" s="69"/>
      <c r="H414" s="61"/>
      <c r="I414" s="60"/>
      <c r="J414" s="60"/>
      <c r="K414" s="60"/>
      <c r="L414" s="60"/>
      <c r="M414" s="60"/>
      <c r="N414" s="60"/>
      <c r="O414" s="58"/>
      <c r="P414" s="58"/>
      <c r="Q414" s="13" t="e">
        <v>#N/A</v>
      </c>
      <c r="R414" s="13" t="e">
        <v>#N/A</v>
      </c>
      <c r="S414" s="13"/>
      <c r="T414" s="62"/>
      <c r="U414" s="13"/>
      <c r="V414" s="13"/>
      <c r="W414" s="59"/>
      <c r="X414" s="58"/>
      <c r="Y414" s="68">
        <f ca="1">Table25[[#This Row],[End Date]]+2-TODAY()</f>
        <v>-46242</v>
      </c>
      <c r="Z414" s="13">
        <f>IF(ISBLANK(Table25[[#This Row],[Roster Received By]]),1,0)</f>
        <v>1</v>
      </c>
      <c r="AA414" s="59">
        <f ca="1">IF(Table25[[#This Row],[Start Date]]&gt;TODAY(),1,)</f>
        <v>0</v>
      </c>
    </row>
    <row r="415" spans="1:27" s="46" customFormat="1" hidden="1" x14ac:dyDescent="0.25">
      <c r="B415" s="58"/>
      <c r="C415" s="59" t="e">
        <v>#N/A</v>
      </c>
      <c r="D415" s="59" t="e">
        <v>#N/A</v>
      </c>
      <c r="E415" s="81"/>
      <c r="F415" s="61"/>
      <c r="G415" s="61"/>
      <c r="H415" s="61"/>
      <c r="I415" s="60"/>
      <c r="J415" s="60"/>
      <c r="K415" s="60"/>
      <c r="L415" s="60"/>
      <c r="M415" s="60"/>
      <c r="N415" s="60"/>
      <c r="O415" s="58"/>
      <c r="P415" s="58"/>
      <c r="Q415" s="13" t="e">
        <v>#N/A</v>
      </c>
      <c r="R415" s="13" t="e">
        <v>#N/A</v>
      </c>
      <c r="S415" s="13"/>
      <c r="T415" s="62"/>
      <c r="U415" s="13"/>
      <c r="V415" s="13"/>
      <c r="W415" s="59"/>
      <c r="X415" s="58"/>
      <c r="Y415" s="68">
        <f ca="1">Table25[[#This Row],[End Date]]+2-TODAY()</f>
        <v>-46242</v>
      </c>
      <c r="Z415" s="13">
        <f>IF(ISBLANK(Table25[[#This Row],[Roster Received By]]),1,0)</f>
        <v>1</v>
      </c>
      <c r="AA415" s="59">
        <f ca="1">IF(Table25[[#This Row],[Start Date]]&gt;TODAY(),1,)</f>
        <v>0</v>
      </c>
    </row>
    <row r="416" spans="1:27" s="46" customFormat="1" hidden="1" x14ac:dyDescent="0.25">
      <c r="B416" s="58"/>
      <c r="C416" s="59" t="e">
        <v>#N/A</v>
      </c>
      <c r="D416" s="59" t="e">
        <v>#N/A</v>
      </c>
      <c r="E416" s="81"/>
      <c r="F416" s="61"/>
      <c r="G416" s="61"/>
      <c r="H416" s="67"/>
      <c r="I416" s="67"/>
      <c r="J416" s="61"/>
      <c r="K416" s="61"/>
      <c r="L416" s="61"/>
      <c r="M416" s="61"/>
      <c r="N416" s="61"/>
      <c r="O416" s="58"/>
      <c r="P416" s="58"/>
      <c r="Q416" s="13" t="e">
        <v>#N/A</v>
      </c>
      <c r="R416" s="13" t="e">
        <v>#N/A</v>
      </c>
      <c r="S416" s="13"/>
      <c r="T416" s="62"/>
      <c r="U416" s="13"/>
      <c r="V416" s="13"/>
      <c r="W416" s="59"/>
      <c r="X416" s="58"/>
      <c r="Y416" s="68">
        <f ca="1">Table25[[#This Row],[End Date]]+2-TODAY()</f>
        <v>-46242</v>
      </c>
      <c r="Z416" s="13">
        <f>IF(ISBLANK(Table25[[#This Row],[Roster Received By]]),1,0)</f>
        <v>1</v>
      </c>
      <c r="AA416" s="59">
        <f ca="1">IF(Table25[[#This Row],[Start Date]]&gt;TODAY(),1,)</f>
        <v>0</v>
      </c>
    </row>
    <row r="417" spans="1:27" s="46" customFormat="1" hidden="1" x14ac:dyDescent="0.25">
      <c r="A417" s="58"/>
      <c r="B417" s="58"/>
      <c r="C417" s="59" t="e">
        <v>#N/A</v>
      </c>
      <c r="D417" s="59" t="e">
        <v>#N/A</v>
      </c>
      <c r="E417" s="81"/>
      <c r="F417" s="61"/>
      <c r="G417" s="61"/>
      <c r="H417" s="67"/>
      <c r="I417" s="67"/>
      <c r="J417" s="61"/>
      <c r="K417" s="61"/>
      <c r="L417" s="61"/>
      <c r="M417" s="61"/>
      <c r="N417" s="61"/>
      <c r="O417" s="58"/>
      <c r="P417" s="58"/>
      <c r="Q417" s="13" t="e">
        <v>#N/A</v>
      </c>
      <c r="R417" s="13" t="e">
        <v>#N/A</v>
      </c>
      <c r="S417" s="13"/>
      <c r="T417" s="62"/>
      <c r="U417" s="13"/>
      <c r="V417" s="13"/>
      <c r="W417" s="59"/>
      <c r="X417" s="58"/>
      <c r="Y417" s="68">
        <f ca="1">Table25[[#This Row],[End Date]]+2-TODAY()</f>
        <v>-46242</v>
      </c>
      <c r="Z417" s="13">
        <f>IF(ISBLANK(Table25[[#This Row],[Roster Received By]]),1,0)</f>
        <v>1</v>
      </c>
      <c r="AA417" s="59">
        <f ca="1">IF(Table25[[#This Row],[Start Date]]&gt;TODAY(),1,)</f>
        <v>0</v>
      </c>
    </row>
    <row r="418" spans="1:27" s="46" customFormat="1" hidden="1" x14ac:dyDescent="0.25">
      <c r="B418" s="58"/>
      <c r="C418" s="59" t="e">
        <v>#N/A</v>
      </c>
      <c r="D418" s="59" t="e">
        <v>#N/A</v>
      </c>
      <c r="E418" s="81"/>
      <c r="F418" s="61"/>
      <c r="G418" s="61"/>
      <c r="H418" s="61"/>
      <c r="I418" s="60"/>
      <c r="J418" s="60"/>
      <c r="K418" s="60"/>
      <c r="L418" s="60"/>
      <c r="M418" s="60"/>
      <c r="N418" s="60"/>
      <c r="O418" s="58"/>
      <c r="P418" s="58"/>
      <c r="Q418" s="13" t="e">
        <v>#N/A</v>
      </c>
      <c r="R418" s="13" t="e">
        <v>#N/A</v>
      </c>
      <c r="S418" s="13"/>
      <c r="T418" s="62"/>
      <c r="U418" s="13"/>
      <c r="V418" s="13"/>
      <c r="W418" s="59"/>
      <c r="X418" s="58"/>
      <c r="Y418" s="68">
        <f ca="1">Table25[[#This Row],[End Date]]+2-TODAY()</f>
        <v>-46242</v>
      </c>
      <c r="Z418" s="13">
        <f>IF(ISBLANK(Table25[[#This Row],[Roster Received By]]),1,0)</f>
        <v>1</v>
      </c>
      <c r="AA418" s="59">
        <f ca="1">IF(Table25[[#This Row],[Start Date]]&gt;TODAY(),1,)</f>
        <v>0</v>
      </c>
    </row>
    <row r="419" spans="1:27" s="46" customFormat="1" hidden="1" x14ac:dyDescent="0.25">
      <c r="B419" s="58"/>
      <c r="C419" s="59" t="e">
        <v>#N/A</v>
      </c>
      <c r="D419" s="59" t="e">
        <v>#N/A</v>
      </c>
      <c r="E419" s="58"/>
      <c r="F419" s="61"/>
      <c r="G419" s="61"/>
      <c r="H419" s="61"/>
      <c r="I419" s="60"/>
      <c r="J419" s="60"/>
      <c r="K419" s="60"/>
      <c r="L419" s="60"/>
      <c r="M419" s="60"/>
      <c r="N419" s="60"/>
      <c r="O419" s="58"/>
      <c r="P419" s="58"/>
      <c r="Q419" s="13" t="e">
        <v>#N/A</v>
      </c>
      <c r="R419" s="13" t="e">
        <v>#N/A</v>
      </c>
      <c r="S419" s="13"/>
      <c r="T419" s="62"/>
      <c r="U419" s="13"/>
      <c r="V419" s="13"/>
      <c r="W419" s="59"/>
      <c r="X419" s="58"/>
      <c r="Y419" s="68">
        <f ca="1">Table25[[#This Row],[End Date]]+2-TODAY()</f>
        <v>-46242</v>
      </c>
      <c r="Z419" s="13">
        <f>IF(ISBLANK(Table25[[#This Row],[Roster Received By]]),1,0)</f>
        <v>1</v>
      </c>
      <c r="AA419" s="59">
        <f ca="1">IF(Table25[[#This Row],[Start Date]]&gt;TODAY(),1,)</f>
        <v>0</v>
      </c>
    </row>
    <row r="420" spans="1:27" s="46" customFormat="1" hidden="1" x14ac:dyDescent="0.25">
      <c r="B420" s="58"/>
      <c r="C420" s="59" t="e">
        <v>#N/A</v>
      </c>
      <c r="D420" s="59" t="e">
        <v>#N/A</v>
      </c>
      <c r="E420" s="58"/>
      <c r="F420" s="61"/>
      <c r="G420" s="61"/>
      <c r="H420" s="64"/>
      <c r="I420" s="71"/>
      <c r="J420" s="71"/>
      <c r="K420" s="71"/>
      <c r="L420" s="71"/>
      <c r="M420" s="71"/>
      <c r="N420" s="71"/>
      <c r="O420" s="58"/>
      <c r="P420" s="58"/>
      <c r="Q420" s="13" t="e">
        <v>#N/A</v>
      </c>
      <c r="R420" s="13" t="e">
        <v>#N/A</v>
      </c>
      <c r="S420" s="62"/>
      <c r="T420" s="72"/>
      <c r="U420" s="72"/>
      <c r="V420" s="72"/>
      <c r="W420" s="72"/>
      <c r="X420" s="58"/>
      <c r="Y420" s="72"/>
    </row>
    <row r="421" spans="1:27" s="46" customFormat="1" hidden="1" x14ac:dyDescent="0.25">
      <c r="B421" s="58"/>
      <c r="C421" s="59" t="e">
        <v>#N/A</v>
      </c>
      <c r="D421" s="59" t="e">
        <v>#N/A</v>
      </c>
      <c r="E421" s="58"/>
      <c r="F421" s="61"/>
      <c r="G421" s="61"/>
      <c r="H421" s="64"/>
      <c r="I421" s="64"/>
      <c r="J421" s="61"/>
      <c r="K421" s="61"/>
      <c r="L421" s="61"/>
      <c r="M421" s="61"/>
      <c r="N421" s="61"/>
      <c r="O421" s="58"/>
      <c r="P421" s="58"/>
      <c r="Q421" s="13" t="e">
        <v>#N/A</v>
      </c>
      <c r="R421" s="13" t="e">
        <v>#N/A</v>
      </c>
      <c r="S421" s="62"/>
      <c r="T421" s="62"/>
      <c r="U421" s="13"/>
      <c r="V421" s="13"/>
      <c r="W421" s="59"/>
      <c r="X421" s="58"/>
      <c r="Y421" s="68">
        <f ca="1">Table25[[#This Row],[End Date]]+2-TODAY()</f>
        <v>-46242</v>
      </c>
      <c r="Z421" s="13">
        <f>IF(ISBLANK(Table25[[#This Row],[Roster Received By]]),1,0)</f>
        <v>1</v>
      </c>
      <c r="AA421" s="59">
        <f ca="1">IF(Table25[[#This Row],[Start Date]]&gt;TODAY(),1,)</f>
        <v>0</v>
      </c>
    </row>
    <row r="422" spans="1:27" s="46" customFormat="1" hidden="1" x14ac:dyDescent="0.25">
      <c r="B422" s="58"/>
      <c r="C422" s="59" t="e">
        <v>#N/A</v>
      </c>
      <c r="D422" s="59" t="e">
        <v>#N/A</v>
      </c>
      <c r="E422" s="47"/>
      <c r="F422" s="61"/>
      <c r="G422" s="61"/>
      <c r="H422" s="64"/>
      <c r="I422" s="64"/>
      <c r="J422" s="61"/>
      <c r="K422" s="61"/>
      <c r="L422" s="61"/>
      <c r="M422" s="61"/>
      <c r="N422" s="61"/>
      <c r="O422" s="58"/>
      <c r="P422" s="58"/>
      <c r="Q422" s="13" t="e">
        <v>#N/A</v>
      </c>
      <c r="R422" s="13" t="e">
        <v>#N/A</v>
      </c>
      <c r="S422" s="13"/>
      <c r="T422" s="62"/>
      <c r="U422" s="13"/>
      <c r="V422" s="13"/>
      <c r="W422" s="13"/>
      <c r="X422" s="58"/>
      <c r="Y422" s="51">
        <f ca="1">Table25[[#This Row],[End Date]]+2-TODAY()</f>
        <v>-46242</v>
      </c>
      <c r="Z422" s="13">
        <f>IF(ISBLANK(Table25[[#This Row],[Roster Received By]]),1,0)</f>
        <v>1</v>
      </c>
      <c r="AA422" s="13">
        <f ca="1">IF(Table25[[#This Row],[Start Date]]&gt;TODAY(),1,)</f>
        <v>0</v>
      </c>
    </row>
    <row r="423" spans="1:27" s="46" customFormat="1" hidden="1" x14ac:dyDescent="0.25">
      <c r="B423" s="58"/>
      <c r="C423" s="59" t="e">
        <v>#N/A</v>
      </c>
      <c r="D423" s="59" t="e">
        <v>#N/A</v>
      </c>
      <c r="E423" s="58"/>
      <c r="F423" s="61"/>
      <c r="G423" s="61"/>
      <c r="H423" s="64"/>
      <c r="I423" s="64"/>
      <c r="J423" s="61"/>
      <c r="K423" s="61"/>
      <c r="L423" s="61"/>
      <c r="M423" s="61"/>
      <c r="N423" s="61"/>
      <c r="O423" s="58"/>
      <c r="P423" s="58"/>
      <c r="Q423" s="13" t="e">
        <v>#N/A</v>
      </c>
      <c r="R423" s="13" t="e">
        <v>#N/A</v>
      </c>
      <c r="S423" s="13"/>
      <c r="T423" s="62"/>
      <c r="U423" s="13"/>
      <c r="V423" s="13"/>
      <c r="W423" s="59"/>
      <c r="X423" s="58"/>
      <c r="Y423" s="68">
        <f ca="1">Table25[[#This Row],[End Date]]+2-TODAY()</f>
        <v>-46242</v>
      </c>
      <c r="Z423" s="13">
        <f>IF(ISBLANK(Table25[[#This Row],[Roster Received By]]),1,0)</f>
        <v>1</v>
      </c>
      <c r="AA423" s="59">
        <f ca="1">IF(Table25[[#This Row],[Start Date]]&gt;TODAY(),1,)</f>
        <v>0</v>
      </c>
    </row>
    <row r="424" spans="1:27" s="46" customFormat="1" hidden="1" x14ac:dyDescent="0.25">
      <c r="B424" s="58"/>
      <c r="C424" s="59" t="e">
        <v>#N/A</v>
      </c>
      <c r="D424" s="59" t="e">
        <v>#N/A</v>
      </c>
      <c r="E424" s="47"/>
      <c r="F424" s="61"/>
      <c r="G424" s="61"/>
      <c r="H424" s="64"/>
      <c r="I424" s="64"/>
      <c r="J424" s="61"/>
      <c r="K424" s="61"/>
      <c r="L424" s="61"/>
      <c r="M424" s="61"/>
      <c r="N424" s="61"/>
      <c r="O424" s="58"/>
      <c r="P424" s="58"/>
      <c r="Q424" s="13" t="e">
        <v>#N/A</v>
      </c>
      <c r="R424" s="13" t="e">
        <v>#N/A</v>
      </c>
      <c r="S424" s="13"/>
      <c r="T424" s="62"/>
      <c r="U424" s="13"/>
      <c r="V424" s="13"/>
      <c r="W424" s="59"/>
      <c r="X424" s="58"/>
      <c r="Y424" s="68">
        <f ca="1">Table25[[#This Row],[End Date]]+2-TODAY()</f>
        <v>-46242</v>
      </c>
      <c r="Z424" s="13">
        <f>IF(ISBLANK(Table25[[#This Row],[Roster Received By]]),1,0)</f>
        <v>1</v>
      </c>
      <c r="AA424" s="59">
        <f ca="1">IF(Table25[[#This Row],[Start Date]]&gt;TODAY(),1,)</f>
        <v>0</v>
      </c>
    </row>
    <row r="425" spans="1:27" s="46" customFormat="1" hidden="1" x14ac:dyDescent="0.25">
      <c r="B425" s="58"/>
      <c r="C425" s="59" t="e">
        <v>#N/A</v>
      </c>
      <c r="D425" s="59" t="e">
        <v>#N/A</v>
      </c>
      <c r="E425" s="58"/>
      <c r="F425" s="61"/>
      <c r="G425" s="61"/>
      <c r="H425" s="64"/>
      <c r="I425" s="64"/>
      <c r="J425" s="61"/>
      <c r="K425" s="61"/>
      <c r="L425" s="61"/>
      <c r="M425" s="61"/>
      <c r="N425" s="61"/>
      <c r="O425" s="58"/>
      <c r="P425" s="58"/>
      <c r="Q425" s="13" t="e">
        <v>#N/A</v>
      </c>
      <c r="R425" s="13" t="e">
        <v>#N/A</v>
      </c>
      <c r="S425" s="13"/>
      <c r="T425" s="62"/>
      <c r="U425" s="13"/>
      <c r="V425" s="13"/>
      <c r="W425" s="13"/>
      <c r="X425" s="58"/>
      <c r="Y425" s="68">
        <f ca="1">Table25[[#This Row],[End Date]]+2-TODAY()</f>
        <v>-46242</v>
      </c>
      <c r="Z425" s="13">
        <f>IF(ISBLANK(Table25[[#This Row],[Roster Received By]]),1,0)</f>
        <v>1</v>
      </c>
      <c r="AA425" s="59">
        <f ca="1">IF(Table25[[#This Row],[Start Date]]&gt;TODAY(),1,)</f>
        <v>0</v>
      </c>
    </row>
    <row r="426" spans="1:27" s="46" customFormat="1" hidden="1" x14ac:dyDescent="0.25">
      <c r="A426" s="58"/>
      <c r="B426" s="58"/>
      <c r="C426" s="59" t="e">
        <v>#N/A</v>
      </c>
      <c r="D426" s="59" t="e">
        <v>#N/A</v>
      </c>
      <c r="E426" s="58"/>
      <c r="F426" s="61"/>
      <c r="G426" s="61"/>
      <c r="H426" s="64"/>
      <c r="I426" s="64"/>
      <c r="J426" s="61"/>
      <c r="K426" s="61"/>
      <c r="L426" s="61"/>
      <c r="M426" s="61"/>
      <c r="N426" s="61"/>
      <c r="O426" s="58"/>
      <c r="P426" s="58"/>
      <c r="Q426" s="13" t="e">
        <v>#N/A</v>
      </c>
      <c r="R426" s="13" t="e">
        <v>#N/A</v>
      </c>
      <c r="S426" s="13"/>
      <c r="T426" s="62"/>
      <c r="U426" s="13"/>
      <c r="V426" s="13"/>
      <c r="W426" s="59"/>
      <c r="X426" s="58"/>
      <c r="Y426" s="68">
        <f ca="1">Table25[[#This Row],[End Date]]+2-TODAY()</f>
        <v>-46242</v>
      </c>
      <c r="Z426" s="13">
        <f>IF(ISBLANK(Table25[[#This Row],[Roster Received By]]),1,0)</f>
        <v>1</v>
      </c>
      <c r="AA426" s="59">
        <f ca="1">IF(Table25[[#This Row],[Start Date]]&gt;TODAY(),1,)</f>
        <v>0</v>
      </c>
    </row>
    <row r="427" spans="1:27" s="46" customFormat="1" hidden="1" x14ac:dyDescent="0.25">
      <c r="B427" s="58"/>
      <c r="C427" s="59" t="e">
        <v>#N/A</v>
      </c>
      <c r="D427" s="59" t="e">
        <v>#N/A</v>
      </c>
      <c r="E427" s="58"/>
      <c r="F427" s="61"/>
      <c r="G427" s="61"/>
      <c r="H427" s="64"/>
      <c r="I427" s="64"/>
      <c r="J427" s="61"/>
      <c r="K427" s="61"/>
      <c r="L427" s="61"/>
      <c r="M427" s="61"/>
      <c r="N427" s="61"/>
      <c r="O427" s="58"/>
      <c r="P427" s="58"/>
      <c r="Q427" s="13" t="e">
        <v>#N/A</v>
      </c>
      <c r="R427" s="13" t="e">
        <v>#N/A</v>
      </c>
      <c r="S427" s="13"/>
      <c r="T427" s="62"/>
      <c r="U427" s="13"/>
      <c r="V427" s="13"/>
      <c r="W427" s="59"/>
      <c r="X427" s="58"/>
      <c r="Y427" s="68">
        <f ca="1">Table25[[#This Row],[End Date]]+2-TODAY()</f>
        <v>-46242</v>
      </c>
      <c r="Z427" s="13">
        <f>IF(ISBLANK(Table25[[#This Row],[Roster Received By]]),1,0)</f>
        <v>1</v>
      </c>
      <c r="AA427" s="59">
        <f ca="1">IF(Table25[[#This Row],[Start Date]]&gt;TODAY(),1,)</f>
        <v>0</v>
      </c>
    </row>
    <row r="428" spans="1:27" s="46" customFormat="1" hidden="1" x14ac:dyDescent="0.25">
      <c r="B428" s="58"/>
      <c r="C428" s="59" t="e">
        <v>#N/A</v>
      </c>
      <c r="D428" s="59" t="e">
        <v>#N/A</v>
      </c>
      <c r="E428" s="58"/>
      <c r="F428" s="61"/>
      <c r="G428" s="61"/>
      <c r="H428" s="64"/>
      <c r="I428" s="64"/>
      <c r="J428" s="61"/>
      <c r="K428" s="61"/>
      <c r="L428" s="61"/>
      <c r="M428" s="61"/>
      <c r="N428" s="61"/>
      <c r="O428" s="58"/>
      <c r="P428" s="58"/>
      <c r="Q428" s="13" t="e">
        <v>#N/A</v>
      </c>
      <c r="R428" s="13" t="e">
        <v>#N/A</v>
      </c>
      <c r="S428" s="62"/>
      <c r="T428" s="62"/>
      <c r="U428" s="13"/>
      <c r="V428" s="13"/>
      <c r="W428" s="13"/>
      <c r="X428" s="58"/>
      <c r="Y428" s="51">
        <f ca="1">Table25[[#This Row],[End Date]]+2-TODAY()</f>
        <v>-46242</v>
      </c>
      <c r="Z428" s="13">
        <f>IF(ISBLANK(Table25[[#This Row],[Roster Received By]]),1,0)</f>
        <v>1</v>
      </c>
      <c r="AA428" s="13">
        <f ca="1">IF(Table25[[#This Row],[Start Date]]&gt;TODAY(),1,)</f>
        <v>0</v>
      </c>
    </row>
    <row r="429" spans="1:27" s="46" customFormat="1" hidden="1" x14ac:dyDescent="0.25">
      <c r="B429" s="58"/>
      <c r="C429" s="59" t="e">
        <v>#N/A</v>
      </c>
      <c r="D429" s="59" t="e">
        <v>#N/A</v>
      </c>
      <c r="E429" s="47"/>
      <c r="F429" s="61"/>
      <c r="G429" s="61"/>
      <c r="H429" s="64"/>
      <c r="I429" s="64"/>
      <c r="J429" s="61"/>
      <c r="K429" s="61"/>
      <c r="L429" s="61"/>
      <c r="M429" s="61"/>
      <c r="N429" s="61"/>
      <c r="O429" s="58"/>
      <c r="P429" s="58"/>
      <c r="Q429" s="13" t="e">
        <v>#N/A</v>
      </c>
      <c r="R429" s="13" t="e">
        <v>#N/A</v>
      </c>
      <c r="S429" s="13"/>
      <c r="T429" s="62"/>
      <c r="U429" s="13"/>
      <c r="V429" s="13"/>
      <c r="W429" s="59"/>
      <c r="X429" s="58"/>
      <c r="Y429" s="68">
        <f ca="1">Table25[[#This Row],[End Date]]+2-TODAY()</f>
        <v>-46242</v>
      </c>
      <c r="Z429" s="13">
        <f>IF(ISBLANK(Table25[[#This Row],[Roster Received By]]),1,0)</f>
        <v>1</v>
      </c>
      <c r="AA429" s="59">
        <f ca="1">IF(Table25[[#This Row],[Start Date]]&gt;TODAY(),1,)</f>
        <v>0</v>
      </c>
    </row>
    <row r="430" spans="1:27" s="46" customFormat="1" hidden="1" x14ac:dyDescent="0.25">
      <c r="B430" s="58"/>
      <c r="C430" s="59" t="e">
        <v>#N/A</v>
      </c>
      <c r="D430" s="59" t="e">
        <v>#N/A</v>
      </c>
      <c r="E430" s="58"/>
      <c r="F430" s="61"/>
      <c r="G430" s="61"/>
      <c r="H430" s="61"/>
      <c r="I430" s="60"/>
      <c r="J430" s="60"/>
      <c r="K430" s="60"/>
      <c r="L430" s="60"/>
      <c r="M430" s="60"/>
      <c r="N430" s="60"/>
      <c r="O430" s="58"/>
      <c r="P430" s="58"/>
      <c r="Q430" s="13" t="e">
        <v>#N/A</v>
      </c>
      <c r="R430" s="13" t="e">
        <v>#N/A</v>
      </c>
      <c r="S430" s="13"/>
      <c r="T430" s="62"/>
      <c r="U430" s="13"/>
      <c r="V430" s="13"/>
      <c r="W430" s="59"/>
      <c r="X430" s="58"/>
      <c r="Y430" s="68">
        <f ca="1">Table25[[#This Row],[End Date]]+2-TODAY()</f>
        <v>-46242</v>
      </c>
      <c r="Z430" s="13">
        <f>IF(ISBLANK(Table25[[#This Row],[Roster Received By]]),1,0)</f>
        <v>1</v>
      </c>
      <c r="AA430" s="59">
        <f ca="1">IF(Table25[[#This Row],[Start Date]]&gt;TODAY(),1,)</f>
        <v>0</v>
      </c>
    </row>
    <row r="431" spans="1:27" s="46" customFormat="1" hidden="1" x14ac:dyDescent="0.25">
      <c r="A431" s="58"/>
      <c r="B431" s="58"/>
      <c r="C431" s="59" t="e">
        <v>#N/A</v>
      </c>
      <c r="D431" s="59" t="e">
        <v>#N/A</v>
      </c>
      <c r="E431" s="58"/>
      <c r="F431" s="61"/>
      <c r="G431" s="61"/>
      <c r="H431" s="64"/>
      <c r="I431" s="64"/>
      <c r="J431" s="61"/>
      <c r="K431" s="61"/>
      <c r="L431" s="61"/>
      <c r="M431" s="61"/>
      <c r="N431" s="61"/>
      <c r="O431" s="58"/>
      <c r="P431" s="58"/>
      <c r="Q431" s="13" t="e">
        <v>#N/A</v>
      </c>
      <c r="R431" s="13" t="e">
        <v>#N/A</v>
      </c>
      <c r="S431" s="13"/>
      <c r="T431" s="62"/>
      <c r="U431" s="13"/>
      <c r="V431" s="13"/>
      <c r="W431" s="59"/>
      <c r="X431" s="58"/>
      <c r="Y431" s="68">
        <f ca="1">Table25[[#This Row],[End Date]]+2-TODAY()</f>
        <v>-46242</v>
      </c>
      <c r="Z431" s="13">
        <f>IF(ISBLANK(Table25[[#This Row],[Roster Received By]]),1,0)</f>
        <v>1</v>
      </c>
      <c r="AA431" s="59">
        <f ca="1">IF(Table25[[#This Row],[Start Date]]&gt;TODAY(),1,)</f>
        <v>0</v>
      </c>
    </row>
    <row r="432" spans="1:27" s="46" customFormat="1" hidden="1" x14ac:dyDescent="0.25">
      <c r="A432" s="58"/>
      <c r="B432" s="58"/>
      <c r="C432" s="59" t="e">
        <v>#N/A</v>
      </c>
      <c r="D432" s="59" t="e">
        <v>#N/A</v>
      </c>
      <c r="E432" s="47"/>
      <c r="F432" s="61"/>
      <c r="G432" s="61"/>
      <c r="H432" s="64"/>
      <c r="I432" s="64"/>
      <c r="J432" s="61"/>
      <c r="K432" s="61"/>
      <c r="L432" s="61"/>
      <c r="M432" s="61"/>
      <c r="N432" s="61"/>
      <c r="O432" s="58"/>
      <c r="P432" s="58"/>
      <c r="Q432" s="13" t="e">
        <v>#N/A</v>
      </c>
      <c r="R432" s="13" t="e">
        <v>#N/A</v>
      </c>
      <c r="S432" s="13"/>
      <c r="T432" s="62"/>
      <c r="U432" s="13"/>
      <c r="V432" s="13"/>
      <c r="W432" s="59"/>
      <c r="X432" s="58"/>
      <c r="Y432" s="68">
        <f ca="1">Table25[[#This Row],[End Date]]+2-TODAY()</f>
        <v>-46242</v>
      </c>
      <c r="Z432" s="13">
        <f>IF(ISBLANK(Table25[[#This Row],[Roster Received By]]),1,0)</f>
        <v>1</v>
      </c>
      <c r="AA432" s="59">
        <f ca="1">IF(Table25[[#This Row],[Start Date]]&gt;TODAY(),1,)</f>
        <v>0</v>
      </c>
    </row>
    <row r="433" spans="1:27" s="46" customFormat="1" hidden="1" x14ac:dyDescent="0.25">
      <c r="B433" s="58"/>
      <c r="C433" s="59" t="e">
        <v>#N/A</v>
      </c>
      <c r="D433" s="59" t="e">
        <v>#N/A</v>
      </c>
      <c r="E433" s="58"/>
      <c r="F433" s="61"/>
      <c r="G433" s="61"/>
      <c r="H433" s="61"/>
      <c r="I433" s="60"/>
      <c r="J433" s="60"/>
      <c r="K433" s="60"/>
      <c r="L433" s="60"/>
      <c r="M433" s="60"/>
      <c r="N433" s="60"/>
      <c r="O433" s="58"/>
      <c r="P433" s="58"/>
      <c r="Q433" s="13" t="e">
        <v>#N/A</v>
      </c>
      <c r="R433" s="13" t="e">
        <v>#N/A</v>
      </c>
      <c r="S433" s="13"/>
      <c r="T433" s="62"/>
      <c r="U433" s="13"/>
      <c r="V433" s="13"/>
      <c r="W433" s="59"/>
      <c r="X433" s="58"/>
      <c r="Y433" s="68">
        <f ca="1">Table25[[#This Row],[End Date]]+2-TODAY()</f>
        <v>-46242</v>
      </c>
      <c r="Z433" s="13">
        <f>IF(ISBLANK(Table25[[#This Row],[Roster Received By]]),1,0)</f>
        <v>1</v>
      </c>
      <c r="AA433" s="59">
        <f ca="1">IF(Table25[[#This Row],[Start Date]]&gt;TODAY(),1,)</f>
        <v>0</v>
      </c>
    </row>
    <row r="434" spans="1:27" s="46" customFormat="1" hidden="1" x14ac:dyDescent="0.25">
      <c r="B434" s="58"/>
      <c r="C434" s="59" t="e">
        <v>#N/A</v>
      </c>
      <c r="D434" s="59" t="e">
        <v>#N/A</v>
      </c>
      <c r="E434" s="47"/>
      <c r="F434" s="61"/>
      <c r="G434" s="61"/>
      <c r="H434" s="64"/>
      <c r="I434" s="64"/>
      <c r="J434" s="61"/>
      <c r="K434" s="61"/>
      <c r="L434" s="61"/>
      <c r="M434" s="61"/>
      <c r="N434" s="61"/>
      <c r="O434" s="58"/>
      <c r="P434" s="58"/>
      <c r="Q434" s="13" t="e">
        <v>#N/A</v>
      </c>
      <c r="R434" s="13" t="e">
        <v>#N/A</v>
      </c>
      <c r="S434" s="13"/>
      <c r="T434" s="62"/>
      <c r="U434" s="13"/>
      <c r="V434" s="13"/>
      <c r="W434" s="59"/>
      <c r="X434" s="58"/>
      <c r="Y434" s="68">
        <f ca="1">Table25[[#This Row],[End Date]]+2-TODAY()</f>
        <v>-46242</v>
      </c>
      <c r="Z434" s="13">
        <f>IF(ISBLANK(Table25[[#This Row],[Roster Received By]]),1,0)</f>
        <v>1</v>
      </c>
      <c r="AA434" s="59">
        <f ca="1">IF(Table25[[#This Row],[Start Date]]&gt;TODAY(),1,)</f>
        <v>0</v>
      </c>
    </row>
    <row r="435" spans="1:27" s="46" customFormat="1" hidden="1" x14ac:dyDescent="0.25">
      <c r="B435" s="58"/>
      <c r="C435" s="59" t="e">
        <v>#N/A</v>
      </c>
      <c r="D435" s="59" t="e">
        <v>#N/A</v>
      </c>
      <c r="E435" s="47"/>
      <c r="F435" s="61"/>
      <c r="G435" s="61"/>
      <c r="H435" s="64"/>
      <c r="I435" s="64"/>
      <c r="J435" s="61"/>
      <c r="K435" s="61"/>
      <c r="L435" s="61"/>
      <c r="M435" s="61"/>
      <c r="N435" s="61"/>
      <c r="O435" s="58"/>
      <c r="P435" s="58"/>
      <c r="Q435" s="13" t="e">
        <v>#N/A</v>
      </c>
      <c r="R435" s="13" t="e">
        <v>#N/A</v>
      </c>
      <c r="S435" s="13"/>
      <c r="T435" s="62"/>
      <c r="U435" s="13"/>
      <c r="V435" s="13"/>
      <c r="W435" s="13"/>
      <c r="X435" s="58"/>
      <c r="Y435" s="51">
        <f ca="1">Table25[[#This Row],[End Date]]+2-TODAY()</f>
        <v>-46242</v>
      </c>
      <c r="Z435" s="13">
        <f>IF(ISBLANK(Table25[[#This Row],[Roster Received By]]),1,0)</f>
        <v>1</v>
      </c>
      <c r="AA435" s="13">
        <f ca="1">IF(Table25[[#This Row],[Start Date]]&gt;TODAY(),1,)</f>
        <v>0</v>
      </c>
    </row>
    <row r="436" spans="1:27" s="46" customFormat="1" hidden="1" x14ac:dyDescent="0.25">
      <c r="B436" s="58"/>
      <c r="C436" s="59" t="e">
        <v>#N/A</v>
      </c>
      <c r="D436" s="59" t="e">
        <v>#N/A</v>
      </c>
      <c r="E436" s="58"/>
      <c r="F436" s="61"/>
      <c r="G436" s="61"/>
      <c r="H436" s="64"/>
      <c r="I436" s="64"/>
      <c r="J436" s="61"/>
      <c r="K436" s="61"/>
      <c r="L436" s="61"/>
      <c r="M436" s="61"/>
      <c r="N436" s="61"/>
      <c r="O436" s="58"/>
      <c r="P436" s="58"/>
      <c r="Q436" s="13" t="e">
        <v>#N/A</v>
      </c>
      <c r="R436" s="13" t="e">
        <v>#N/A</v>
      </c>
      <c r="S436" s="13"/>
      <c r="T436" s="62"/>
      <c r="U436" s="13"/>
      <c r="V436" s="13"/>
      <c r="W436" s="13"/>
      <c r="X436" s="58"/>
      <c r="Y436" s="51">
        <f ca="1">Table25[[#This Row],[End Date]]+2-TODAY()</f>
        <v>-46242</v>
      </c>
      <c r="Z436" s="13">
        <f>IF(ISBLANK(Table25[[#This Row],[Roster Received By]]),1,0)</f>
        <v>1</v>
      </c>
      <c r="AA436" s="13">
        <f ca="1">IF(Table25[[#This Row],[Start Date]]&gt;TODAY(),1,)</f>
        <v>0</v>
      </c>
    </row>
    <row r="437" spans="1:27" s="46" customFormat="1" hidden="1" x14ac:dyDescent="0.25">
      <c r="B437" s="58"/>
      <c r="C437" s="59" t="e">
        <v>#N/A</v>
      </c>
      <c r="D437" s="59" t="e">
        <v>#N/A</v>
      </c>
      <c r="E437" s="58"/>
      <c r="F437" s="61"/>
      <c r="G437" s="61"/>
      <c r="H437" s="64"/>
      <c r="I437" s="64"/>
      <c r="J437" s="61"/>
      <c r="K437" s="61"/>
      <c r="L437" s="61"/>
      <c r="M437" s="61"/>
      <c r="N437" s="61"/>
      <c r="O437" s="58"/>
      <c r="P437" s="58"/>
      <c r="Q437" s="13" t="e">
        <v>#N/A</v>
      </c>
      <c r="R437" s="13" t="e">
        <v>#N/A</v>
      </c>
      <c r="S437" s="62"/>
      <c r="T437" s="62"/>
      <c r="U437" s="13"/>
      <c r="V437" s="13"/>
      <c r="W437" s="59"/>
      <c r="X437" s="58"/>
      <c r="Y437" s="68">
        <f ca="1">Table25[[#This Row],[End Date]]+2-TODAY()</f>
        <v>-46242</v>
      </c>
      <c r="Z437" s="13">
        <f>IF(ISBLANK(Table25[[#This Row],[Roster Received By]]),1,0)</f>
        <v>1</v>
      </c>
      <c r="AA437" s="59">
        <f ca="1">IF(Table25[[#This Row],[Start Date]]&gt;TODAY(),1,)</f>
        <v>0</v>
      </c>
    </row>
    <row r="438" spans="1:27" s="46" customFormat="1" hidden="1" x14ac:dyDescent="0.25">
      <c r="B438" s="75"/>
      <c r="C438" s="59" t="e">
        <v>#N/A</v>
      </c>
      <c r="D438" s="59" t="e">
        <v>#N/A</v>
      </c>
      <c r="E438" s="58"/>
      <c r="F438" s="49"/>
      <c r="G438" s="61"/>
      <c r="H438" s="61"/>
      <c r="I438" s="60"/>
      <c r="J438" s="60"/>
      <c r="K438" s="60"/>
      <c r="L438" s="60"/>
      <c r="M438" s="60"/>
      <c r="N438" s="60"/>
      <c r="O438" s="58"/>
      <c r="P438" s="58"/>
      <c r="Q438" s="13" t="e">
        <v>#N/A</v>
      </c>
      <c r="R438" s="13" t="e">
        <v>#N/A</v>
      </c>
      <c r="S438" s="13"/>
      <c r="T438" s="62"/>
      <c r="U438" s="13"/>
      <c r="V438" s="13"/>
      <c r="W438" s="59"/>
      <c r="X438" s="58"/>
      <c r="Y438" s="68">
        <f ca="1">Table25[[#This Row],[End Date]]+2-TODAY()</f>
        <v>-46242</v>
      </c>
      <c r="Z438" s="13">
        <f>IF(ISBLANK(Table25[[#This Row],[Roster Received By]]),1,0)</f>
        <v>1</v>
      </c>
      <c r="AA438" s="59">
        <f ca="1">IF(Table25[[#This Row],[Start Date]]&gt;TODAY(),1,)</f>
        <v>0</v>
      </c>
    </row>
    <row r="439" spans="1:27" s="46" customFormat="1" hidden="1" x14ac:dyDescent="0.25">
      <c r="A439" s="58"/>
      <c r="B439" s="75"/>
      <c r="C439" s="59" t="e">
        <v>#N/A</v>
      </c>
      <c r="D439" s="59" t="e">
        <v>#N/A</v>
      </c>
      <c r="E439" s="58"/>
      <c r="F439" s="61"/>
      <c r="G439" s="61"/>
      <c r="H439" s="64"/>
      <c r="I439" s="64"/>
      <c r="J439" s="61"/>
      <c r="K439" s="61"/>
      <c r="L439" s="61"/>
      <c r="M439" s="61"/>
      <c r="N439" s="61"/>
      <c r="O439" s="58"/>
      <c r="P439" s="58"/>
      <c r="Q439" s="13" t="e">
        <v>#N/A</v>
      </c>
      <c r="R439" s="13" t="e">
        <v>#N/A</v>
      </c>
      <c r="S439" s="13"/>
      <c r="T439" s="62"/>
      <c r="U439" s="13"/>
      <c r="V439" s="13"/>
      <c r="W439" s="59"/>
      <c r="X439" s="58"/>
      <c r="Y439" s="68">
        <f ca="1">Table25[[#This Row],[End Date]]+2-TODAY()</f>
        <v>-46242</v>
      </c>
      <c r="Z439" s="13">
        <f>IF(ISBLANK(Table25[[#This Row],[Roster Received By]]),1,0)</f>
        <v>1</v>
      </c>
      <c r="AA439" s="59">
        <f ca="1">IF(Table25[[#This Row],[Start Date]]&gt;TODAY(),1,)</f>
        <v>0</v>
      </c>
    </row>
    <row r="440" spans="1:27" s="46" customFormat="1" hidden="1" x14ac:dyDescent="0.25">
      <c r="B440" s="75"/>
      <c r="C440" s="59" t="e">
        <v>#N/A</v>
      </c>
      <c r="D440" s="59" t="e">
        <v>#N/A</v>
      </c>
      <c r="E440" s="58"/>
      <c r="F440" s="61"/>
      <c r="G440" s="61"/>
      <c r="H440" s="64"/>
      <c r="I440" s="64"/>
      <c r="J440" s="61"/>
      <c r="K440" s="61"/>
      <c r="L440" s="61"/>
      <c r="M440" s="61"/>
      <c r="N440" s="61"/>
      <c r="O440" s="58"/>
      <c r="P440" s="58"/>
      <c r="Q440" s="13" t="e">
        <v>#N/A</v>
      </c>
      <c r="R440" s="13" t="e">
        <v>#N/A</v>
      </c>
      <c r="S440" s="62"/>
      <c r="T440" s="62"/>
      <c r="U440" s="13"/>
      <c r="V440" s="13"/>
      <c r="W440" s="59"/>
      <c r="X440" s="58"/>
      <c r="Y440" s="68">
        <f ca="1">Table25[[#This Row],[End Date]]+2-TODAY()</f>
        <v>-46242</v>
      </c>
      <c r="Z440" s="13">
        <f>IF(ISBLANK(Table25[[#This Row],[Roster Received By]]),1,0)</f>
        <v>1</v>
      </c>
      <c r="AA440" s="59">
        <f ca="1">IF(Table25[[#This Row],[Start Date]]&gt;TODAY(),1,)</f>
        <v>0</v>
      </c>
    </row>
    <row r="441" spans="1:27" s="46" customFormat="1" hidden="1" x14ac:dyDescent="0.25">
      <c r="B441" s="58"/>
      <c r="C441" s="59" t="e">
        <v>#N/A</v>
      </c>
      <c r="D441" s="59" t="e">
        <v>#N/A</v>
      </c>
      <c r="E441" s="58"/>
      <c r="F441" s="61"/>
      <c r="G441" s="61"/>
      <c r="H441" s="61"/>
      <c r="I441" s="60"/>
      <c r="J441" s="60"/>
      <c r="K441" s="60"/>
      <c r="L441" s="60"/>
      <c r="M441" s="60"/>
      <c r="N441" s="60"/>
      <c r="O441" s="58"/>
      <c r="P441" s="58"/>
      <c r="Q441" s="13" t="e">
        <v>#N/A</v>
      </c>
      <c r="R441" s="13" t="e">
        <v>#N/A</v>
      </c>
      <c r="S441" s="13"/>
      <c r="T441" s="62"/>
      <c r="U441" s="13"/>
      <c r="V441" s="13"/>
      <c r="W441" s="59"/>
      <c r="X441" s="58"/>
      <c r="Y441" s="68">
        <f ca="1">Table25[[#This Row],[End Date]]+2-TODAY()</f>
        <v>-46242</v>
      </c>
      <c r="Z441" s="13">
        <f>IF(ISBLANK(Table25[[#This Row],[Roster Received By]]),1,0)</f>
        <v>1</v>
      </c>
      <c r="AA441" s="59">
        <f ca="1">IF(Table25[[#This Row],[Start Date]]&gt;TODAY(),1,)</f>
        <v>0</v>
      </c>
    </row>
    <row r="442" spans="1:27" s="46" customFormat="1" hidden="1" x14ac:dyDescent="0.25">
      <c r="B442" s="75"/>
      <c r="C442" s="59" t="e">
        <v>#N/A</v>
      </c>
      <c r="D442" s="59" t="e">
        <v>#N/A</v>
      </c>
      <c r="E442" s="58"/>
      <c r="F442" s="61"/>
      <c r="G442" s="61"/>
      <c r="H442" s="61"/>
      <c r="I442" s="60"/>
      <c r="J442" s="60"/>
      <c r="K442" s="60"/>
      <c r="L442" s="60"/>
      <c r="M442" s="60"/>
      <c r="N442" s="60"/>
      <c r="O442" s="58"/>
      <c r="P442" s="58"/>
      <c r="Q442" s="13" t="e">
        <v>#N/A</v>
      </c>
      <c r="R442" s="13" t="e">
        <v>#N/A</v>
      </c>
      <c r="S442" s="13"/>
      <c r="T442" s="62"/>
      <c r="U442" s="13"/>
      <c r="V442" s="13"/>
      <c r="W442" s="59"/>
      <c r="X442" s="58"/>
      <c r="Y442" s="68">
        <f ca="1">Table25[[#This Row],[End Date]]+2-TODAY()</f>
        <v>-46242</v>
      </c>
      <c r="Z442" s="13">
        <f>IF(ISBLANK(Table25[[#This Row],[Roster Received By]]),1,0)</f>
        <v>1</v>
      </c>
      <c r="AA442" s="59">
        <f ca="1">IF(Table25[[#This Row],[Start Date]]&gt;TODAY(),1,)</f>
        <v>0</v>
      </c>
    </row>
    <row r="443" spans="1:27" s="46" customFormat="1" hidden="1" x14ac:dyDescent="0.25">
      <c r="B443" s="58"/>
      <c r="C443" s="59" t="e">
        <v>#N/A</v>
      </c>
      <c r="D443" s="59" t="e">
        <v>#N/A</v>
      </c>
      <c r="E443" s="58"/>
      <c r="F443" s="61"/>
      <c r="G443" s="61"/>
      <c r="H443" s="64"/>
      <c r="I443" s="64"/>
      <c r="J443" s="61"/>
      <c r="K443" s="61"/>
      <c r="L443" s="61"/>
      <c r="M443" s="61"/>
      <c r="N443" s="61"/>
      <c r="O443" s="58"/>
      <c r="P443" s="58"/>
      <c r="Q443" s="13" t="e">
        <v>#N/A</v>
      </c>
      <c r="R443" s="13" t="e">
        <v>#N/A</v>
      </c>
      <c r="S443" s="13"/>
      <c r="T443" s="62"/>
      <c r="U443" s="13"/>
      <c r="V443" s="13"/>
      <c r="W443" s="13"/>
      <c r="X443" s="58"/>
      <c r="Y443" s="51">
        <f ca="1">Table25[[#This Row],[End Date]]+2-TODAY()</f>
        <v>-46242</v>
      </c>
      <c r="Z443" s="13">
        <f>IF(ISBLANK(Table25[[#This Row],[Roster Received By]]),1,0)</f>
        <v>1</v>
      </c>
      <c r="AA443" s="13">
        <f ca="1">IF(Table25[[#This Row],[Start Date]]&gt;TODAY(),1,)</f>
        <v>0</v>
      </c>
    </row>
    <row r="444" spans="1:27" s="46" customFormat="1" hidden="1" x14ac:dyDescent="0.25">
      <c r="A444" s="58"/>
      <c r="B444" s="75"/>
      <c r="C444" s="59" t="e">
        <v>#N/A</v>
      </c>
      <c r="D444" s="59" t="e">
        <v>#N/A</v>
      </c>
      <c r="E444" s="58"/>
      <c r="F444" s="49"/>
      <c r="G444" s="49"/>
      <c r="H444" s="49"/>
      <c r="I444" s="60"/>
      <c r="J444" s="60"/>
      <c r="K444" s="60"/>
      <c r="L444" s="60"/>
      <c r="M444" s="60"/>
      <c r="N444" s="60"/>
      <c r="O444" s="58"/>
      <c r="P444" s="58"/>
      <c r="Q444" s="13" t="e">
        <v>#N/A</v>
      </c>
      <c r="R444" s="13" t="e">
        <v>#N/A</v>
      </c>
      <c r="S444" s="13"/>
      <c r="T444" s="62"/>
      <c r="U444" s="13"/>
      <c r="V444" s="13"/>
      <c r="W444" s="59"/>
      <c r="X444" s="58"/>
      <c r="Y444" s="68">
        <f ca="1">Table25[[#This Row],[End Date]]+2-TODAY()</f>
        <v>-46242</v>
      </c>
      <c r="Z444" s="13">
        <f>IF(ISBLANK(Table25[[#This Row],[Roster Received By]]),1,0)</f>
        <v>1</v>
      </c>
      <c r="AA444" s="59">
        <f ca="1">IF(Table25[[#This Row],[Start Date]]&gt;TODAY(),1,)</f>
        <v>0</v>
      </c>
    </row>
    <row r="445" spans="1:27" s="46" customFormat="1" hidden="1" x14ac:dyDescent="0.25">
      <c r="B445" s="58"/>
      <c r="C445" s="59" t="e">
        <v>#N/A</v>
      </c>
      <c r="D445" s="59" t="e">
        <v>#N/A</v>
      </c>
      <c r="E445" s="58"/>
      <c r="F445" s="61"/>
      <c r="G445" s="61"/>
      <c r="H445" s="61"/>
      <c r="I445" s="60"/>
      <c r="J445" s="60"/>
      <c r="K445" s="60"/>
      <c r="L445" s="60"/>
      <c r="M445" s="60"/>
      <c r="N445" s="60"/>
      <c r="O445" s="58"/>
      <c r="P445" s="58"/>
      <c r="Q445" s="13" t="e">
        <v>#N/A</v>
      </c>
      <c r="R445" s="13" t="e">
        <v>#N/A</v>
      </c>
      <c r="S445" s="13"/>
      <c r="T445" s="62"/>
      <c r="U445" s="13"/>
      <c r="V445" s="13"/>
      <c r="W445" s="59"/>
      <c r="X445" s="58"/>
      <c r="Y445" s="68">
        <f ca="1">Table25[[#This Row],[End Date]]+2-TODAY()</f>
        <v>-46242</v>
      </c>
      <c r="Z445" s="13">
        <f>IF(ISBLANK(Table25[[#This Row],[Roster Received By]]),1,0)</f>
        <v>1</v>
      </c>
      <c r="AA445" s="59">
        <f ca="1">IF(Table25[[#This Row],[Start Date]]&gt;TODAY(),1,)</f>
        <v>0</v>
      </c>
    </row>
    <row r="446" spans="1:27" s="46" customFormat="1" hidden="1" x14ac:dyDescent="0.25">
      <c r="B446" s="58"/>
      <c r="C446" s="59" t="e">
        <v>#N/A</v>
      </c>
      <c r="D446" s="59" t="e">
        <v>#N/A</v>
      </c>
      <c r="E446" s="58"/>
      <c r="F446" s="61"/>
      <c r="G446" s="61"/>
      <c r="H446" s="61"/>
      <c r="I446" s="60"/>
      <c r="J446" s="60"/>
      <c r="K446" s="60"/>
      <c r="L446" s="60"/>
      <c r="M446" s="60"/>
      <c r="N446" s="60"/>
      <c r="O446" s="58"/>
      <c r="P446" s="58"/>
      <c r="Q446" s="13" t="e">
        <v>#N/A</v>
      </c>
      <c r="R446" s="13" t="e">
        <v>#N/A</v>
      </c>
      <c r="S446" s="13"/>
      <c r="T446" s="62"/>
      <c r="U446" s="13"/>
      <c r="V446" s="13"/>
      <c r="W446" s="59"/>
      <c r="X446" s="58"/>
      <c r="Y446" s="68">
        <f ca="1">Table25[[#This Row],[End Date]]+2-TODAY()</f>
        <v>-46242</v>
      </c>
      <c r="Z446" s="13">
        <f>IF(ISBLANK(Table25[[#This Row],[Roster Received By]]),1,0)</f>
        <v>1</v>
      </c>
      <c r="AA446" s="59">
        <f ca="1">IF(Table25[[#This Row],[Start Date]]&gt;TODAY(),1,)</f>
        <v>0</v>
      </c>
    </row>
    <row r="447" spans="1:27" s="46" customFormat="1" hidden="1" x14ac:dyDescent="0.25">
      <c r="B447" s="58"/>
      <c r="C447" s="59" t="e">
        <v>#N/A</v>
      </c>
      <c r="D447" s="59" t="e">
        <v>#N/A</v>
      </c>
      <c r="E447" s="58"/>
      <c r="F447" s="61"/>
      <c r="G447" s="61"/>
      <c r="H447" s="61"/>
      <c r="I447" s="60"/>
      <c r="J447" s="60"/>
      <c r="K447" s="60"/>
      <c r="L447" s="60"/>
      <c r="M447" s="60"/>
      <c r="N447" s="60"/>
      <c r="O447" s="58"/>
      <c r="P447" s="58"/>
      <c r="Q447" s="13" t="e">
        <v>#N/A</v>
      </c>
      <c r="R447" s="13" t="e">
        <v>#N/A</v>
      </c>
      <c r="S447" s="13"/>
      <c r="T447" s="62"/>
      <c r="U447" s="13"/>
      <c r="V447" s="13"/>
      <c r="W447" s="59"/>
      <c r="X447" s="58"/>
      <c r="Y447" s="68">
        <f ca="1">Table25[[#This Row],[End Date]]+2-TODAY()</f>
        <v>-46242</v>
      </c>
      <c r="Z447" s="13">
        <f>IF(ISBLANK(Table25[[#This Row],[Roster Received By]]),1,0)</f>
        <v>1</v>
      </c>
      <c r="AA447" s="59">
        <f ca="1">IF(Table25[[#This Row],[Start Date]]&gt;TODAY(),1,)</f>
        <v>0</v>
      </c>
    </row>
    <row r="448" spans="1:27" s="46" customFormat="1" hidden="1" x14ac:dyDescent="0.25">
      <c r="A448" s="101"/>
      <c r="B448" s="58"/>
      <c r="C448" s="59" t="e">
        <v>#N/A</v>
      </c>
      <c r="D448" s="59" t="e">
        <v>#N/A</v>
      </c>
      <c r="E448" s="58"/>
      <c r="F448" s="61"/>
      <c r="G448" s="61"/>
      <c r="H448" s="64"/>
      <c r="I448" s="64"/>
      <c r="J448" s="61"/>
      <c r="K448" s="61"/>
      <c r="L448" s="61"/>
      <c r="M448" s="61"/>
      <c r="N448" s="61"/>
      <c r="O448" s="58"/>
      <c r="P448" s="58"/>
      <c r="Q448" s="13" t="e">
        <v>#N/A</v>
      </c>
      <c r="R448" s="13" t="e">
        <v>#N/A</v>
      </c>
      <c r="S448" s="62"/>
      <c r="T448" s="62"/>
      <c r="U448" s="13"/>
      <c r="V448" s="13"/>
      <c r="W448" s="59"/>
      <c r="X448" s="58"/>
      <c r="Y448" s="68">
        <f ca="1">Table25[[#This Row],[End Date]]+2-TODAY()</f>
        <v>-46242</v>
      </c>
      <c r="Z448" s="13">
        <f>IF(ISBLANK(Table25[[#This Row],[Roster Received By]]),1,0)</f>
        <v>1</v>
      </c>
      <c r="AA448" s="59">
        <f ca="1">IF(Table25[[#This Row],[Start Date]]&gt;TODAY(),1,)</f>
        <v>0</v>
      </c>
    </row>
    <row r="449" spans="1:27" s="46" customFormat="1" hidden="1" x14ac:dyDescent="0.25">
      <c r="B449" s="58"/>
      <c r="C449" s="59" t="e">
        <v>#N/A</v>
      </c>
      <c r="D449" s="59" t="e">
        <v>#N/A</v>
      </c>
      <c r="E449" s="58"/>
      <c r="F449" s="61"/>
      <c r="G449" s="61"/>
      <c r="H449" s="61"/>
      <c r="I449" s="60"/>
      <c r="J449" s="60"/>
      <c r="K449" s="60"/>
      <c r="L449" s="60"/>
      <c r="M449" s="60"/>
      <c r="N449" s="60"/>
      <c r="O449" s="58"/>
      <c r="P449" s="58"/>
      <c r="Q449" s="13" t="e">
        <v>#N/A</v>
      </c>
      <c r="R449" s="13" t="e">
        <v>#N/A</v>
      </c>
      <c r="S449" s="13"/>
      <c r="T449" s="62"/>
      <c r="U449" s="13"/>
      <c r="V449" s="13"/>
      <c r="W449" s="59"/>
      <c r="X449" s="58"/>
      <c r="Y449" s="68">
        <f ca="1">Table25[[#This Row],[End Date]]+2-TODAY()</f>
        <v>-46242</v>
      </c>
      <c r="Z449" s="13">
        <f>IF(ISBLANK(Table25[[#This Row],[Roster Received By]]),1,0)</f>
        <v>1</v>
      </c>
      <c r="AA449" s="59">
        <f ca="1">IF(Table25[[#This Row],[Start Date]]&gt;TODAY(),1,)</f>
        <v>0</v>
      </c>
    </row>
    <row r="450" spans="1:27" s="46" customFormat="1" hidden="1" x14ac:dyDescent="0.25">
      <c r="A450" s="58"/>
      <c r="B450" s="58"/>
      <c r="C450" s="59" t="e">
        <v>#N/A</v>
      </c>
      <c r="D450" s="59" t="e">
        <v>#N/A</v>
      </c>
      <c r="E450" s="58"/>
      <c r="F450" s="61"/>
      <c r="G450" s="61"/>
      <c r="H450" s="61"/>
      <c r="I450" s="60"/>
      <c r="J450" s="60"/>
      <c r="K450" s="60"/>
      <c r="L450" s="60"/>
      <c r="M450" s="60"/>
      <c r="N450" s="60"/>
      <c r="O450" s="58"/>
      <c r="P450" s="58"/>
      <c r="Q450" s="13" t="e">
        <v>#N/A</v>
      </c>
      <c r="R450" s="13" t="e">
        <v>#N/A</v>
      </c>
      <c r="S450" s="13"/>
      <c r="T450" s="62"/>
      <c r="U450" s="13"/>
      <c r="V450" s="13"/>
      <c r="W450" s="59"/>
      <c r="X450" s="58"/>
      <c r="Y450" s="68">
        <f ca="1">Table25[[#This Row],[End Date]]+2-TODAY()</f>
        <v>-46242</v>
      </c>
      <c r="Z450" s="13">
        <f>IF(ISBLANK(Table25[[#This Row],[Roster Received By]]),1,0)</f>
        <v>1</v>
      </c>
      <c r="AA450" s="59">
        <f ca="1">IF(Table25[[#This Row],[Start Date]]&gt;TODAY(),1,)</f>
        <v>0</v>
      </c>
    </row>
    <row r="451" spans="1:27" s="46" customFormat="1" hidden="1" x14ac:dyDescent="0.25">
      <c r="B451" s="58"/>
      <c r="C451" s="59" t="e">
        <v>#N/A</v>
      </c>
      <c r="D451" s="59" t="e">
        <v>#N/A</v>
      </c>
      <c r="E451" s="58"/>
      <c r="F451" s="61"/>
      <c r="G451" s="61"/>
      <c r="H451" s="64"/>
      <c r="I451" s="64"/>
      <c r="J451" s="61"/>
      <c r="K451" s="61"/>
      <c r="L451" s="61"/>
      <c r="M451" s="61"/>
      <c r="N451" s="61"/>
      <c r="O451" s="58"/>
      <c r="P451" s="58"/>
      <c r="Q451" s="13" t="e">
        <v>#N/A</v>
      </c>
      <c r="R451" s="13" t="e">
        <v>#N/A</v>
      </c>
      <c r="S451" s="62"/>
      <c r="T451" s="62"/>
      <c r="U451" s="13"/>
      <c r="V451" s="13"/>
      <c r="W451" s="59"/>
      <c r="X451" s="58"/>
      <c r="Y451" s="68">
        <f ca="1">Table25[[#This Row],[End Date]]+2-TODAY()</f>
        <v>-46242</v>
      </c>
      <c r="Z451" s="13">
        <f>IF(ISBLANK(Table25[[#This Row],[Roster Received By]]),1,0)</f>
        <v>1</v>
      </c>
      <c r="AA451" s="59">
        <f ca="1">IF(Table25[[#This Row],[Start Date]]&gt;TODAY(),1,)</f>
        <v>0</v>
      </c>
    </row>
    <row r="452" spans="1:27" s="46" customFormat="1" hidden="1" x14ac:dyDescent="0.25">
      <c r="B452" s="58"/>
      <c r="C452" s="59" t="e">
        <v>#N/A</v>
      </c>
      <c r="D452" s="59" t="e">
        <v>#N/A</v>
      </c>
      <c r="E452" s="58"/>
      <c r="F452" s="61"/>
      <c r="G452" s="61"/>
      <c r="H452" s="64"/>
      <c r="I452" s="64"/>
      <c r="J452" s="61"/>
      <c r="K452" s="61"/>
      <c r="L452" s="61"/>
      <c r="M452" s="61"/>
      <c r="N452" s="61"/>
      <c r="O452" s="58"/>
      <c r="P452" s="58"/>
      <c r="Q452" s="13" t="e">
        <v>#N/A</v>
      </c>
      <c r="R452" s="13" t="e">
        <v>#N/A</v>
      </c>
      <c r="S452" s="13"/>
      <c r="T452" s="62"/>
      <c r="U452" s="13"/>
      <c r="V452" s="13"/>
      <c r="W452" s="59"/>
      <c r="X452" s="58"/>
      <c r="Y452" s="68">
        <f ca="1">Table25[[#This Row],[End Date]]+2-TODAY()</f>
        <v>-46242</v>
      </c>
      <c r="Z452" s="13">
        <f>IF(ISBLANK(Table25[[#This Row],[Roster Received By]]),1,0)</f>
        <v>1</v>
      </c>
      <c r="AA452" s="59">
        <f ca="1">IF(Table25[[#This Row],[Start Date]]&gt;TODAY(),1,)</f>
        <v>0</v>
      </c>
    </row>
    <row r="453" spans="1:27" s="46" customFormat="1" hidden="1" x14ac:dyDescent="0.25">
      <c r="B453" s="58"/>
      <c r="C453" s="59" t="e">
        <v>#N/A</v>
      </c>
      <c r="D453" s="59" t="e">
        <v>#N/A</v>
      </c>
      <c r="E453" s="58"/>
      <c r="F453" s="61"/>
      <c r="G453" s="61"/>
      <c r="H453" s="64"/>
      <c r="I453" s="64"/>
      <c r="J453" s="61"/>
      <c r="K453" s="61"/>
      <c r="L453" s="61"/>
      <c r="M453" s="61"/>
      <c r="N453" s="61"/>
      <c r="O453" s="58"/>
      <c r="P453" s="58"/>
      <c r="Q453" s="13" t="e">
        <v>#N/A</v>
      </c>
      <c r="R453" s="13" t="e">
        <v>#N/A</v>
      </c>
      <c r="S453" s="62"/>
      <c r="T453" s="62"/>
      <c r="U453" s="13"/>
      <c r="V453" s="13"/>
      <c r="W453" s="59"/>
      <c r="X453" s="58"/>
      <c r="Y453" s="68">
        <f ca="1">Table25[[#This Row],[End Date]]+2-TODAY()</f>
        <v>-46242</v>
      </c>
      <c r="Z453" s="13">
        <f>IF(ISBLANK(Table25[[#This Row],[Roster Received By]]),1,0)</f>
        <v>1</v>
      </c>
      <c r="AA453" s="59">
        <f ca="1">IF(Table25[[#This Row],[Start Date]]&gt;TODAY(),1,)</f>
        <v>0</v>
      </c>
    </row>
    <row r="454" spans="1:27" s="46" customFormat="1" hidden="1" x14ac:dyDescent="0.25">
      <c r="B454" s="58"/>
      <c r="C454" s="59" t="e">
        <v>#N/A</v>
      </c>
      <c r="D454" s="59" t="e">
        <v>#N/A</v>
      </c>
      <c r="E454" s="58"/>
      <c r="F454" s="61"/>
      <c r="G454" s="61"/>
      <c r="H454" s="64"/>
      <c r="I454" s="64"/>
      <c r="J454" s="61"/>
      <c r="K454" s="61"/>
      <c r="L454" s="61"/>
      <c r="M454" s="61"/>
      <c r="N454" s="61"/>
      <c r="O454" s="58"/>
      <c r="P454" s="58"/>
      <c r="Q454" s="13" t="e">
        <v>#N/A</v>
      </c>
      <c r="R454" s="13" t="e">
        <v>#N/A</v>
      </c>
      <c r="S454" s="13"/>
      <c r="T454" s="62"/>
      <c r="U454" s="13"/>
      <c r="V454" s="13"/>
      <c r="W454" s="13"/>
      <c r="X454" s="58"/>
      <c r="Y454" s="51">
        <f ca="1">Table25[[#This Row],[End Date]]+2-TODAY()</f>
        <v>-46242</v>
      </c>
      <c r="Z454" s="13">
        <f>IF(ISBLANK(Table25[[#This Row],[Roster Received By]]),1,0)</f>
        <v>1</v>
      </c>
      <c r="AA454" s="13">
        <f ca="1">IF(Table25[[#This Row],[Start Date]]&gt;TODAY(),1,)</f>
        <v>0</v>
      </c>
    </row>
    <row r="455" spans="1:27" s="46" customFormat="1" hidden="1" x14ac:dyDescent="0.25">
      <c r="B455" s="58"/>
      <c r="C455" s="59" t="e">
        <v>#N/A</v>
      </c>
      <c r="D455" s="59" t="e">
        <v>#N/A</v>
      </c>
      <c r="E455" s="58"/>
      <c r="F455" s="61"/>
      <c r="G455" s="61"/>
      <c r="H455" s="64"/>
      <c r="I455" s="64"/>
      <c r="J455" s="61"/>
      <c r="K455" s="61"/>
      <c r="L455" s="61"/>
      <c r="M455" s="61"/>
      <c r="N455" s="61"/>
      <c r="O455" s="58"/>
      <c r="P455" s="58"/>
      <c r="Q455" s="13" t="e">
        <v>#N/A</v>
      </c>
      <c r="R455" s="13" t="e">
        <v>#N/A</v>
      </c>
      <c r="S455" s="13"/>
      <c r="T455" s="62"/>
      <c r="U455" s="13"/>
      <c r="V455" s="13"/>
      <c r="W455" s="59"/>
      <c r="X455" s="58"/>
      <c r="Y455" s="68">
        <f ca="1">Table25[[#This Row],[End Date]]+2-TODAY()</f>
        <v>-46242</v>
      </c>
      <c r="Z455" s="13">
        <f>IF(ISBLANK(Table25[[#This Row],[Roster Received By]]),1,0)</f>
        <v>1</v>
      </c>
      <c r="AA455" s="59">
        <f ca="1">IF(Table25[[#This Row],[Start Date]]&gt;TODAY(),1,)</f>
        <v>0</v>
      </c>
    </row>
    <row r="456" spans="1:27" s="46" customFormat="1" hidden="1" x14ac:dyDescent="0.25">
      <c r="B456" s="58"/>
      <c r="C456" s="59" t="e">
        <v>#N/A</v>
      </c>
      <c r="D456" s="59" t="e">
        <v>#N/A</v>
      </c>
      <c r="E456" s="47"/>
      <c r="F456" s="61"/>
      <c r="G456" s="61"/>
      <c r="H456" s="64"/>
      <c r="I456" s="64"/>
      <c r="J456" s="61"/>
      <c r="K456" s="61"/>
      <c r="L456" s="61"/>
      <c r="M456" s="61"/>
      <c r="N456" s="61"/>
      <c r="O456" s="58"/>
      <c r="P456" s="58"/>
      <c r="Q456" s="13" t="e">
        <v>#N/A</v>
      </c>
      <c r="R456" s="13" t="e">
        <v>#N/A</v>
      </c>
      <c r="S456" s="13"/>
      <c r="T456" s="62"/>
      <c r="U456" s="13"/>
      <c r="V456" s="13"/>
      <c r="W456" s="59"/>
      <c r="X456" s="58"/>
      <c r="Y456" s="68">
        <f ca="1">Table25[[#This Row],[End Date]]+2-TODAY()</f>
        <v>-46242</v>
      </c>
      <c r="Z456" s="13">
        <f>IF(ISBLANK(Table25[[#This Row],[Roster Received By]]),1,0)</f>
        <v>1</v>
      </c>
      <c r="AA456" s="59">
        <f ca="1">IF(Table25[[#This Row],[Start Date]]&gt;TODAY(),1,)</f>
        <v>0</v>
      </c>
    </row>
    <row r="457" spans="1:27" s="46" customFormat="1" hidden="1" x14ac:dyDescent="0.25">
      <c r="B457" s="58"/>
      <c r="C457" s="59" t="e">
        <v>#N/A</v>
      </c>
      <c r="D457" s="59" t="e">
        <v>#N/A</v>
      </c>
      <c r="E457" s="58"/>
      <c r="F457" s="61"/>
      <c r="G457" s="61"/>
      <c r="H457" s="64"/>
      <c r="I457" s="64"/>
      <c r="J457" s="61"/>
      <c r="K457" s="61"/>
      <c r="L457" s="61"/>
      <c r="M457" s="61"/>
      <c r="N457" s="61"/>
      <c r="O457" s="58"/>
      <c r="P457" s="58"/>
      <c r="Q457" s="13" t="e">
        <v>#N/A</v>
      </c>
      <c r="R457" s="13" t="e">
        <v>#N/A</v>
      </c>
      <c r="S457" s="62"/>
      <c r="T457" s="62"/>
      <c r="U457" s="13"/>
      <c r="V457" s="13"/>
      <c r="W457" s="59"/>
      <c r="X457" s="58"/>
      <c r="Y457" s="68">
        <f ca="1">Table25[[#This Row],[End Date]]+2-TODAY()</f>
        <v>-46242</v>
      </c>
      <c r="Z457" s="13">
        <f>IF(ISBLANK(Table25[[#This Row],[Roster Received By]]),1,0)</f>
        <v>1</v>
      </c>
      <c r="AA457" s="59">
        <f ca="1">IF(Table25[[#This Row],[Start Date]]&gt;TODAY(),1,)</f>
        <v>0</v>
      </c>
    </row>
    <row r="458" spans="1:27" s="46" customFormat="1" ht="15.75" hidden="1" thickBot="1" x14ac:dyDescent="0.3">
      <c r="A458" s="102"/>
      <c r="B458" s="102"/>
      <c r="C458" s="103" t="e">
        <v>#N/A</v>
      </c>
      <c r="D458" s="103" t="e">
        <v>#N/A</v>
      </c>
      <c r="E458" s="58"/>
      <c r="F458" s="61"/>
      <c r="G458" s="61"/>
      <c r="H458" s="64"/>
      <c r="I458" s="64"/>
      <c r="J458" s="104"/>
      <c r="K458" s="104"/>
      <c r="L458" s="104"/>
      <c r="M458" s="104"/>
      <c r="N458" s="104"/>
      <c r="O458" s="58"/>
      <c r="P458" s="58"/>
      <c r="Q458" s="13" t="e">
        <v>#N/A</v>
      </c>
      <c r="R458" s="13" t="e">
        <v>#N/A</v>
      </c>
      <c r="S458" s="105"/>
      <c r="T458" s="62"/>
      <c r="U458" s="13"/>
      <c r="V458" s="13"/>
      <c r="W458" s="13"/>
      <c r="X458" s="58"/>
      <c r="Y458" s="51">
        <f ca="1">Table25[[#This Row],[End Date]]+2-TODAY()</f>
        <v>-46242</v>
      </c>
      <c r="Z458" s="13">
        <f>IF(ISBLANK(Table25[[#This Row],[Roster Received By]]),1,0)</f>
        <v>1</v>
      </c>
      <c r="AA458" s="13">
        <f ca="1">IF(Table25[[#This Row],[Start Date]]&gt;TODAY(),1,)</f>
        <v>0</v>
      </c>
    </row>
    <row r="459" spans="1:27" x14ac:dyDescent="0.25">
      <c r="A459" s="128" t="s">
        <v>243</v>
      </c>
      <c r="B459" s="128">
        <f>SUBTOTAL(103,Table25[Course Title])</f>
        <v>27</v>
      </c>
      <c r="C459" s="128"/>
      <c r="D459" s="128"/>
      <c r="E459" s="128"/>
      <c r="F459" s="129"/>
      <c r="G459" s="129"/>
      <c r="H459" s="128"/>
      <c r="I459" s="128"/>
      <c r="J459" s="128"/>
      <c r="K459" s="128"/>
      <c r="L459" s="128"/>
      <c r="M459" s="128"/>
      <c r="N459" s="128"/>
      <c r="O459" s="128"/>
      <c r="P459" s="128"/>
      <c r="Q459" s="130">
        <f>SUBTOTAL(109,Q4:Q458)</f>
        <v>810</v>
      </c>
      <c r="R459" s="130">
        <f>SUBTOTAL(109,Table25[Course Length (Days)])</f>
        <v>135</v>
      </c>
      <c r="S459" s="130">
        <f>SUBTOTAL(109,S4:S458)</f>
        <v>0</v>
      </c>
      <c r="T459" s="130">
        <f t="shared" ref="T459:W459" si="0">SUBTOTAL(109,T4:T458)</f>
        <v>0</v>
      </c>
      <c r="U459" s="130">
        <f t="shared" si="0"/>
        <v>0</v>
      </c>
      <c r="V459" s="130">
        <f t="shared" si="0"/>
        <v>0</v>
      </c>
      <c r="W459" s="130">
        <f t="shared" si="0"/>
        <v>0</v>
      </c>
      <c r="X459" s="128">
        <f>SUBTOTAL(103,Table25[Roster Received By])</f>
        <v>0</v>
      </c>
      <c r="Y459" s="131"/>
      <c r="Z459" s="128"/>
      <c r="AA459" s="128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13:D181 C4:D112" name="CIN CDP_1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4">
    <cfRule type="expression" dxfId="1413" priority="27">
      <formula>$T14="McQueen, Jennifer"</formula>
    </cfRule>
    <cfRule type="expression" dxfId="1412" priority="25">
      <formula>$T14="Benzick, Sue"</formula>
    </cfRule>
    <cfRule type="expression" dxfId="1411" priority="26">
      <formula>$T14="Jenne, Richard"</formula>
    </cfRule>
  </conditionalFormatting>
  <conditionalFormatting sqref="A5:B8 A9:A10 A34:A35 A36:B36 A37 A38:B39 J39:N44 A41:A43 F41:G44 A44:B54 E45:G45 F46:G46 E47:G48 F49:G50 J51:N51 F51:F52 E53:F53 J53:N53 E54:H54 A55:A57 E58 E59:F63 A59:A67 F64 E65:F66 A69:A71 B70 J75:N75 A76:A77 B86 A86:A87 A110:B110 A114 A124:A128 A130:A136 A138:A140 J142:N142 A142:A150 J144:N145 E147:E151 J149:N149 B150:B151 A152:A171 B153:B155 B157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1410" priority="212">
      <formula>$T5="Jenne, Richard"</formula>
    </cfRule>
    <cfRule type="expression" dxfId="1409" priority="213">
      <formula>$T5="McQueen, Jennifer"</formula>
    </cfRule>
    <cfRule type="expression" dxfId="1408" priority="211">
      <formula>$T5="Benzick, Sue"</formula>
    </cfRule>
  </conditionalFormatting>
  <conditionalFormatting sqref="A182:B182">
    <cfRule type="expression" dxfId="1407" priority="43">
      <formula>$T182="Benzick, Sue"</formula>
    </cfRule>
    <cfRule type="expression" dxfId="1406" priority="44">
      <formula>$T182="Jenne, Richard"</formula>
    </cfRule>
    <cfRule type="expression" dxfId="1405" priority="45">
      <formula>$T182="McQueen, Jennifer"</formula>
    </cfRule>
  </conditionalFormatting>
  <conditionalFormatting sqref="B95">
    <cfRule type="expression" dxfId="1404" priority="22">
      <formula>$T95="Benzick, Sue"</formula>
    </cfRule>
    <cfRule type="expression" dxfId="1403" priority="23">
      <formula>$T95="Jenne, Richard"</formula>
    </cfRule>
    <cfRule type="expression" dxfId="1402" priority="24">
      <formula>$T95="McQueen, Jennifer"</formula>
    </cfRule>
  </conditionalFormatting>
  <conditionalFormatting sqref="E154">
    <cfRule type="expression" dxfId="1401" priority="52">
      <formula>#REF!="Benzick, Sue"</formula>
    </cfRule>
    <cfRule type="expression" dxfId="1400" priority="53">
      <formula>#REF!="Jenne, Richard"</formula>
    </cfRule>
    <cfRule type="expression" dxfId="1399" priority="54">
      <formula>#REF!="McQueen, Jennifer"</formula>
    </cfRule>
  </conditionalFormatting>
  <conditionalFormatting sqref="E95:F95 F96">
    <cfRule type="expression" dxfId="1398" priority="19">
      <formula>$R95="Benzick, Sue"</formula>
    </cfRule>
    <cfRule type="expression" dxfId="1397" priority="20">
      <formula>$R95="Jenne, Richard"</formula>
    </cfRule>
    <cfRule type="expression" dxfId="1396" priority="21">
      <formula>$R95="McQueen, Jennifer"</formula>
    </cfRule>
  </conditionalFormatting>
  <conditionalFormatting sqref="E98:F98">
    <cfRule type="expression" dxfId="1395" priority="17">
      <formula>$R98="Jenne, Richard"</formula>
    </cfRule>
    <cfRule type="expression" dxfId="1394" priority="18">
      <formula>$R98="McQueen, Jennifer"</formula>
    </cfRule>
    <cfRule type="expression" dxfId="1393" priority="16">
      <formula>$R98="Benzick, Sue"</formula>
    </cfRule>
  </conditionalFormatting>
  <conditionalFormatting sqref="E113:G115 E116:H116 F117:G117">
    <cfRule type="expression" dxfId="1392" priority="200">
      <formula>#REF!="Jenne, Richard"</formula>
    </cfRule>
    <cfRule type="expression" dxfId="1391" priority="199">
      <formula>#REF!="Benzick, Sue"</formula>
    </cfRule>
    <cfRule type="expression" dxfId="1390" priority="201">
      <formula>#REF!="McQueen, Jennifer"</formula>
    </cfRule>
  </conditionalFormatting>
  <conditionalFormatting sqref="E121:G122">
    <cfRule type="expression" dxfId="1389" priority="178">
      <formula>#REF!="Benzick, Sue"</formula>
    </cfRule>
    <cfRule type="expression" dxfId="1388" priority="179">
      <formula>#REF!="Jenne, Richard"</formula>
    </cfRule>
    <cfRule type="expression" dxfId="1387" priority="180">
      <formula>#REF!="McQueen, Jennifer"</formula>
    </cfRule>
  </conditionalFormatting>
  <conditionalFormatting sqref="E199:G199 H219:I219 H220 H221:I226 I234 H235:I236 H239:I245 H255:I256 H258:I258 H274:I274 H275 H276:I280 H288:I288">
    <cfRule type="expression" dxfId="1386" priority="189">
      <formula>#REF!="McQueen, Jennifer"</formula>
    </cfRule>
    <cfRule type="expression" dxfId="1385" priority="188">
      <formula>#REF!="Jenne, Richard"</formula>
    </cfRule>
    <cfRule type="expression" dxfId="1384" priority="187">
      <formula>#REF!="Benzick, Sue"</formula>
    </cfRule>
  </conditionalFormatting>
  <conditionalFormatting sqref="E213:G217">
    <cfRule type="expression" dxfId="1383" priority="166">
      <formula>#REF!="Benzick, Sue"</formula>
    </cfRule>
    <cfRule type="expression" dxfId="1382" priority="167">
      <formula>#REF!="Jenne, Richard"</formula>
    </cfRule>
    <cfRule type="expression" dxfId="1381" priority="168">
      <formula>#REF!="McQueen, Jennifer"</formula>
    </cfRule>
  </conditionalFormatting>
  <conditionalFormatting sqref="E445:G445 E458:G458">
    <cfRule type="expression" dxfId="1380" priority="156">
      <formula>#REF!="McQueen, Jennifer"</formula>
    </cfRule>
    <cfRule type="expression" dxfId="1379" priority="154">
      <formula>#REF!="Benzick, Sue"</formula>
    </cfRule>
    <cfRule type="expression" dxfId="1378" priority="155">
      <formula>#REF!="Jenne, Richard"</formula>
    </cfRule>
  </conditionalFormatting>
  <conditionalFormatting sqref="E119:H120">
    <cfRule type="expression" dxfId="1377" priority="197">
      <formula>#REF!="Jenne, Richard"</formula>
    </cfRule>
    <cfRule type="expression" dxfId="1376" priority="196">
      <formula>#REF!="Benzick, Sue"</formula>
    </cfRule>
    <cfRule type="expression" dxfId="1375" priority="198">
      <formula>#REF!="McQueen, Jennifer"</formula>
    </cfRule>
  </conditionalFormatting>
  <conditionalFormatting sqref="E123:H124 E125:G125">
    <cfRule type="expression" dxfId="1374" priority="181">
      <formula>#REF!="Benzick, Sue"</formula>
    </cfRule>
    <cfRule type="expression" dxfId="1373" priority="182">
      <formula>#REF!="Jenne, Richard"</formula>
    </cfRule>
    <cfRule type="expression" dxfId="1372" priority="183">
      <formula>#REF!="McQueen, Jennifer"</formula>
    </cfRule>
  </conditionalFormatting>
  <conditionalFormatting sqref="E126:H126 E130:H130 F131:I131 E132:I132 H133:I135 H138:I145 H147:I147 H149:I149 H154:I154 H161 H162:I162 H165:I165 H167:I168 H170:I170 H172:I174 H177:I177 I184 H185:I186 H187 H191">
    <cfRule type="expression" dxfId="1371" priority="184">
      <formula>#REF!="Benzick, Sue"</formula>
    </cfRule>
    <cfRule type="expression" dxfId="1370" priority="186">
      <formula>#REF!="McQueen, Jennifer"</formula>
    </cfRule>
    <cfRule type="expression" dxfId="1369" priority="185">
      <formula>#REF!="Jenne, Richard"</formula>
    </cfRule>
  </conditionalFormatting>
  <conditionalFormatting sqref="E200:H200 E201:G205 F206:G206 E207:G207 E208:I210 E211:H211 H229:I233 H247:I248 H250:I250 H263:I264 H269:I269 H271:I272 H282:I282 H287:N287">
    <cfRule type="expression" dxfId="1368" priority="174">
      <formula>#REF!="McQueen, Jennifer"</formula>
    </cfRule>
    <cfRule type="expression" dxfId="1367" priority="173">
      <formula>#REF!="Jenne, Richard"</formula>
    </cfRule>
    <cfRule type="expression" dxfId="1366" priority="172">
      <formula>#REF!="Benzick, Sue"</formula>
    </cfRule>
  </conditionalFormatting>
  <conditionalFormatting sqref="E218:H218">
    <cfRule type="expression" dxfId="1365" priority="169">
      <formula>#REF!="Benzick, Sue"</formula>
    </cfRule>
    <cfRule type="expression" dxfId="1364" priority="170">
      <formula>#REF!="Jenne, Richard"</formula>
    </cfRule>
    <cfRule type="expression" dxfId="1363" priority="171">
      <formula>#REF!="McQueen, Jennifer"</formula>
    </cfRule>
  </conditionalFormatting>
  <conditionalFormatting sqref="F153 F159:F160 F163">
    <cfRule type="expression" dxfId="1362" priority="151">
      <formula>$S154="Benzick, Sue"</formula>
    </cfRule>
    <cfRule type="expression" dxfId="1361" priority="153">
      <formula>$S154="McQueen, Jennifer"</formula>
    </cfRule>
    <cfRule type="expression" dxfId="1360" priority="152">
      <formula>$S154="Jenne, Richard"</formula>
    </cfRule>
  </conditionalFormatting>
  <conditionalFormatting sqref="F154:F155 F164">
    <cfRule type="expression" dxfId="1359" priority="150">
      <formula>$S156="McQueen, Jennifer"</formula>
    </cfRule>
    <cfRule type="expression" dxfId="1358" priority="149">
      <formula>$S156="Jenne, Richard"</formula>
    </cfRule>
    <cfRule type="expression" dxfId="1357" priority="148">
      <formula>$S156="Benzick, Sue"</formula>
    </cfRule>
  </conditionalFormatting>
  <conditionalFormatting sqref="F162">
    <cfRule type="expression" dxfId="1356" priority="143">
      <formula>#REF!="Jenne, Richard"</formula>
    </cfRule>
    <cfRule type="expression" dxfId="1355" priority="142">
      <formula>#REF!="Benzick, Sue"</formula>
    </cfRule>
    <cfRule type="expression" dxfId="1354" priority="144">
      <formula>#REF!="McQueen, Jennifer"</formula>
    </cfRule>
  </conditionalFormatting>
  <conditionalFormatting sqref="F166">
    <cfRule type="expression" dxfId="1353" priority="141">
      <formula>$S170="McQueen, Jennifer"</formula>
    </cfRule>
    <cfRule type="expression" dxfId="1352" priority="139">
      <formula>$S170="Benzick, Sue"</formula>
    </cfRule>
    <cfRule type="expression" dxfId="1351" priority="140">
      <formula>$S170="Jenne, Richard"</formula>
    </cfRule>
  </conditionalFormatting>
  <conditionalFormatting sqref="F193 F195">
    <cfRule type="expression" dxfId="1350" priority="205">
      <formula>$T194="Benzick, Sue"</formula>
    </cfRule>
    <cfRule type="expression" dxfId="1349" priority="206">
      <formula>$T194="Jenne, Richard"</formula>
    </cfRule>
    <cfRule type="expression" dxfId="1348" priority="207">
      <formula>$T194="McQueen, Jennifer"</formula>
    </cfRule>
  </conditionalFormatting>
  <conditionalFormatting sqref="F194">
    <cfRule type="expression" dxfId="1347" priority="227">
      <formula>#REF!="Jenne, Richard"</formula>
    </cfRule>
    <cfRule type="expression" dxfId="1346" priority="226">
      <formula>#REF!="Benzick, Sue"</formula>
    </cfRule>
    <cfRule type="expression" dxfId="1345" priority="228">
      <formula>#REF!="McQueen, Jennifer"</formula>
    </cfRule>
  </conditionalFormatting>
  <conditionalFormatting sqref="F302">
    <cfRule type="expression" dxfId="1344" priority="224">
      <formula>#REF!="Jenne, Richard"</formula>
    </cfRule>
    <cfRule type="expression" dxfId="1343" priority="225">
      <formula>#REF!="McQueen, Jennifer"</formula>
    </cfRule>
    <cfRule type="expression" dxfId="1342" priority="223">
      <formula>#REF!="Benzick, Sue"</formula>
    </cfRule>
  </conditionalFormatting>
  <conditionalFormatting sqref="F67:G67 E68:H68 E86:F86 F87 E89:F89 E109:F110 F135:G135 F150:F151 J217:M217">
    <cfRule type="expression" dxfId="1341" priority="210">
      <formula>$R67="McQueen, Jennifer"</formula>
    </cfRule>
    <cfRule type="expression" dxfId="1340" priority="208">
      <formula>$R67="Benzick, Sue"</formula>
    </cfRule>
    <cfRule type="expression" dxfId="1339" priority="209">
      <formula>$R67="Jenne, Richard"</formula>
    </cfRule>
  </conditionalFormatting>
  <conditionalFormatting sqref="F162:G162">
    <cfRule type="expression" dxfId="1338" priority="145">
      <formula>#REF!="Benzick, Sue"</formula>
    </cfRule>
    <cfRule type="expression" dxfId="1337" priority="147">
      <formula>#REF!="McQueen, Jennifer"</formula>
    </cfRule>
    <cfRule type="expression" dxfId="1336" priority="146">
      <formula>#REF!="Jenne, Richard"</formula>
    </cfRule>
  </conditionalFormatting>
  <conditionalFormatting sqref="F296:H296 H397:I402 H403">
    <cfRule type="expression" dxfId="1335" priority="165">
      <formula>#REF!="McQueen, Jennifer"</formula>
    </cfRule>
    <cfRule type="expression" dxfId="1334" priority="164">
      <formula>#REF!="Jenne, Richard"</formula>
    </cfRule>
    <cfRule type="expression" dxfId="1333" priority="163">
      <formula>#REF!="Benzick, Sue"</formula>
    </cfRule>
  </conditionalFormatting>
  <conditionalFormatting sqref="F297:H298 F382:H382 F384:H384 F385:G386">
    <cfRule type="expression" dxfId="1332" priority="160">
      <formula>$P297="Benzick, Sue"</formula>
    </cfRule>
    <cfRule type="expression" dxfId="1331" priority="162">
      <formula>$P297="McQueen, Jennifer"</formula>
    </cfRule>
    <cfRule type="expression" dxfId="1330" priority="161">
      <formula>$P297="Jenne, Richard"</formula>
    </cfRule>
  </conditionalFormatting>
  <conditionalFormatting sqref="F381:H381 F383:H383 F387:H388 F389:G390 F391:H393 F394:I394 F395:H396 F397:G398 H404:I404 H406:I409">
    <cfRule type="expression" dxfId="1329" priority="159">
      <formula>#REF!="McQueen, Jennifer"</formula>
    </cfRule>
    <cfRule type="expression" dxfId="1328" priority="158">
      <formula>#REF!="Jenne, Richard"</formula>
    </cfRule>
    <cfRule type="expression" dxfId="1327" priority="157">
      <formula>#REF!="Benzick, Sue"</formula>
    </cfRule>
  </conditionalFormatting>
  <conditionalFormatting sqref="G4:I4 H5:I11 H12:N12 J13:N13 H13:I16 H17:N17 H18:I31 G32:I35 G36:N36 G37:I37 F38:I38 F39:G40 H39:I44 H45:N50 H51:I53 I54:N54 I55 H56:I58 I59:I61 H62:I67 J65:N65 J67:N67 I68:N69 H69:H71 I70:I85 J72:N73 H74:H75 J76:N76 H77:H78 J79:N81 H82 J83:N83 H84:H85 H86:I88 H89:H103 I89:N105 H105 I116:N116 H117:I117 E118:I118 I119:N120 I123:N124 I126:N127 E127:G127 I130:N130 I136:N136 I146 I148:N148 I150:N153 I155:N157 H158:I160 I163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1326" priority="202">
      <formula>#REF!="Benzick, Sue"</formula>
    </cfRule>
    <cfRule type="expression" dxfId="1325" priority="204">
      <formula>#REF!="McQueen, Jennifer"</formula>
    </cfRule>
    <cfRule type="expression" dxfId="1324" priority="203">
      <formula>#REF!="Jenne, Richard"</formula>
    </cfRule>
  </conditionalFormatting>
  <conditionalFormatting sqref="G182:N182">
    <cfRule type="expression" dxfId="1323" priority="40">
      <formula>#REF!="Benzick, Sue"</formula>
    </cfRule>
    <cfRule type="expression" dxfId="1322" priority="41">
      <formula>#REF!="Jenne, Richard"</formula>
    </cfRule>
    <cfRule type="expression" dxfId="1321" priority="42">
      <formula>#REF!="McQueen, Jennifer"</formula>
    </cfRule>
  </conditionalFormatting>
  <conditionalFormatting sqref="H55 H61 H121:I122 H125:I125 H127 H128:I129 H137 H169 H173 H175:H176 H184">
    <cfRule type="expression" dxfId="1320" priority="177">
      <formula>#REF!="McQueen, Jennifer"</formula>
    </cfRule>
    <cfRule type="expression" dxfId="1319" priority="176">
      <formula>#REF!="Jenne, Richard"</formula>
    </cfRule>
    <cfRule type="expression" dxfId="1318" priority="175">
      <formula>#REF!="Benzick, Sue"</formula>
    </cfRule>
  </conditionalFormatting>
  <conditionalFormatting sqref="H234">
    <cfRule type="expression" dxfId="1317" priority="37">
      <formula>#REF!="Benzick, Sue"</formula>
    </cfRule>
    <cfRule type="expression" dxfId="1316" priority="38">
      <formula>#REF!="Jenne, Richard"</formula>
    </cfRule>
    <cfRule type="expression" dxfId="1315" priority="39">
      <formula>#REF!="McQueen, Jennifer"</formula>
    </cfRule>
  </conditionalFormatting>
  <conditionalFormatting sqref="H106:I115">
    <cfRule type="expression" dxfId="1314" priority="191">
      <formula>#REF!="Jenne, Richard"</formula>
    </cfRule>
    <cfRule type="expression" dxfId="1313" priority="190">
      <formula>#REF!="Benzick, Sue"</formula>
    </cfRule>
    <cfRule type="expression" dxfId="1312" priority="192">
      <formula>#REF!="McQueen, Jennifer"</formula>
    </cfRule>
  </conditionalFormatting>
  <conditionalFormatting sqref="I161">
    <cfRule type="expression" dxfId="1311" priority="34">
      <formula>#REF!="Benzick, Sue"</formula>
    </cfRule>
    <cfRule type="expression" dxfId="1310" priority="35">
      <formula>#REF!="Jenne, Richard"</formula>
    </cfRule>
    <cfRule type="expression" dxfId="1309" priority="36">
      <formula>#REF!="McQueen, Jennifer"</formula>
    </cfRule>
  </conditionalFormatting>
  <conditionalFormatting sqref="I175:I176">
    <cfRule type="expression" dxfId="1308" priority="55">
      <formula>#REF!="Benzick, Sue"</formula>
    </cfRule>
    <cfRule type="expression" dxfId="1307" priority="56">
      <formula>#REF!="Jenne, Richard"</formula>
    </cfRule>
    <cfRule type="expression" dxfId="1306" priority="57">
      <formula>#REF!="McQueen, Jennifer"</formula>
    </cfRule>
  </conditionalFormatting>
  <conditionalFormatting sqref="I203">
    <cfRule type="expression" dxfId="1305" priority="118">
      <formula>#REF!="Benzick, Sue"</formula>
    </cfRule>
    <cfRule type="expression" dxfId="1304" priority="119">
      <formula>#REF!="Jenne, Richard"</formula>
    </cfRule>
    <cfRule type="expression" dxfId="1303" priority="120">
      <formula>#REF!="McQueen, Jennifer"</formula>
    </cfRule>
  </conditionalFormatting>
  <conditionalFormatting sqref="I220">
    <cfRule type="expression" dxfId="1302" priority="82">
      <formula>#REF!="Benzick, Sue"</formula>
    </cfRule>
    <cfRule type="expression" dxfId="1301" priority="83">
      <formula>#REF!="Jenne, Richard"</formula>
    </cfRule>
    <cfRule type="expression" dxfId="1300" priority="84">
      <formula>#REF!="McQueen, Jennifer"</formula>
    </cfRule>
  </conditionalFormatting>
  <conditionalFormatting sqref="I246">
    <cfRule type="expression" dxfId="1299" priority="76">
      <formula>#REF!="Benzick, Sue"</formula>
    </cfRule>
    <cfRule type="expression" dxfId="1298" priority="77">
      <formula>#REF!="Jenne, Richard"</formula>
    </cfRule>
    <cfRule type="expression" dxfId="1297" priority="78">
      <formula>#REF!="McQueen, Jennifer"</formula>
    </cfRule>
  </conditionalFormatting>
  <conditionalFormatting sqref="I285">
    <cfRule type="expression" dxfId="1296" priority="112">
      <formula>#REF!="Benzick, Sue"</formula>
    </cfRule>
    <cfRule type="expression" dxfId="1295" priority="114">
      <formula>#REF!="McQueen, Jennifer"</formula>
    </cfRule>
    <cfRule type="expression" dxfId="1294" priority="113">
      <formula>#REF!="Jenne, Richard"</formula>
    </cfRule>
  </conditionalFormatting>
  <conditionalFormatting sqref="I332">
    <cfRule type="expression" dxfId="1293" priority="116">
      <formula>#REF!="Jenne, Richard"</formula>
    </cfRule>
    <cfRule type="expression" dxfId="1292" priority="115">
      <formula>#REF!="Benzick, Sue"</formula>
    </cfRule>
    <cfRule type="expression" dxfId="1291" priority="117">
      <formula>#REF!="McQueen, Jennifer"</formula>
    </cfRule>
  </conditionalFormatting>
  <conditionalFormatting sqref="I187:N190">
    <cfRule type="expression" dxfId="1290" priority="94">
      <formula>#REF!="Benzick, Sue"</formula>
    </cfRule>
    <cfRule type="expression" dxfId="1289" priority="96">
      <formula>#REF!="McQueen, Jennifer"</formula>
    </cfRule>
    <cfRule type="expression" dxfId="1288" priority="95">
      <formula>#REF!="Jenne, Richard"</formula>
    </cfRule>
  </conditionalFormatting>
  <conditionalFormatting sqref="I257:N257">
    <cfRule type="expression" dxfId="1287" priority="29">
      <formula>#REF!="Jenne, Richard"</formula>
    </cfRule>
    <cfRule type="expression" dxfId="1286" priority="30">
      <formula>#REF!="McQueen, Jennifer"</formula>
    </cfRule>
    <cfRule type="expression" dxfId="1285" priority="28">
      <formula>#REF!="Benzick, Sue"</formula>
    </cfRule>
  </conditionalFormatting>
  <conditionalFormatting sqref="I275:N275">
    <cfRule type="expression" dxfId="1284" priority="31">
      <formula>#REF!="Benzick, Sue"</formula>
    </cfRule>
    <cfRule type="expression" dxfId="1283" priority="33">
      <formula>#REF!="McQueen, Jennifer"</formula>
    </cfRule>
    <cfRule type="expression" dxfId="1282" priority="32">
      <formula>#REF!="Jenne, Richard"</formula>
    </cfRule>
  </conditionalFormatting>
  <conditionalFormatting sqref="I403:N403">
    <cfRule type="expression" dxfId="1281" priority="93">
      <formula>#REF!="McQueen, Jennifer"</formula>
    </cfRule>
    <cfRule type="expression" dxfId="1280" priority="91">
      <formula>#REF!="Benzick, Sue"</formula>
    </cfRule>
    <cfRule type="expression" dxfId="1279" priority="92">
      <formula>#REF!="Jenne, Richard"</formula>
    </cfRule>
  </conditionalFormatting>
  <conditionalFormatting sqref="I437:N442">
    <cfRule type="expression" dxfId="1278" priority="121">
      <formula>#REF!="Benzick, Sue"</formula>
    </cfRule>
    <cfRule type="expression" dxfId="1277" priority="122">
      <formula>#REF!="Jenne, Richard"</formula>
    </cfRule>
    <cfRule type="expression" dxfId="1276" priority="123">
      <formula>#REF!="McQueen, Jennifer"</formula>
    </cfRule>
  </conditionalFormatting>
  <conditionalFormatting sqref="J62">
    <cfRule type="expression" dxfId="1275" priority="111">
      <formula>#REF!="McQueen, Jennifer"</formula>
    </cfRule>
    <cfRule type="expression" dxfId="1274" priority="110">
      <formula>#REF!="Jenne, Richard"</formula>
    </cfRule>
    <cfRule type="expression" dxfId="1273" priority="109">
      <formula>#REF!="Benzick, Sue"</formula>
    </cfRule>
  </conditionalFormatting>
  <conditionalFormatting sqref="J220">
    <cfRule type="expression" dxfId="1272" priority="79">
      <formula>$T220="Benzick, Sue"</formula>
    </cfRule>
    <cfRule type="expression" dxfId="1271" priority="80">
      <formula>$T220="Jenne, Richard"</formula>
    </cfRule>
    <cfRule type="expression" dxfId="1270" priority="81">
      <formula>$T220="McQueen, Jennifer"</formula>
    </cfRule>
  </conditionalFormatting>
  <conditionalFormatting sqref="J246">
    <cfRule type="expression" dxfId="1269" priority="75">
      <formula>$T246="McQueen, Jennifer"</formula>
    </cfRule>
    <cfRule type="expression" dxfId="1268" priority="74">
      <formula>$T246="Jenne, Richard"</formula>
    </cfRule>
    <cfRule type="expression" dxfId="1267" priority="73">
      <formula>$T246="Benzick, Sue"</formula>
    </cfRule>
  </conditionalFormatting>
  <conditionalFormatting sqref="J254">
    <cfRule type="expression" dxfId="1266" priority="71">
      <formula>$T254="Jenne, Richard"</formula>
    </cfRule>
    <cfRule type="expression" dxfId="1265" priority="70">
      <formula>$T254="Benzick, Sue"</formula>
    </cfRule>
    <cfRule type="expression" dxfId="1264" priority="72">
      <formula>$T254="McQueen, Jennifer"</formula>
    </cfRule>
  </conditionalFormatting>
  <conditionalFormatting sqref="J392">
    <cfRule type="expression" dxfId="1263" priority="67">
      <formula>$T392="Benzick, Sue"</formula>
    </cfRule>
    <cfRule type="expression" dxfId="1262" priority="69">
      <formula>$T392="McQueen, Jennifer"</formula>
    </cfRule>
    <cfRule type="expression" dxfId="1261" priority="68">
      <formula>$T392="Jenne, Richard"</formula>
    </cfRule>
  </conditionalFormatting>
  <conditionalFormatting sqref="J449">
    <cfRule type="expression" dxfId="1260" priority="66">
      <formula>$T449="McQueen, Jennifer"</formula>
    </cfRule>
    <cfRule type="expression" dxfId="1259" priority="65">
      <formula>$T449="Jenne, Richard"</formula>
    </cfRule>
    <cfRule type="expression" dxfId="1258" priority="64">
      <formula>$T449="Benzick, Sue"</formula>
    </cfRule>
  </conditionalFormatting>
  <conditionalFormatting sqref="J4:N11 T4:T81 J14:N16 J18:N35 A32:A33 S32:S37 S39:S47 S49 S51:S65 E55:F55 F69:G70 S69:S80 E71:G71 E72:H72 F73:H73 E74:G74 J74:N74 F75:G75 F76:H76 E76:E78 F77:G77 J78:N78 F78:F79 A78:A81 E80:F81 S82:T122 J88:N88 J106:N106 B107 A108 J108:N109 A109:B109 E111:F111 J113:N115 J117:N117 T123 S124:T136 A129 E133 J134:N134 E136:H136 E138:G138 S138:T138 J138:N139 E139 S139:S140 T139:T146 F140 K140 M140:N140 F142:G145 S142:S146 F146:H146 J146:N147 F147:F148 F152 E152:E153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1257" priority="214">
      <formula>$S4="Benzick, Sue"</formula>
    </cfRule>
    <cfRule type="expression" dxfId="1256" priority="215">
      <formula>$S4="Jenne, Richard"</formula>
    </cfRule>
    <cfRule type="expression" dxfId="1255" priority="216">
      <formula>$S4="McQueen, Jennifer"</formula>
    </cfRule>
  </conditionalFormatting>
  <conditionalFormatting sqref="J37:N37">
    <cfRule type="expression" dxfId="1254" priority="62">
      <formula>$S37="Jenne, Richard"</formula>
    </cfRule>
    <cfRule type="expression" dxfId="1253" priority="61">
      <formula>$S37="Benzick, Sue"</formula>
    </cfRule>
    <cfRule type="expression" dxfId="1252" priority="63">
      <formula>$S37="McQueen, Jennifer"</formula>
    </cfRule>
  </conditionalFormatting>
  <conditionalFormatting sqref="J64:N64">
    <cfRule type="expression" dxfId="1251" priority="89">
      <formula>$T64="Jenne, Richard"</formula>
    </cfRule>
    <cfRule type="expression" dxfId="1250" priority="88">
      <formula>$T64="Benzick, Sue"</formula>
    </cfRule>
    <cfRule type="expression" dxfId="1249" priority="90">
      <formula>$T64="McQueen, Jennifer"</formula>
    </cfRule>
  </conditionalFormatting>
  <conditionalFormatting sqref="J71:N71">
    <cfRule type="expression" dxfId="1248" priority="87">
      <formula>$T71="McQueen, Jennifer"</formula>
    </cfRule>
    <cfRule type="expression" dxfId="1247" priority="86">
      <formula>$T71="Jenne, Richard"</formula>
    </cfRule>
    <cfRule type="expression" dxfId="1246" priority="85">
      <formula>$T71="Benzick, Sue"</formula>
    </cfRule>
  </conditionalFormatting>
  <conditionalFormatting sqref="K62">
    <cfRule type="expression" dxfId="1245" priority="107">
      <formula>#REF!="Jenne, Richard"</formula>
    </cfRule>
    <cfRule type="expression" dxfId="1244" priority="106">
      <formula>#REF!="Benzick, Sue"</formula>
    </cfRule>
    <cfRule type="expression" dxfId="1243" priority="108">
      <formula>#REF!="McQueen, Jennifer"</formula>
    </cfRule>
  </conditionalFormatting>
  <conditionalFormatting sqref="L62">
    <cfRule type="expression" dxfId="1242" priority="105">
      <formula>#REF!="McQueen, Jennifer"</formula>
    </cfRule>
    <cfRule type="expression" dxfId="1241" priority="104">
      <formula>#REF!="Jenne, Richard"</formula>
    </cfRule>
    <cfRule type="expression" dxfId="1240" priority="103">
      <formula>#REF!="Benzick, Sue"</formula>
    </cfRule>
  </conditionalFormatting>
  <conditionalFormatting sqref="M62">
    <cfRule type="expression" dxfId="1239" priority="102">
      <formula>#REF!="McQueen, Jennifer"</formula>
    </cfRule>
    <cfRule type="expression" dxfId="1238" priority="100">
      <formula>#REF!="Benzick, Sue"</formula>
    </cfRule>
    <cfRule type="expression" dxfId="1237" priority="101">
      <formula>#REF!="Jenne, Richard"</formula>
    </cfRule>
  </conditionalFormatting>
  <conditionalFormatting sqref="N62">
    <cfRule type="expression" dxfId="1236" priority="99">
      <formula>#REF!="McQueen, Jennifer"</formula>
    </cfRule>
    <cfRule type="expression" dxfId="1235" priority="98">
      <formula>#REF!="Jenne, Richard"</formula>
    </cfRule>
    <cfRule type="expression" dxfId="1234" priority="97">
      <formula>#REF!="Benzick, Sue"</formula>
    </cfRule>
  </conditionalFormatting>
  <conditionalFormatting sqref="S147:T190">
    <cfRule type="expression" dxfId="1233" priority="48">
      <formula>$S147="McQueen, Jennifer"</formula>
    </cfRule>
    <cfRule type="expression" dxfId="1232" priority="47">
      <formula>$S147="Jenne, Richard"</formula>
    </cfRule>
    <cfRule type="expression" dxfId="1231" priority="46">
      <formula>$S147="Benzick, Sue"</formula>
    </cfRule>
  </conditionalFormatting>
  <conditionalFormatting sqref="W182">
    <cfRule type="expression" dxfId="1230" priority="49">
      <formula>$X182="Benzick, Sue"</formula>
    </cfRule>
    <cfRule type="expression" dxfId="1229" priority="50">
      <formula>$X182="Jenne, Richard"</formula>
    </cfRule>
    <cfRule type="expression" dxfId="1228" priority="51">
      <formula>$X182="McQueen, Jennifer"</formula>
    </cfRule>
  </conditionalFormatting>
  <conditionalFormatting sqref="W335:W337">
    <cfRule type="expression" dxfId="1227" priority="217">
      <formula>$Y335="Benzick, Sue"</formula>
    </cfRule>
    <cfRule type="expression" dxfId="1226" priority="218">
      <formula>$Y335="Jenne, Richard"</formula>
    </cfRule>
    <cfRule type="expression" dxfId="1225" priority="219">
      <formula>$Y335="McQueen, Jennifer"</formula>
    </cfRule>
  </conditionalFormatting>
  <conditionalFormatting sqref="Y4:Y136 W15:W37 J38:N38 W39:W47 W49 W51:W65 W69:W80 W82:W122 W124:W136 W138:W157 Y138:Y190 Y192:Y245 Y247:Y458">
    <cfRule type="expression" dxfId="1224" priority="220">
      <formula>$X4="Benzick, Sue"</formula>
    </cfRule>
    <cfRule type="expression" dxfId="1223" priority="222">
      <formula>$X4="McQueen, Jennifer"</formula>
    </cfRule>
    <cfRule type="expression" dxfId="1222" priority="221">
      <formula>$X4="Jenne, Richard"</formula>
    </cfRule>
  </conditionalFormatting>
  <dataValidations count="4">
    <dataValidation allowBlank="1" showInputMessage="1" showErrorMessage="1" sqref="S138:S190 S247:S458 S192:S245 S4:S136" xr:uid="{8780455E-7938-4059-9F47-AC5C5206BA80}"/>
    <dataValidation type="list" allowBlank="1" showInputMessage="1" showErrorMessage="1" sqref="A72:A74 A179:A181 A183" xr:uid="{A8717146-77B3-498F-BE6E-8CBEDB4CC742}">
      <formula1>Location</formula1>
    </dataValidation>
    <dataValidation type="list" allowBlank="1" showInputMessage="1" showErrorMessage="1" sqref="B460:B466 B468:B738 B4:B458" xr:uid="{7666D769-00E7-465B-BC46-F9D37AAA53EB}">
      <formula1>Class</formula1>
    </dataValidation>
    <dataValidation type="list" allowBlank="1" showInputMessage="1" showErrorMessage="1" sqref="O460:O682" xr:uid="{6971A40A-A76B-40E8-B1D8-FBAE654B1AB9}">
      <formula1>Instructor</formula1>
    </dataValidation>
  </dataValidations>
  <printOptions horizontalCentered="1" verticalCentered="1"/>
  <pageMargins left="0.7" right="0.7" top="0.75" bottom="0.75" header="0.3" footer="0.3"/>
  <pageSetup paperSize="5" scale="66" fitToHeight="0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DEC93-B20D-44F9-942E-18C37F1D2133}">
  <sheetPr>
    <pageSetUpPr fitToPage="1"/>
  </sheetPr>
  <dimension ref="A1:AA459"/>
  <sheetViews>
    <sheetView topLeftCell="B1" zoomScale="90" zoomScaleNormal="90" workbookViewId="0">
      <selection activeCell="AG31" sqref="AG31"/>
    </sheetView>
  </sheetViews>
  <sheetFormatPr defaultColWidth="8.7109375" defaultRowHeight="15" x14ac:dyDescent="0.25"/>
  <cols>
    <col min="1" max="1" width="42.7109375" style="8" bestFit="1" customWidth="1"/>
    <col min="2" max="2" width="64.28515625" style="9" customWidth="1"/>
    <col min="3" max="3" width="14.28515625" style="2" customWidth="1"/>
    <col min="4" max="4" width="16.28515625" style="11" customWidth="1"/>
    <col min="5" max="5" width="21.7109375" style="9" hidden="1" customWidth="1"/>
    <col min="6" max="6" width="17" style="10" bestFit="1" customWidth="1"/>
    <col min="7" max="7" width="15.7109375" style="10" bestFit="1" customWidth="1"/>
    <col min="8" max="9" width="9.7109375" style="30" customWidth="1"/>
    <col min="10" max="14" width="9.7109375" style="30" hidden="1" customWidth="1"/>
    <col min="15" max="15" width="20" style="9" bestFit="1" customWidth="1"/>
    <col min="16" max="16" width="18.42578125" style="9" bestFit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194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24" t="s">
        <v>12</v>
      </c>
      <c r="G3" s="24" t="s">
        <v>13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ht="14.25" customHeight="1" x14ac:dyDescent="0.25">
      <c r="A4" s="46"/>
      <c r="B4" s="58" t="s">
        <v>56</v>
      </c>
      <c r="C4" s="59" t="s">
        <v>57</v>
      </c>
      <c r="D4" s="59" t="s">
        <v>58</v>
      </c>
      <c r="E4" s="58"/>
      <c r="F4" s="61">
        <v>45937</v>
      </c>
      <c r="G4" s="61">
        <v>45941</v>
      </c>
      <c r="H4" s="64"/>
      <c r="I4" s="64">
        <v>0.33333333333333331</v>
      </c>
      <c r="J4" s="61"/>
      <c r="K4" s="61"/>
      <c r="L4" s="61"/>
      <c r="M4" s="61"/>
      <c r="N4" s="61"/>
      <c r="O4" s="58" t="s">
        <v>267</v>
      </c>
      <c r="P4" s="58" t="s">
        <v>55</v>
      </c>
      <c r="Q4" s="62">
        <v>45</v>
      </c>
      <c r="R4" s="63">
        <v>4</v>
      </c>
      <c r="S4" s="62"/>
      <c r="T4" s="62"/>
      <c r="U4" s="13"/>
      <c r="V4" s="13"/>
      <c r="W4" s="13"/>
      <c r="X4" s="58"/>
      <c r="Y4" s="51">
        <f ca="1">Table24[[#This Row],[End Date]]+2-TODAY()</f>
        <v>-301</v>
      </c>
      <c r="Z4" s="13">
        <f>IF(ISBLANK(Table24[[#This Row],[Roster Received By]]),1,0)</f>
        <v>1</v>
      </c>
      <c r="AA4" s="13">
        <f ca="1">IF(Table24[[#This Row],[Start Date]]&gt;TODAY(),1,)</f>
        <v>0</v>
      </c>
    </row>
    <row r="5" spans="1:27" s="95" customFormat="1" ht="14.25" customHeight="1" x14ac:dyDescent="0.25">
      <c r="A5" s="46"/>
      <c r="B5" s="58" t="s">
        <v>56</v>
      </c>
      <c r="C5" s="59" t="s">
        <v>57</v>
      </c>
      <c r="D5" s="59" t="s">
        <v>58</v>
      </c>
      <c r="E5" s="47"/>
      <c r="F5" s="61">
        <v>45586</v>
      </c>
      <c r="G5" s="61">
        <v>45590</v>
      </c>
      <c r="H5" s="67"/>
      <c r="I5" s="67">
        <v>0.41666666666666669</v>
      </c>
      <c r="J5" s="61"/>
      <c r="K5" s="61"/>
      <c r="L5" s="61"/>
      <c r="M5" s="61"/>
      <c r="N5" s="61"/>
      <c r="O5" s="58" t="s">
        <v>267</v>
      </c>
      <c r="P5" s="58" t="s">
        <v>55</v>
      </c>
      <c r="Q5" s="13">
        <v>45</v>
      </c>
      <c r="R5" s="13">
        <v>4</v>
      </c>
      <c r="S5" s="13"/>
      <c r="T5" s="62"/>
      <c r="U5" s="13"/>
      <c r="V5" s="13"/>
      <c r="W5" s="13"/>
      <c r="X5" s="58"/>
      <c r="Y5" s="51">
        <f ca="1">Table24[[#This Row],[End Date]]+2-TODAY()</f>
        <v>-652</v>
      </c>
      <c r="Z5" s="13">
        <f>IF(ISBLANK(Table24[[#This Row],[Roster Received By]]),1,0)</f>
        <v>1</v>
      </c>
      <c r="AA5" s="13">
        <f ca="1">IF(Table24[[#This Row],[Start Date]]&gt;TODAY(),1,)</f>
        <v>0</v>
      </c>
    </row>
    <row r="6" spans="1:27" s="65" customFormat="1" ht="14.25" customHeight="1" x14ac:dyDescent="0.25">
      <c r="A6" s="46"/>
      <c r="B6" s="58" t="s">
        <v>56</v>
      </c>
      <c r="C6" s="59" t="s">
        <v>57</v>
      </c>
      <c r="D6" s="59" t="s">
        <v>58</v>
      </c>
      <c r="E6" s="58"/>
      <c r="F6" s="61">
        <v>45600</v>
      </c>
      <c r="G6" s="61">
        <v>45603</v>
      </c>
      <c r="H6" s="61"/>
      <c r="I6" s="60">
        <v>0.33333333333333331</v>
      </c>
      <c r="J6" s="64"/>
      <c r="K6" s="64"/>
      <c r="L6" s="64"/>
      <c r="M6" s="64"/>
      <c r="N6" s="64"/>
      <c r="O6" s="58" t="s">
        <v>267</v>
      </c>
      <c r="P6" s="58" t="s">
        <v>55</v>
      </c>
      <c r="Q6" s="13">
        <v>45</v>
      </c>
      <c r="R6" s="13">
        <v>4</v>
      </c>
      <c r="S6" s="13"/>
      <c r="T6" s="62"/>
      <c r="U6" s="13"/>
      <c r="V6" s="13"/>
      <c r="W6" s="13"/>
      <c r="X6" s="58"/>
      <c r="Y6" s="51">
        <f ca="1">Table24[[#This Row],[End Date]]+2-TODAY()</f>
        <v>-639</v>
      </c>
      <c r="Z6" s="13">
        <f>IF(ISBLANK(Table24[[#This Row],[Roster Received By]]),1,0)</f>
        <v>1</v>
      </c>
      <c r="AA6" s="13">
        <f ca="1">IF(Table24[[#This Row],[Start Date]]&gt;TODAY(),1,)</f>
        <v>0</v>
      </c>
    </row>
    <row r="7" spans="1:27" s="65" customFormat="1" ht="14.25" customHeight="1" x14ac:dyDescent="0.25">
      <c r="A7" s="46"/>
      <c r="B7" s="58" t="s">
        <v>56</v>
      </c>
      <c r="C7" s="59" t="s">
        <v>57</v>
      </c>
      <c r="D7" s="59" t="s">
        <v>58</v>
      </c>
      <c r="E7" s="47"/>
      <c r="F7" s="61">
        <v>45614</v>
      </c>
      <c r="G7" s="61">
        <v>45617</v>
      </c>
      <c r="H7" s="64"/>
      <c r="I7" s="64">
        <v>0.41666666666666669</v>
      </c>
      <c r="J7" s="61"/>
      <c r="K7" s="61"/>
      <c r="L7" s="61"/>
      <c r="M7" s="61"/>
      <c r="N7" s="61"/>
      <c r="O7" s="58" t="s">
        <v>267</v>
      </c>
      <c r="P7" s="58" t="s">
        <v>55</v>
      </c>
      <c r="Q7" s="13">
        <v>45</v>
      </c>
      <c r="R7" s="13">
        <v>4</v>
      </c>
      <c r="S7" s="13"/>
      <c r="T7" s="62"/>
      <c r="U7" s="13"/>
      <c r="V7" s="13"/>
      <c r="W7" s="13"/>
      <c r="X7" s="58"/>
      <c r="Y7" s="51">
        <f ca="1">Table24[[#This Row],[End Date]]+2-TODAY()</f>
        <v>-625</v>
      </c>
      <c r="Z7" s="13">
        <f>IF(ISBLANK(Table24[[#This Row],[Roster Received By]]),1,0)</f>
        <v>1</v>
      </c>
      <c r="AA7" s="13">
        <f ca="1">IF(Table24[[#This Row],[Start Date]]&gt;TODAY(),1,)</f>
        <v>0</v>
      </c>
    </row>
    <row r="8" spans="1:27" s="65" customFormat="1" ht="14.25" customHeight="1" x14ac:dyDescent="0.25">
      <c r="A8" s="46"/>
      <c r="B8" s="58" t="s">
        <v>56</v>
      </c>
      <c r="C8" s="59" t="s">
        <v>57</v>
      </c>
      <c r="D8" s="59" t="s">
        <v>58</v>
      </c>
      <c r="E8" s="58"/>
      <c r="F8" s="61">
        <v>45628</v>
      </c>
      <c r="G8" s="61">
        <v>45631</v>
      </c>
      <c r="H8" s="61"/>
      <c r="I8" s="60">
        <v>0.33333333333333331</v>
      </c>
      <c r="J8" s="64"/>
      <c r="K8" s="64"/>
      <c r="L8" s="64"/>
      <c r="M8" s="64"/>
      <c r="N8" s="64"/>
      <c r="O8" s="58" t="s">
        <v>267</v>
      </c>
      <c r="P8" s="58" t="s">
        <v>55</v>
      </c>
      <c r="Q8" s="13">
        <v>45</v>
      </c>
      <c r="R8" s="13">
        <v>4</v>
      </c>
      <c r="S8" s="13"/>
      <c r="T8" s="62"/>
      <c r="U8" s="13"/>
      <c r="V8" s="13"/>
      <c r="W8" s="59"/>
      <c r="X8" s="58"/>
      <c r="Y8" s="51">
        <f ca="1">Table24[[#This Row],[End Date]]+2-TODAY()</f>
        <v>-611</v>
      </c>
      <c r="Z8" s="13">
        <f>IF(ISBLANK(Table24[[#This Row],[Roster Received By]]),1,0)</f>
        <v>1</v>
      </c>
      <c r="AA8" s="13">
        <f ca="1">IF(Table24[[#This Row],[Start Date]]&gt;TODAY(),1,)</f>
        <v>0</v>
      </c>
    </row>
    <row r="9" spans="1:27" s="65" customFormat="1" ht="14.25" customHeight="1" x14ac:dyDescent="0.25">
      <c r="A9" s="46"/>
      <c r="B9" s="58" t="s">
        <v>56</v>
      </c>
      <c r="C9" s="59" t="s">
        <v>57</v>
      </c>
      <c r="D9" s="59" t="s">
        <v>58</v>
      </c>
      <c r="E9" s="58"/>
      <c r="F9" s="61">
        <v>46007</v>
      </c>
      <c r="G9" s="61">
        <v>46010</v>
      </c>
      <c r="H9" s="64"/>
      <c r="I9" s="60">
        <v>0.33333333333333331</v>
      </c>
      <c r="J9" s="61"/>
      <c r="K9" s="61"/>
      <c r="L9" s="61"/>
      <c r="M9" s="61"/>
      <c r="N9" s="61"/>
      <c r="O9" s="58" t="s">
        <v>267</v>
      </c>
      <c r="P9" s="58" t="s">
        <v>55</v>
      </c>
      <c r="Q9" s="13">
        <v>45</v>
      </c>
      <c r="R9" s="13">
        <v>4</v>
      </c>
      <c r="S9" s="62"/>
      <c r="T9" s="62"/>
      <c r="U9" s="13"/>
      <c r="V9" s="13"/>
      <c r="W9" s="59"/>
      <c r="X9" s="58"/>
      <c r="Y9" s="51">
        <f ca="1">Table24[[#This Row],[End Date]]+2-TODAY()</f>
        <v>-232</v>
      </c>
      <c r="Z9" s="13">
        <f>IF(ISBLANK(Table24[[#This Row],[Roster Received By]]),1,0)</f>
        <v>1</v>
      </c>
      <c r="AA9" s="13">
        <f ca="1">IF(Table24[[#This Row],[Start Date]]&gt;TODAY(),1,)</f>
        <v>0</v>
      </c>
    </row>
    <row r="10" spans="1:27" s="65" customFormat="1" ht="14.25" customHeight="1" x14ac:dyDescent="0.25">
      <c r="A10" s="46"/>
      <c r="B10" s="58" t="s">
        <v>56</v>
      </c>
      <c r="C10" s="59" t="s">
        <v>57</v>
      </c>
      <c r="D10" s="59" t="s">
        <v>58</v>
      </c>
      <c r="E10" s="47"/>
      <c r="F10" s="61">
        <v>45670</v>
      </c>
      <c r="G10" s="61">
        <v>45673</v>
      </c>
      <c r="H10" s="67"/>
      <c r="I10" s="67">
        <v>0.54166666666666663</v>
      </c>
      <c r="J10" s="61"/>
      <c r="K10" s="61"/>
      <c r="L10" s="61"/>
      <c r="M10" s="61"/>
      <c r="N10" s="61"/>
      <c r="O10" s="58" t="s">
        <v>267</v>
      </c>
      <c r="P10" s="58" t="s">
        <v>55</v>
      </c>
      <c r="Q10" s="13">
        <v>45</v>
      </c>
      <c r="R10" s="13">
        <v>4</v>
      </c>
      <c r="S10" s="13"/>
      <c r="T10" s="62"/>
      <c r="U10" s="13"/>
      <c r="V10" s="13"/>
      <c r="W10" s="13"/>
      <c r="X10" s="58"/>
      <c r="Y10" s="51">
        <f ca="1">Table24[[#This Row],[End Date]]+2-TODAY()</f>
        <v>-569</v>
      </c>
      <c r="Z10" s="13">
        <f>IF(ISBLANK(Table24[[#This Row],[Roster Received By]]),1,0)</f>
        <v>1</v>
      </c>
      <c r="AA10" s="13">
        <f ca="1">IF(Table24[[#This Row],[Start Date]]&gt;TODAY(),1,)</f>
        <v>0</v>
      </c>
    </row>
    <row r="11" spans="1:27" s="65" customFormat="1" ht="14.25" customHeight="1" x14ac:dyDescent="0.25">
      <c r="A11" s="46"/>
      <c r="B11" s="58" t="s">
        <v>56</v>
      </c>
      <c r="C11" s="59" t="s">
        <v>57</v>
      </c>
      <c r="D11" s="59" t="s">
        <v>58</v>
      </c>
      <c r="E11" s="47"/>
      <c r="F11" s="61">
        <v>45678</v>
      </c>
      <c r="G11" s="61">
        <v>45681</v>
      </c>
      <c r="H11" s="67"/>
      <c r="I11" s="67">
        <v>0.41666666666666669</v>
      </c>
      <c r="J11" s="61"/>
      <c r="K11" s="61"/>
      <c r="L11" s="61"/>
      <c r="M11" s="61"/>
      <c r="N11" s="61"/>
      <c r="O11" s="58" t="s">
        <v>267</v>
      </c>
      <c r="P11" s="58" t="s">
        <v>55</v>
      </c>
      <c r="Q11" s="13">
        <v>45</v>
      </c>
      <c r="R11" s="13">
        <v>4</v>
      </c>
      <c r="S11" s="62"/>
      <c r="T11" s="62"/>
      <c r="U11" s="13"/>
      <c r="V11" s="13"/>
      <c r="W11" s="13"/>
      <c r="X11" s="58"/>
      <c r="Y11" s="51">
        <f ca="1">Table24[[#This Row],[End Date]]+2-TODAY()</f>
        <v>-561</v>
      </c>
      <c r="Z11" s="13">
        <f>IF(ISBLANK(Table24[[#This Row],[Roster Received By]]),1,0)</f>
        <v>1</v>
      </c>
      <c r="AA11" s="13">
        <f ca="1">IF(Table24[[#This Row],[Start Date]]&gt;TODAY(),1,)</f>
        <v>0</v>
      </c>
    </row>
    <row r="12" spans="1:27" s="65" customFormat="1" ht="14.25" customHeight="1" x14ac:dyDescent="0.25">
      <c r="A12" s="46"/>
      <c r="B12" s="58" t="s">
        <v>56</v>
      </c>
      <c r="C12" s="59" t="s">
        <v>57</v>
      </c>
      <c r="D12" s="59" t="s">
        <v>58</v>
      </c>
      <c r="E12" s="58"/>
      <c r="F12" s="61">
        <v>45691</v>
      </c>
      <c r="G12" s="61">
        <v>45694</v>
      </c>
      <c r="H12" s="61"/>
      <c r="I12" s="60">
        <v>0.33333333333333331</v>
      </c>
      <c r="J12" s="64"/>
      <c r="K12" s="64"/>
      <c r="L12" s="64"/>
      <c r="M12" s="64"/>
      <c r="N12" s="64"/>
      <c r="O12" s="58" t="s">
        <v>267</v>
      </c>
      <c r="P12" s="58" t="s">
        <v>55</v>
      </c>
      <c r="Q12" s="13">
        <v>45</v>
      </c>
      <c r="R12" s="13">
        <v>4</v>
      </c>
      <c r="S12" s="13"/>
      <c r="T12" s="62"/>
      <c r="U12" s="13"/>
      <c r="V12" s="13"/>
      <c r="W12" s="13"/>
      <c r="X12" s="58"/>
      <c r="Y12" s="51">
        <f ca="1">Table24[[#This Row],[End Date]]+2-TODAY()</f>
        <v>-548</v>
      </c>
      <c r="Z12" s="13">
        <f>IF(ISBLANK(Table24[[#This Row],[Roster Received By]]),1,0)</f>
        <v>1</v>
      </c>
      <c r="AA12" s="13">
        <f ca="1">IF(Table24[[#This Row],[Start Date]]&gt;TODAY(),1,)</f>
        <v>0</v>
      </c>
    </row>
    <row r="13" spans="1:27" s="65" customFormat="1" ht="14.25" customHeight="1" x14ac:dyDescent="0.25">
      <c r="A13" s="46"/>
      <c r="B13" s="58" t="s">
        <v>56</v>
      </c>
      <c r="C13" s="59" t="s">
        <v>57</v>
      </c>
      <c r="D13" s="59" t="s">
        <v>58</v>
      </c>
      <c r="E13" s="58"/>
      <c r="F13" s="61">
        <v>45712</v>
      </c>
      <c r="G13" s="61">
        <v>45715</v>
      </c>
      <c r="H13" s="61"/>
      <c r="I13" s="60">
        <v>0.79166666666666663</v>
      </c>
      <c r="J13" s="64"/>
      <c r="K13" s="64"/>
      <c r="L13" s="64"/>
      <c r="M13" s="64"/>
      <c r="N13" s="64"/>
      <c r="O13" s="58" t="s">
        <v>267</v>
      </c>
      <c r="P13" s="58" t="s">
        <v>55</v>
      </c>
      <c r="Q13" s="13">
        <v>45</v>
      </c>
      <c r="R13" s="13">
        <v>4</v>
      </c>
      <c r="S13" s="13"/>
      <c r="T13" s="62"/>
      <c r="U13" s="13"/>
      <c r="V13" s="13"/>
      <c r="W13" s="13"/>
      <c r="X13" s="58"/>
      <c r="Y13" s="51">
        <f ca="1">Table24[[#This Row],[End Date]]+2-TODAY()</f>
        <v>-527</v>
      </c>
      <c r="Z13" s="13">
        <f>IF(ISBLANK(Table24[[#This Row],[Roster Received By]]),1,0)</f>
        <v>1</v>
      </c>
      <c r="AA13" s="13">
        <f ca="1">IF(Table24[[#This Row],[Start Date]]&gt;TODAY(),1,)</f>
        <v>0</v>
      </c>
    </row>
    <row r="14" spans="1:27" s="65" customFormat="1" ht="14.25" customHeight="1" x14ac:dyDescent="0.25">
      <c r="A14" s="46"/>
      <c r="B14" s="58" t="s">
        <v>56</v>
      </c>
      <c r="C14" s="59" t="s">
        <v>57</v>
      </c>
      <c r="D14" s="59" t="s">
        <v>58</v>
      </c>
      <c r="E14" s="58"/>
      <c r="F14" s="61">
        <v>45720</v>
      </c>
      <c r="G14" s="61">
        <v>45723</v>
      </c>
      <c r="H14" s="61"/>
      <c r="I14" s="60">
        <v>0.45833333333333331</v>
      </c>
      <c r="J14" s="64"/>
      <c r="K14" s="64"/>
      <c r="L14" s="64"/>
      <c r="M14" s="64"/>
      <c r="N14" s="64"/>
      <c r="O14" s="58" t="s">
        <v>267</v>
      </c>
      <c r="P14" s="58" t="s">
        <v>55</v>
      </c>
      <c r="Q14" s="13">
        <v>45</v>
      </c>
      <c r="R14" s="13">
        <v>4</v>
      </c>
      <c r="S14" s="62"/>
      <c r="T14" s="62"/>
      <c r="U14" s="13"/>
      <c r="V14" s="13"/>
      <c r="W14" s="13"/>
      <c r="X14" s="58"/>
      <c r="Y14" s="51">
        <f ca="1">Table24[[#This Row],[End Date]]+2-TODAY()</f>
        <v>-519</v>
      </c>
      <c r="Z14" s="13">
        <f>IF(ISBLANK(Table24[[#This Row],[Roster Received By]]),1,0)</f>
        <v>1</v>
      </c>
      <c r="AA14" s="13">
        <f ca="1">IF(Table24[[#This Row],[Start Date]]&gt;TODAY(),1,)</f>
        <v>0</v>
      </c>
    </row>
    <row r="15" spans="1:27" s="65" customFormat="1" ht="14.25" customHeight="1" x14ac:dyDescent="0.25">
      <c r="A15" s="46"/>
      <c r="B15" s="58" t="s">
        <v>56</v>
      </c>
      <c r="C15" s="59" t="s">
        <v>57</v>
      </c>
      <c r="D15" s="59" t="s">
        <v>58</v>
      </c>
      <c r="E15" s="58"/>
      <c r="F15" s="61">
        <v>45733</v>
      </c>
      <c r="G15" s="61">
        <v>45736</v>
      </c>
      <c r="H15" s="61"/>
      <c r="I15" s="60">
        <v>0.29166666666666669</v>
      </c>
      <c r="J15" s="64"/>
      <c r="K15" s="64"/>
      <c r="L15" s="64"/>
      <c r="M15" s="64"/>
      <c r="N15" s="64"/>
      <c r="O15" s="58" t="s">
        <v>267</v>
      </c>
      <c r="P15" s="58" t="s">
        <v>55</v>
      </c>
      <c r="Q15" s="13">
        <v>45</v>
      </c>
      <c r="R15" s="13">
        <v>4</v>
      </c>
      <c r="S15" s="13"/>
      <c r="T15" s="62"/>
      <c r="U15" s="13"/>
      <c r="V15" s="13"/>
      <c r="W15" s="13"/>
      <c r="X15" s="58"/>
      <c r="Y15" s="51">
        <f ca="1">Table24[[#This Row],[End Date]]+2-TODAY()</f>
        <v>-506</v>
      </c>
      <c r="Z15" s="13">
        <f>IF(ISBLANK(Table24[[#This Row],[Roster Received By]]),1,0)</f>
        <v>1</v>
      </c>
      <c r="AA15" s="13">
        <f ca="1">IF(Table24[[#This Row],[Start Date]]&gt;TODAY(),1,)</f>
        <v>0</v>
      </c>
    </row>
    <row r="16" spans="1:27" s="65" customFormat="1" ht="14.25" customHeight="1" x14ac:dyDescent="0.25">
      <c r="A16" s="46"/>
      <c r="B16" s="58" t="s">
        <v>56</v>
      </c>
      <c r="C16" s="59" t="s">
        <v>57</v>
      </c>
      <c r="D16" s="59" t="s">
        <v>58</v>
      </c>
      <c r="E16" s="58"/>
      <c r="F16" s="61">
        <v>45747</v>
      </c>
      <c r="G16" s="61">
        <v>45750</v>
      </c>
      <c r="H16" s="61"/>
      <c r="I16" s="60">
        <v>0.33333333333333331</v>
      </c>
      <c r="J16" s="64"/>
      <c r="K16" s="64"/>
      <c r="L16" s="64"/>
      <c r="M16" s="64"/>
      <c r="N16" s="64"/>
      <c r="O16" s="58" t="s">
        <v>267</v>
      </c>
      <c r="P16" s="58" t="s">
        <v>55</v>
      </c>
      <c r="Q16" s="13">
        <v>45</v>
      </c>
      <c r="R16" s="13">
        <v>4</v>
      </c>
      <c r="S16" s="13"/>
      <c r="T16" s="62"/>
      <c r="U16" s="13"/>
      <c r="V16" s="13"/>
      <c r="W16" s="13"/>
      <c r="X16" s="58"/>
      <c r="Y16" s="51">
        <f ca="1">Table24[[#This Row],[End Date]]+2-TODAY()</f>
        <v>-492</v>
      </c>
      <c r="Z16" s="13">
        <f>IF(ISBLANK(Table24[[#This Row],[Roster Received By]]),1,0)</f>
        <v>1</v>
      </c>
      <c r="AA16" s="13">
        <f ca="1">IF(Table24[[#This Row],[Start Date]]&gt;TODAY(),1,)</f>
        <v>0</v>
      </c>
    </row>
    <row r="17" spans="1:27" s="65" customFormat="1" ht="14.25" customHeight="1" x14ac:dyDescent="0.25">
      <c r="A17" s="46"/>
      <c r="B17" s="58" t="s">
        <v>56</v>
      </c>
      <c r="C17" s="59" t="s">
        <v>57</v>
      </c>
      <c r="D17" s="59" t="s">
        <v>58</v>
      </c>
      <c r="E17" s="58"/>
      <c r="F17" s="61">
        <v>45762</v>
      </c>
      <c r="G17" s="61">
        <v>45765</v>
      </c>
      <c r="H17" s="61"/>
      <c r="I17" s="60">
        <v>0.41666666666666669</v>
      </c>
      <c r="J17" s="64"/>
      <c r="K17" s="64"/>
      <c r="L17" s="64"/>
      <c r="M17" s="64"/>
      <c r="N17" s="64"/>
      <c r="O17" s="58" t="s">
        <v>267</v>
      </c>
      <c r="P17" s="58" t="s">
        <v>55</v>
      </c>
      <c r="Q17" s="13">
        <v>45</v>
      </c>
      <c r="R17" s="13">
        <v>4</v>
      </c>
      <c r="S17" s="62"/>
      <c r="T17" s="62"/>
      <c r="U17" s="13"/>
      <c r="V17" s="13"/>
      <c r="W17" s="13"/>
      <c r="X17" s="58"/>
      <c r="Y17" s="51">
        <f ca="1">Table24[[#This Row],[End Date]]+2-TODAY()</f>
        <v>-477</v>
      </c>
      <c r="Z17" s="13">
        <f>IF(ISBLANK(Table24[[#This Row],[Roster Received By]]),1,0)</f>
        <v>1</v>
      </c>
      <c r="AA17" s="13">
        <f ca="1">IF(Table24[[#This Row],[Start Date]]&gt;TODAY(),1,)</f>
        <v>0</v>
      </c>
    </row>
    <row r="18" spans="1:27" s="65" customFormat="1" ht="14.25" customHeight="1" x14ac:dyDescent="0.25">
      <c r="A18" s="46"/>
      <c r="B18" s="58" t="s">
        <v>56</v>
      </c>
      <c r="C18" s="59" t="s">
        <v>57</v>
      </c>
      <c r="D18" s="59" t="s">
        <v>58</v>
      </c>
      <c r="E18" s="58"/>
      <c r="F18" s="61">
        <v>45775</v>
      </c>
      <c r="G18" s="61">
        <v>45778</v>
      </c>
      <c r="H18" s="61"/>
      <c r="I18" s="60">
        <v>0.54166666666666663</v>
      </c>
      <c r="J18" s="64"/>
      <c r="K18" s="64"/>
      <c r="L18" s="64"/>
      <c r="M18" s="64"/>
      <c r="N18" s="64"/>
      <c r="O18" s="58" t="s">
        <v>267</v>
      </c>
      <c r="P18" s="58" t="s">
        <v>55</v>
      </c>
      <c r="Q18" s="13">
        <v>45</v>
      </c>
      <c r="R18" s="13">
        <v>4</v>
      </c>
      <c r="S18" s="62"/>
      <c r="T18" s="62"/>
      <c r="U18" s="13"/>
      <c r="V18" s="13"/>
      <c r="W18" s="13"/>
      <c r="X18" s="58"/>
      <c r="Y18" s="51">
        <f ca="1">Table24[[#This Row],[End Date]]+2-TODAY()</f>
        <v>-464</v>
      </c>
      <c r="Z18" s="13">
        <f>IF(ISBLANK(Table24[[#This Row],[Roster Received By]]),1,0)</f>
        <v>1</v>
      </c>
      <c r="AA18" s="13">
        <f ca="1">IF(Table24[[#This Row],[Start Date]]&gt;TODAY(),1,)</f>
        <v>0</v>
      </c>
    </row>
    <row r="19" spans="1:27" s="65" customFormat="1" ht="16.5" customHeight="1" x14ac:dyDescent="0.25">
      <c r="A19" s="110" t="s">
        <v>268</v>
      </c>
      <c r="B19" s="111" t="s">
        <v>56</v>
      </c>
      <c r="C19" s="113" t="s">
        <v>57</v>
      </c>
      <c r="D19" s="113" t="s">
        <v>58</v>
      </c>
      <c r="E19" s="111"/>
      <c r="F19" s="114">
        <v>45789</v>
      </c>
      <c r="G19" s="114">
        <v>45792</v>
      </c>
      <c r="H19" s="114"/>
      <c r="I19" s="115">
        <v>0.45833333333333331</v>
      </c>
      <c r="J19" s="117"/>
      <c r="K19" s="117"/>
      <c r="L19" s="117"/>
      <c r="M19" s="117"/>
      <c r="N19" s="117"/>
      <c r="O19" s="111" t="s">
        <v>267</v>
      </c>
      <c r="P19" s="111" t="s">
        <v>55</v>
      </c>
      <c r="Q19" s="116">
        <v>45</v>
      </c>
      <c r="R19" s="116">
        <v>4</v>
      </c>
      <c r="S19" s="13"/>
      <c r="T19" s="62"/>
      <c r="U19" s="13"/>
      <c r="V19" s="13"/>
      <c r="W19" s="62"/>
      <c r="X19" s="58"/>
      <c r="Y19" s="51">
        <f ca="1">Table24[[#This Row],[End Date]]+2-TODAY()</f>
        <v>-450</v>
      </c>
      <c r="Z19" s="13">
        <f>IF(ISBLANK(Table24[[#This Row],[Roster Received By]]),1,0)</f>
        <v>1</v>
      </c>
      <c r="AA19" s="13">
        <f ca="1">IF(Table24[[#This Row],[Start Date]]&gt;TODAY(),1,)</f>
        <v>0</v>
      </c>
    </row>
    <row r="20" spans="1:27" s="65" customFormat="1" ht="14.25" customHeight="1" x14ac:dyDescent="0.25">
      <c r="A20" s="118" t="s">
        <v>269</v>
      </c>
      <c r="B20" s="119" t="s">
        <v>56</v>
      </c>
      <c r="C20" s="120" t="s">
        <v>57</v>
      </c>
      <c r="D20" s="120" t="s">
        <v>58</v>
      </c>
      <c r="E20" s="119"/>
      <c r="F20" s="121">
        <v>45804</v>
      </c>
      <c r="G20" s="122">
        <v>45807</v>
      </c>
      <c r="H20" s="122"/>
      <c r="I20" s="123">
        <v>0.33333333333333331</v>
      </c>
      <c r="J20" s="123"/>
      <c r="K20" s="123"/>
      <c r="L20" s="123"/>
      <c r="M20" s="123"/>
      <c r="N20" s="123"/>
      <c r="O20" s="119" t="s">
        <v>267</v>
      </c>
      <c r="P20" s="119" t="s">
        <v>55</v>
      </c>
      <c r="Q20" s="124">
        <v>45</v>
      </c>
      <c r="R20" s="124">
        <v>4</v>
      </c>
      <c r="S20" s="13"/>
      <c r="T20" s="62"/>
      <c r="U20" s="13"/>
      <c r="V20" s="13"/>
      <c r="W20" s="13"/>
      <c r="X20" s="58"/>
      <c r="Y20" s="51">
        <f ca="1">Table24[[#This Row],[End Date]]+2-TODAY()</f>
        <v>-435</v>
      </c>
      <c r="Z20" s="13">
        <f>IF(ISBLANK(Table24[[#This Row],[Roster Received By]]),1,0)</f>
        <v>1</v>
      </c>
      <c r="AA20" s="13">
        <f ca="1">IF(Table24[[#This Row],[Start Date]]&gt;TODAY(),1,)</f>
        <v>0</v>
      </c>
    </row>
    <row r="21" spans="1:27" s="65" customFormat="1" ht="14.25" customHeight="1" x14ac:dyDescent="0.25">
      <c r="A21" s="47"/>
      <c r="B21" s="58" t="s">
        <v>56</v>
      </c>
      <c r="C21" s="59" t="s">
        <v>57</v>
      </c>
      <c r="D21" s="59" t="s">
        <v>58</v>
      </c>
      <c r="E21" s="58"/>
      <c r="F21" s="61">
        <v>45810</v>
      </c>
      <c r="G21" s="61">
        <v>45813</v>
      </c>
      <c r="H21" s="64"/>
      <c r="I21" s="64">
        <v>0.54166666666666663</v>
      </c>
      <c r="J21" s="64"/>
      <c r="K21" s="64"/>
      <c r="L21" s="64"/>
      <c r="M21" s="64"/>
      <c r="N21" s="64"/>
      <c r="O21" s="58" t="s">
        <v>267</v>
      </c>
      <c r="P21" s="58" t="s">
        <v>55</v>
      </c>
      <c r="Q21" s="13">
        <v>45</v>
      </c>
      <c r="R21" s="13">
        <v>4</v>
      </c>
      <c r="S21" s="62"/>
      <c r="T21" s="62"/>
      <c r="U21" s="13"/>
      <c r="V21" s="13"/>
      <c r="W21" s="59"/>
      <c r="X21" s="58"/>
      <c r="Y21" s="51">
        <f ca="1">Table24[[#This Row],[End Date]]+2-TODAY()</f>
        <v>-429</v>
      </c>
      <c r="Z21" s="13">
        <f>IF(ISBLANK(Table24[[#This Row],[Roster Received By]]),1,0)</f>
        <v>1</v>
      </c>
      <c r="AA21" s="13">
        <f ca="1">IF(Table24[[#This Row],[Start Date]]&gt;TODAY(),1,)</f>
        <v>0</v>
      </c>
    </row>
    <row r="22" spans="1:27" s="65" customFormat="1" ht="14.25" customHeight="1" x14ac:dyDescent="0.25">
      <c r="A22" s="58"/>
      <c r="B22" s="58" t="s">
        <v>56</v>
      </c>
      <c r="C22" s="59" t="s">
        <v>57</v>
      </c>
      <c r="D22" s="59" t="s">
        <v>58</v>
      </c>
      <c r="E22" s="58"/>
      <c r="F22" s="61">
        <v>45831</v>
      </c>
      <c r="G22" s="61">
        <v>45834</v>
      </c>
      <c r="H22" s="64"/>
      <c r="I22" s="60">
        <v>0.29166666666666669</v>
      </c>
      <c r="J22" s="64"/>
      <c r="K22" s="64"/>
      <c r="L22" s="64"/>
      <c r="M22" s="64"/>
      <c r="N22" s="64"/>
      <c r="O22" s="58" t="s">
        <v>267</v>
      </c>
      <c r="P22" s="58" t="s">
        <v>55</v>
      </c>
      <c r="Q22" s="13">
        <v>45</v>
      </c>
      <c r="R22" s="13">
        <v>4</v>
      </c>
      <c r="S22" s="62"/>
      <c r="T22" s="62"/>
      <c r="U22" s="13"/>
      <c r="V22" s="13"/>
      <c r="W22" s="62"/>
      <c r="X22" s="58"/>
      <c r="Y22" s="51">
        <f ca="1">Table24[[#This Row],[End Date]]+2-TODAY()</f>
        <v>-408</v>
      </c>
      <c r="Z22" s="13">
        <f>IF(ISBLANK(Table24[[#This Row],[Roster Received By]]),1,0)</f>
        <v>1</v>
      </c>
      <c r="AA22" s="13">
        <f ca="1">IF(Table24[[#This Row],[Start Date]]&gt;TODAY(),1,)</f>
        <v>0</v>
      </c>
    </row>
    <row r="23" spans="1:27" s="65" customFormat="1" ht="14.25" customHeight="1" x14ac:dyDescent="0.25">
      <c r="A23" s="46"/>
      <c r="B23" s="58" t="s">
        <v>56</v>
      </c>
      <c r="C23" s="59" t="s">
        <v>57</v>
      </c>
      <c r="D23" s="59" t="s">
        <v>58</v>
      </c>
      <c r="E23" s="58"/>
      <c r="F23" s="61">
        <v>45845</v>
      </c>
      <c r="G23" s="61">
        <v>45848</v>
      </c>
      <c r="H23" s="64"/>
      <c r="I23" s="60">
        <v>0.79166666666666663</v>
      </c>
      <c r="J23" s="64"/>
      <c r="K23" s="64"/>
      <c r="L23" s="64"/>
      <c r="M23" s="64"/>
      <c r="N23" s="64"/>
      <c r="O23" s="58" t="s">
        <v>267</v>
      </c>
      <c r="P23" s="58" t="s">
        <v>55</v>
      </c>
      <c r="Q23" s="13">
        <v>45</v>
      </c>
      <c r="R23" s="13">
        <v>4</v>
      </c>
      <c r="S23" s="13"/>
      <c r="T23" s="62"/>
      <c r="U23" s="13"/>
      <c r="V23" s="13"/>
      <c r="W23" s="13"/>
      <c r="X23" s="58"/>
      <c r="Y23" s="51">
        <f ca="1">Table24[[#This Row],[End Date]]+2-TODAY()</f>
        <v>-394</v>
      </c>
      <c r="Z23" s="13">
        <f>IF(ISBLANK(Table24[[#This Row],[Roster Received By]]),1,0)</f>
        <v>1</v>
      </c>
      <c r="AA23" s="13">
        <f ca="1">IF(Table24[[#This Row],[Start Date]]&gt;TODAY(),1,)</f>
        <v>0</v>
      </c>
    </row>
    <row r="24" spans="1:27" s="97" customFormat="1" ht="14.25" customHeight="1" x14ac:dyDescent="0.25">
      <c r="A24" s="110" t="s">
        <v>270</v>
      </c>
      <c r="B24" s="111" t="s">
        <v>56</v>
      </c>
      <c r="C24" s="113" t="s">
        <v>57</v>
      </c>
      <c r="D24" s="113" t="s">
        <v>58</v>
      </c>
      <c r="E24" s="111"/>
      <c r="F24" s="114">
        <v>45859</v>
      </c>
      <c r="G24" s="114">
        <v>45862</v>
      </c>
      <c r="H24" s="117"/>
      <c r="I24" s="117">
        <v>0.33333333333333331</v>
      </c>
      <c r="J24" s="114"/>
      <c r="K24" s="114"/>
      <c r="L24" s="114"/>
      <c r="M24" s="114"/>
      <c r="N24" s="114"/>
      <c r="O24" s="111" t="s">
        <v>267</v>
      </c>
      <c r="P24" s="111" t="s">
        <v>55</v>
      </c>
      <c r="Q24" s="116">
        <v>45</v>
      </c>
      <c r="R24" s="116">
        <v>4</v>
      </c>
      <c r="S24" s="13"/>
      <c r="T24" s="62"/>
      <c r="U24" s="13"/>
      <c r="V24" s="13"/>
      <c r="W24" s="13"/>
      <c r="X24" s="58"/>
      <c r="Y24" s="51">
        <f ca="1">Table24[[#This Row],[End Date]]+2-TODAY()</f>
        <v>-380</v>
      </c>
      <c r="Z24" s="13">
        <f>IF(ISBLANK(Table24[[#This Row],[Roster Received By]]),1,0)</f>
        <v>1</v>
      </c>
      <c r="AA24" s="13">
        <f ca="1">IF(Table24[[#This Row],[Start Date]]&gt;TODAY(),1,)</f>
        <v>0</v>
      </c>
    </row>
    <row r="25" spans="1:27" s="65" customFormat="1" ht="16.5" customHeight="1" x14ac:dyDescent="0.25">
      <c r="A25" s="59"/>
      <c r="B25" s="58" t="s">
        <v>56</v>
      </c>
      <c r="C25" s="59" t="s">
        <v>57</v>
      </c>
      <c r="D25" s="59" t="s">
        <v>58</v>
      </c>
      <c r="E25" s="58"/>
      <c r="F25" s="49">
        <v>45873</v>
      </c>
      <c r="G25" s="49">
        <v>45876</v>
      </c>
      <c r="H25" s="49"/>
      <c r="I25" s="60">
        <v>0.45833333333333331</v>
      </c>
      <c r="J25" s="60"/>
      <c r="K25" s="60"/>
      <c r="L25" s="60"/>
      <c r="M25" s="60"/>
      <c r="N25" s="60"/>
      <c r="O25" s="58" t="s">
        <v>267</v>
      </c>
      <c r="P25" s="58" t="s">
        <v>55</v>
      </c>
      <c r="Q25" s="13">
        <v>45</v>
      </c>
      <c r="R25" s="13">
        <v>4</v>
      </c>
      <c r="S25" s="66"/>
      <c r="T25" s="62"/>
      <c r="U25" s="13"/>
      <c r="V25" s="13"/>
      <c r="W25" s="13"/>
      <c r="X25" s="58"/>
      <c r="Y25" s="51">
        <f ca="1">Table24[[#This Row],[End Date]]+2-TODAY()</f>
        <v>-366</v>
      </c>
      <c r="Z25" s="13">
        <f>IF(ISBLANK(Table24[[#This Row],[Roster Received By]]),1,0)</f>
        <v>1</v>
      </c>
      <c r="AA25" s="13">
        <f ca="1">IF(Table24[[#This Row],[Start Date]]&gt;TODAY(),1,)</f>
        <v>0</v>
      </c>
    </row>
    <row r="26" spans="1:27" s="65" customFormat="1" ht="16.5" customHeight="1" x14ac:dyDescent="0.25">
      <c r="A26" s="59"/>
      <c r="B26" s="58" t="s">
        <v>56</v>
      </c>
      <c r="C26" s="59" t="s">
        <v>57</v>
      </c>
      <c r="D26" s="59" t="s">
        <v>58</v>
      </c>
      <c r="E26" s="58"/>
      <c r="F26" s="49">
        <v>45880</v>
      </c>
      <c r="G26" s="49">
        <v>45883</v>
      </c>
      <c r="H26" s="49"/>
      <c r="I26" s="60">
        <v>0.54166666666666663</v>
      </c>
      <c r="J26" s="60"/>
      <c r="K26" s="60"/>
      <c r="L26" s="60"/>
      <c r="M26" s="60"/>
      <c r="N26" s="60"/>
      <c r="O26" s="58" t="s">
        <v>267</v>
      </c>
      <c r="P26" s="58" t="s">
        <v>55</v>
      </c>
      <c r="Q26" s="13">
        <v>45</v>
      </c>
      <c r="R26" s="13">
        <v>4</v>
      </c>
      <c r="S26" s="146"/>
      <c r="T26" s="62"/>
      <c r="U26" s="13"/>
      <c r="V26" s="13"/>
      <c r="W26" s="13"/>
      <c r="X26" s="58"/>
      <c r="Y26" s="51">
        <f ca="1">Table24[[#This Row],[End Date]]+2-TODAY()</f>
        <v>-359</v>
      </c>
      <c r="Z26" s="13">
        <f>IF(ISBLANK(Table24[[#This Row],[Roster Received By]]),1,0)</f>
        <v>1</v>
      </c>
      <c r="AA26" s="13">
        <f ca="1">IF(Table24[[#This Row],[Start Date]]&gt;TODAY(),1,)</f>
        <v>0</v>
      </c>
    </row>
    <row r="27" spans="1:27" s="65" customFormat="1" ht="16.5" customHeight="1" x14ac:dyDescent="0.25">
      <c r="A27" s="46"/>
      <c r="B27" s="58" t="s">
        <v>56</v>
      </c>
      <c r="C27" s="59" t="s">
        <v>57</v>
      </c>
      <c r="D27" s="59" t="s">
        <v>58</v>
      </c>
      <c r="E27" s="58"/>
      <c r="F27" s="49">
        <v>45887</v>
      </c>
      <c r="G27" s="49">
        <v>45890</v>
      </c>
      <c r="H27" s="49"/>
      <c r="I27" s="60">
        <v>0.41666666666666669</v>
      </c>
      <c r="J27" s="60"/>
      <c r="K27" s="60"/>
      <c r="L27" s="60"/>
      <c r="M27" s="60"/>
      <c r="N27" s="60"/>
      <c r="O27" s="58" t="s">
        <v>267</v>
      </c>
      <c r="P27" s="58" t="s">
        <v>55</v>
      </c>
      <c r="Q27" s="13">
        <v>45</v>
      </c>
      <c r="R27" s="13">
        <v>4</v>
      </c>
      <c r="S27" s="13"/>
      <c r="T27" s="62"/>
      <c r="U27" s="13"/>
      <c r="V27" s="13"/>
      <c r="W27" s="13"/>
      <c r="X27" s="58"/>
      <c r="Y27" s="51">
        <f ca="1">Table24[[#This Row],[End Date]]+2-TODAY()</f>
        <v>-352</v>
      </c>
      <c r="Z27" s="13">
        <f>IF(ISBLANK(Table24[[#This Row],[Roster Received By]]),1,0)</f>
        <v>1</v>
      </c>
      <c r="AA27" s="13">
        <f ca="1">IF(Table24[[#This Row],[Start Date]]&gt;TODAY(),1,)</f>
        <v>0</v>
      </c>
    </row>
    <row r="28" spans="1:27" s="65" customFormat="1" ht="14.25" customHeight="1" x14ac:dyDescent="0.25">
      <c r="A28" s="46"/>
      <c r="B28" s="58" t="s">
        <v>56</v>
      </c>
      <c r="C28" s="59" t="s">
        <v>57</v>
      </c>
      <c r="D28" s="59" t="s">
        <v>58</v>
      </c>
      <c r="E28" s="58"/>
      <c r="F28" s="49">
        <v>45902</v>
      </c>
      <c r="G28" s="49">
        <v>45905</v>
      </c>
      <c r="H28" s="49"/>
      <c r="I28" s="60">
        <v>0.33333333333333331</v>
      </c>
      <c r="J28" s="60"/>
      <c r="K28" s="60"/>
      <c r="L28" s="60"/>
      <c r="M28" s="60"/>
      <c r="N28" s="60"/>
      <c r="O28" s="58" t="s">
        <v>267</v>
      </c>
      <c r="P28" s="58" t="s">
        <v>55</v>
      </c>
      <c r="Q28" s="13">
        <v>45</v>
      </c>
      <c r="R28" s="13">
        <v>4</v>
      </c>
      <c r="S28" s="13"/>
      <c r="T28" s="62"/>
      <c r="U28" s="13"/>
      <c r="V28" s="13"/>
      <c r="W28" s="13"/>
      <c r="X28" s="58"/>
      <c r="Y28" s="51">
        <f ca="1">Table24[[#This Row],[End Date]]+2-TODAY()</f>
        <v>-337</v>
      </c>
      <c r="Z28" s="13">
        <f>IF(ISBLANK(Table24[[#This Row],[Roster Received By]]),1,0)</f>
        <v>1</v>
      </c>
      <c r="AA28" s="13">
        <f ca="1">IF(Table24[[#This Row],[Start Date]]&gt;TODAY(),1,)</f>
        <v>0</v>
      </c>
    </row>
    <row r="29" spans="1:27" s="65" customFormat="1" ht="14.25" customHeight="1" x14ac:dyDescent="0.25">
      <c r="A29" s="46"/>
      <c r="B29" s="58" t="s">
        <v>56</v>
      </c>
      <c r="C29" s="59" t="s">
        <v>57</v>
      </c>
      <c r="D29" s="59" t="s">
        <v>58</v>
      </c>
      <c r="E29" s="58"/>
      <c r="F29" s="61">
        <v>45915</v>
      </c>
      <c r="G29" s="61">
        <v>45918</v>
      </c>
      <c r="H29" s="61"/>
      <c r="I29" s="60">
        <v>0.54166666666666663</v>
      </c>
      <c r="J29" s="60"/>
      <c r="K29" s="60"/>
      <c r="L29" s="60"/>
      <c r="M29" s="60"/>
      <c r="N29" s="60"/>
      <c r="O29" s="58" t="s">
        <v>267</v>
      </c>
      <c r="P29" s="58" t="s">
        <v>55</v>
      </c>
      <c r="Q29" s="13">
        <v>45</v>
      </c>
      <c r="R29" s="13">
        <v>4</v>
      </c>
      <c r="S29" s="13"/>
      <c r="T29" s="62"/>
      <c r="U29" s="13"/>
      <c r="V29" s="13"/>
      <c r="W29" s="13"/>
      <c r="X29" s="58"/>
      <c r="Y29" s="51">
        <f ca="1">Table24[[#This Row],[End Date]]+2-TODAY()</f>
        <v>-324</v>
      </c>
      <c r="Z29" s="13">
        <f>IF(ISBLANK(Table24[[#This Row],[Roster Received By]]),1,0)</f>
        <v>1</v>
      </c>
      <c r="AA29" s="13">
        <f ca="1">IF(Table24[[#This Row],[Start Date]]&gt;TODAY(),1,)</f>
        <v>0</v>
      </c>
    </row>
    <row r="30" spans="1:27" s="65" customFormat="1" ht="14.25" customHeight="1" x14ac:dyDescent="0.25">
      <c r="A30" s="46"/>
      <c r="B30" s="58" t="s">
        <v>56</v>
      </c>
      <c r="C30" s="59" t="s">
        <v>57</v>
      </c>
      <c r="D30" s="59" t="s">
        <v>58</v>
      </c>
      <c r="E30" s="58"/>
      <c r="F30" s="49">
        <v>45929</v>
      </c>
      <c r="G30" s="49">
        <v>45932</v>
      </c>
      <c r="H30" s="49"/>
      <c r="I30" s="60">
        <v>0.33333333333333331</v>
      </c>
      <c r="J30" s="60"/>
      <c r="K30" s="60"/>
      <c r="L30" s="60"/>
      <c r="M30" s="60"/>
      <c r="N30" s="60"/>
      <c r="O30" s="58" t="s">
        <v>267</v>
      </c>
      <c r="P30" s="58" t="s">
        <v>55</v>
      </c>
      <c r="Q30" s="13">
        <v>45</v>
      </c>
      <c r="R30" s="13">
        <v>4</v>
      </c>
      <c r="S30" s="13"/>
      <c r="T30" s="62"/>
      <c r="U30" s="13"/>
      <c r="V30" s="13"/>
      <c r="W30" s="59"/>
      <c r="X30" s="58"/>
      <c r="Y30" s="51">
        <f ca="1">Table24[[#This Row],[End Date]]+2-TODAY()</f>
        <v>-310</v>
      </c>
      <c r="Z30" s="13">
        <f>IF(ISBLANK(Table24[[#This Row],[Roster Received By]]),1,0)</f>
        <v>1</v>
      </c>
      <c r="AA30" s="13">
        <f ca="1">IF(Table24[[#This Row],[Start Date]]&gt;TODAY(),1,)</f>
        <v>0</v>
      </c>
    </row>
    <row r="31" spans="1:27" s="65" customFormat="1" ht="16.5" customHeight="1" x14ac:dyDescent="0.25">
      <c r="A31" s="46"/>
      <c r="B31" s="58" t="s">
        <v>53</v>
      </c>
      <c r="C31" s="59" t="s">
        <v>109</v>
      </c>
      <c r="D31" s="59">
        <v>1228</v>
      </c>
      <c r="E31" s="58"/>
      <c r="F31" s="49">
        <v>45566</v>
      </c>
      <c r="G31" s="49">
        <v>45569</v>
      </c>
      <c r="H31" s="49"/>
      <c r="I31" s="67">
        <v>0.41666666666666669</v>
      </c>
      <c r="J31" s="60"/>
      <c r="K31" s="60"/>
      <c r="L31" s="60"/>
      <c r="M31" s="60"/>
      <c r="N31" s="60"/>
      <c r="O31" s="58" t="s">
        <v>55</v>
      </c>
      <c r="P31" s="58" t="s">
        <v>267</v>
      </c>
      <c r="Q31" s="13">
        <v>45</v>
      </c>
      <c r="R31" s="145">
        <v>5</v>
      </c>
      <c r="S31" s="13"/>
      <c r="T31" s="62"/>
      <c r="U31" s="13"/>
      <c r="V31" s="13"/>
      <c r="W31" s="13"/>
      <c r="X31" s="58"/>
      <c r="Y31" s="51">
        <f ca="1">Table24[[#This Row],[End Date]]+2-TODAY()</f>
        <v>-673</v>
      </c>
      <c r="Z31" s="13">
        <f>IF(ISBLANK(Table24[[#This Row],[Roster Received By]]),1,0)</f>
        <v>1</v>
      </c>
      <c r="AA31" s="13">
        <f ca="1">IF(Table24[[#This Row],[Start Date]]&gt;TODAY(),1,)</f>
        <v>0</v>
      </c>
    </row>
    <row r="32" spans="1:27" s="65" customFormat="1" ht="16.5" customHeight="1" x14ac:dyDescent="0.25">
      <c r="A32" s="46"/>
      <c r="B32" s="58" t="s">
        <v>53</v>
      </c>
      <c r="C32" s="59" t="s">
        <v>109</v>
      </c>
      <c r="D32" s="59">
        <v>1228</v>
      </c>
      <c r="E32" s="47"/>
      <c r="F32" s="61">
        <v>45580</v>
      </c>
      <c r="G32" s="61">
        <v>45583</v>
      </c>
      <c r="H32" s="64"/>
      <c r="I32" s="60">
        <v>1300.5416666666667</v>
      </c>
      <c r="J32" s="61"/>
      <c r="K32" s="61"/>
      <c r="L32" s="61"/>
      <c r="M32" s="61"/>
      <c r="N32" s="61"/>
      <c r="O32" s="58" t="s">
        <v>55</v>
      </c>
      <c r="P32" s="58" t="s">
        <v>267</v>
      </c>
      <c r="Q32" s="13">
        <v>45</v>
      </c>
      <c r="R32" s="145">
        <v>5</v>
      </c>
      <c r="S32" s="13"/>
      <c r="T32" s="62"/>
      <c r="U32" s="13"/>
      <c r="V32" s="13"/>
      <c r="W32" s="13"/>
      <c r="X32" s="58"/>
      <c r="Y32" s="51">
        <f ca="1">Table24[[#This Row],[End Date]]+2-TODAY()</f>
        <v>-659</v>
      </c>
      <c r="Z32" s="13">
        <f>IF(ISBLANK(Table24[[#This Row],[Roster Received By]]),1,0)</f>
        <v>1</v>
      </c>
      <c r="AA32" s="13">
        <f ca="1">IF(Table24[[#This Row],[Start Date]]&gt;TODAY(),1,)</f>
        <v>0</v>
      </c>
    </row>
    <row r="33" spans="1:27" s="65" customFormat="1" ht="14.25" customHeight="1" x14ac:dyDescent="0.25">
      <c r="A33" s="46"/>
      <c r="B33" s="58" t="s">
        <v>53</v>
      </c>
      <c r="C33" s="59" t="s">
        <v>109</v>
      </c>
      <c r="D33" s="59">
        <v>1228</v>
      </c>
      <c r="E33" s="58"/>
      <c r="F33" s="69">
        <v>45593</v>
      </c>
      <c r="G33" s="69">
        <v>45596</v>
      </c>
      <c r="H33" s="67"/>
      <c r="I33" s="64">
        <v>800.33333333333337</v>
      </c>
      <c r="J33" s="61"/>
      <c r="K33" s="61"/>
      <c r="L33" s="61"/>
      <c r="M33" s="61"/>
      <c r="N33" s="61"/>
      <c r="O33" s="58" t="s">
        <v>55</v>
      </c>
      <c r="P33" s="58" t="s">
        <v>267</v>
      </c>
      <c r="Q33" s="13">
        <v>45</v>
      </c>
      <c r="R33" s="145">
        <v>5</v>
      </c>
      <c r="S33" s="62"/>
      <c r="T33" s="62"/>
      <c r="U33" s="13"/>
      <c r="V33" s="13"/>
      <c r="W33" s="13"/>
      <c r="X33" s="58"/>
      <c r="Y33" s="51">
        <f ca="1">Table24[[#This Row],[End Date]]+2-TODAY()</f>
        <v>-646</v>
      </c>
      <c r="Z33" s="13">
        <f>IF(ISBLANK(Table24[[#This Row],[Roster Received By]]),1,0)</f>
        <v>1</v>
      </c>
      <c r="AA33" s="13">
        <f ca="1">IF(Table24[[#This Row],[Start Date]]&gt;TODAY(),1,)</f>
        <v>0</v>
      </c>
    </row>
    <row r="34" spans="1:27" s="65" customFormat="1" ht="14.25" customHeight="1" x14ac:dyDescent="0.25">
      <c r="A34" s="46"/>
      <c r="B34" s="58" t="s">
        <v>53</v>
      </c>
      <c r="C34" s="59" t="s">
        <v>109</v>
      </c>
      <c r="D34" s="59">
        <v>1228</v>
      </c>
      <c r="E34" s="58"/>
      <c r="F34" s="61">
        <v>45600</v>
      </c>
      <c r="G34" s="61">
        <v>45603</v>
      </c>
      <c r="H34" s="64"/>
      <c r="I34" s="60">
        <v>1000.4166666666666</v>
      </c>
      <c r="J34" s="64"/>
      <c r="K34" s="64"/>
      <c r="L34" s="64"/>
      <c r="M34" s="64"/>
      <c r="N34" s="64"/>
      <c r="O34" s="58" t="s">
        <v>55</v>
      </c>
      <c r="P34" s="58" t="s">
        <v>267</v>
      </c>
      <c r="Q34" s="13">
        <v>45</v>
      </c>
      <c r="R34" s="145">
        <v>5</v>
      </c>
      <c r="S34" s="13"/>
      <c r="T34" s="62"/>
      <c r="U34" s="13"/>
      <c r="V34" s="13"/>
      <c r="W34" s="13"/>
      <c r="X34" s="58"/>
      <c r="Y34" s="51">
        <f ca="1">Table24[[#This Row],[End Date]]+2-TODAY()</f>
        <v>-639</v>
      </c>
      <c r="Z34" s="13">
        <f>IF(ISBLANK(Table24[[#This Row],[Roster Received By]]),1,0)</f>
        <v>1</v>
      </c>
      <c r="AA34" s="13">
        <f ca="1">IF(Table24[[#This Row],[Start Date]]&gt;TODAY(),1,)</f>
        <v>0</v>
      </c>
    </row>
    <row r="35" spans="1:27" s="65" customFormat="1" ht="14.25" customHeight="1" x14ac:dyDescent="0.25">
      <c r="A35" s="46"/>
      <c r="B35" s="58" t="s">
        <v>53</v>
      </c>
      <c r="C35" s="59" t="s">
        <v>109</v>
      </c>
      <c r="D35" s="59">
        <v>1228</v>
      </c>
      <c r="E35" s="58"/>
      <c r="F35" s="61">
        <v>45979</v>
      </c>
      <c r="G35" s="61">
        <v>45982</v>
      </c>
      <c r="H35" s="64"/>
      <c r="I35" s="67">
        <v>700.29166666666663</v>
      </c>
      <c r="J35" s="64"/>
      <c r="K35" s="64"/>
      <c r="L35" s="64"/>
      <c r="M35" s="64"/>
      <c r="N35" s="64"/>
      <c r="O35" s="58" t="s">
        <v>55</v>
      </c>
      <c r="P35" s="58" t="s">
        <v>267</v>
      </c>
      <c r="Q35" s="13">
        <v>45</v>
      </c>
      <c r="R35" s="145">
        <v>5</v>
      </c>
      <c r="S35" s="62"/>
      <c r="T35" s="62"/>
      <c r="U35" s="13"/>
      <c r="V35" s="13"/>
      <c r="W35" s="13"/>
      <c r="X35" s="58"/>
      <c r="Y35" s="51">
        <f ca="1">Table24[[#This Row],[End Date]]+2-TODAY()</f>
        <v>-260</v>
      </c>
      <c r="Z35" s="13">
        <f>IF(ISBLANK(Table24[[#This Row],[Roster Received By]]),1,0)</f>
        <v>1</v>
      </c>
      <c r="AA35" s="13">
        <f ca="1">IF(Table24[[#This Row],[Start Date]]&gt;TODAY(),1,)</f>
        <v>0</v>
      </c>
    </row>
    <row r="36" spans="1:27" s="65" customFormat="1" ht="14.25" customHeight="1" x14ac:dyDescent="0.25">
      <c r="A36" s="46"/>
      <c r="B36" s="58" t="s">
        <v>53</v>
      </c>
      <c r="C36" s="59" t="s">
        <v>109</v>
      </c>
      <c r="D36" s="59">
        <v>1228</v>
      </c>
      <c r="E36" s="58"/>
      <c r="F36" s="61">
        <v>46000</v>
      </c>
      <c r="G36" s="61">
        <v>46003</v>
      </c>
      <c r="H36" s="64"/>
      <c r="I36" s="60">
        <v>0.33333333333333331</v>
      </c>
      <c r="J36" s="61"/>
      <c r="K36" s="61"/>
      <c r="L36" s="61"/>
      <c r="M36" s="61"/>
      <c r="N36" s="61"/>
      <c r="O36" s="58" t="s">
        <v>55</v>
      </c>
      <c r="P36" s="58" t="s">
        <v>267</v>
      </c>
      <c r="Q36" s="13">
        <v>45</v>
      </c>
      <c r="R36" s="145">
        <v>5</v>
      </c>
      <c r="S36" s="13"/>
      <c r="T36" s="62"/>
      <c r="U36" s="13"/>
      <c r="V36" s="13"/>
      <c r="W36" s="13"/>
      <c r="X36" s="58"/>
      <c r="Y36" s="51">
        <f ca="1">Table24[[#This Row],[End Date]]+2-TODAY()</f>
        <v>-239</v>
      </c>
      <c r="Z36" s="13">
        <f>IF(ISBLANK(Table24[[#This Row],[Roster Received By]]),1,0)</f>
        <v>1</v>
      </c>
      <c r="AA36" s="13">
        <f ca="1">IF(Table24[[#This Row],[Start Date]]&gt;TODAY(),1,)</f>
        <v>0</v>
      </c>
    </row>
    <row r="37" spans="1:27" s="98" customFormat="1" ht="14.25" customHeight="1" x14ac:dyDescent="0.25">
      <c r="A37" s="46"/>
      <c r="B37" s="58" t="s">
        <v>53</v>
      </c>
      <c r="C37" s="59" t="s">
        <v>109</v>
      </c>
      <c r="D37" s="59" t="s">
        <v>231</v>
      </c>
      <c r="E37" s="58"/>
      <c r="F37" s="61">
        <v>45684</v>
      </c>
      <c r="G37" s="61">
        <v>45321</v>
      </c>
      <c r="H37" s="61"/>
      <c r="I37" s="60">
        <v>1300.5416666666667</v>
      </c>
      <c r="J37" s="60"/>
      <c r="K37" s="60"/>
      <c r="L37" s="60"/>
      <c r="M37" s="60"/>
      <c r="N37" s="60"/>
      <c r="O37" s="58" t="s">
        <v>55</v>
      </c>
      <c r="P37" s="58" t="s">
        <v>267</v>
      </c>
      <c r="Q37" s="13">
        <v>45</v>
      </c>
      <c r="R37" s="145">
        <v>5</v>
      </c>
      <c r="S37" s="13"/>
      <c r="T37" s="62"/>
      <c r="U37" s="13"/>
      <c r="V37" s="13"/>
      <c r="W37" s="13"/>
      <c r="X37" s="58"/>
      <c r="Y37" s="51">
        <f ca="1">Table24[[#This Row],[End Date]]+2-TODAY()</f>
        <v>-921</v>
      </c>
      <c r="Z37" s="13">
        <f>IF(ISBLANK(Table24[[#This Row],[Roster Received By]]),1,0)</f>
        <v>1</v>
      </c>
      <c r="AA37" s="13">
        <f ca="1">IF(Table24[[#This Row],[Start Date]]&gt;TODAY(),1,)</f>
        <v>0</v>
      </c>
    </row>
    <row r="38" spans="1:27" s="94" customFormat="1" ht="14.25" customHeight="1" x14ac:dyDescent="0.25">
      <c r="A38" s="46"/>
      <c r="B38" s="58" t="s">
        <v>53</v>
      </c>
      <c r="C38" s="59" t="s">
        <v>109</v>
      </c>
      <c r="D38" s="59">
        <v>1228</v>
      </c>
      <c r="E38" s="58"/>
      <c r="F38" s="61">
        <v>45698</v>
      </c>
      <c r="G38" s="61">
        <v>45701</v>
      </c>
      <c r="H38" s="61"/>
      <c r="I38" s="60">
        <v>800.33333333333337</v>
      </c>
      <c r="J38" s="60"/>
      <c r="K38" s="60"/>
      <c r="L38" s="60"/>
      <c r="M38" s="60"/>
      <c r="N38" s="60"/>
      <c r="O38" s="58" t="s">
        <v>55</v>
      </c>
      <c r="P38" s="58" t="s">
        <v>267</v>
      </c>
      <c r="Q38" s="13">
        <v>45</v>
      </c>
      <c r="R38" s="145">
        <v>5</v>
      </c>
      <c r="S38" s="13"/>
      <c r="T38" s="62"/>
      <c r="U38" s="13"/>
      <c r="V38" s="13"/>
      <c r="W38" s="62"/>
      <c r="X38" s="58"/>
      <c r="Y38" s="51">
        <f ca="1">Table24[[#This Row],[End Date]]+2-TODAY()</f>
        <v>-541</v>
      </c>
      <c r="Z38" s="13">
        <f>IF(ISBLANK(Table24[[#This Row],[Roster Received By]]),1,0)</f>
        <v>1</v>
      </c>
      <c r="AA38" s="13">
        <f ca="1">IF(Table24[[#This Row],[Start Date]]&gt;TODAY(),1,)</f>
        <v>0</v>
      </c>
    </row>
    <row r="39" spans="1:27" s="94" customFormat="1" ht="14.25" customHeight="1" x14ac:dyDescent="0.25">
      <c r="A39" s="46"/>
      <c r="B39" s="58" t="s">
        <v>53</v>
      </c>
      <c r="C39" s="59" t="s">
        <v>109</v>
      </c>
      <c r="D39" s="59" t="s">
        <v>245</v>
      </c>
      <c r="E39" s="47"/>
      <c r="F39" s="61">
        <v>45712</v>
      </c>
      <c r="G39" s="61">
        <v>45715</v>
      </c>
      <c r="H39" s="67"/>
      <c r="I39" s="60">
        <v>1900.7916666666667</v>
      </c>
      <c r="J39" s="61"/>
      <c r="K39" s="61"/>
      <c r="L39" s="61"/>
      <c r="M39" s="61"/>
      <c r="N39" s="61"/>
      <c r="O39" s="58" t="s">
        <v>55</v>
      </c>
      <c r="P39" s="58" t="s">
        <v>267</v>
      </c>
      <c r="Q39" s="13">
        <v>45</v>
      </c>
      <c r="R39" s="145">
        <v>5</v>
      </c>
      <c r="S39" s="13"/>
      <c r="T39" s="62"/>
      <c r="U39" s="13"/>
      <c r="V39" s="13"/>
      <c r="W39" s="62"/>
      <c r="X39" s="58"/>
      <c r="Y39" s="51">
        <f ca="1">Table24[[#This Row],[End Date]]+2-TODAY()</f>
        <v>-527</v>
      </c>
      <c r="Z39" s="13">
        <f>IF(ISBLANK(Table24[[#This Row],[Roster Received By]]),1,0)</f>
        <v>1</v>
      </c>
      <c r="AA39" s="13">
        <f ca="1">IF(Table24[[#This Row],[Start Date]]&gt;TODAY(),1,)</f>
        <v>0</v>
      </c>
    </row>
    <row r="40" spans="1:27" s="65" customFormat="1" ht="14.25" customHeight="1" x14ac:dyDescent="0.25">
      <c r="A40" s="46"/>
      <c r="B40" s="58" t="s">
        <v>53</v>
      </c>
      <c r="C40" s="59" t="s">
        <v>109</v>
      </c>
      <c r="D40" s="59">
        <v>1228</v>
      </c>
      <c r="E40" s="58"/>
      <c r="F40" s="61">
        <v>45726</v>
      </c>
      <c r="G40" s="61">
        <v>45729</v>
      </c>
      <c r="H40" s="61"/>
      <c r="I40" s="60">
        <v>700.29166666666663</v>
      </c>
      <c r="J40" s="60"/>
      <c r="K40" s="60"/>
      <c r="L40" s="60"/>
      <c r="M40" s="60"/>
      <c r="N40" s="60"/>
      <c r="O40" s="58" t="s">
        <v>55</v>
      </c>
      <c r="P40" s="58" t="s">
        <v>267</v>
      </c>
      <c r="Q40" s="13">
        <v>45</v>
      </c>
      <c r="R40" s="145">
        <v>5</v>
      </c>
      <c r="S40" s="13"/>
      <c r="T40" s="62"/>
      <c r="U40" s="13"/>
      <c r="V40" s="13"/>
      <c r="W40" s="13"/>
      <c r="X40" s="58"/>
      <c r="Y40" s="51">
        <f ca="1">Table24[[#This Row],[End Date]]+2-TODAY()</f>
        <v>-513</v>
      </c>
      <c r="Z40" s="13">
        <f>IF(ISBLANK(Table24[[#This Row],[Roster Received By]]),1,0)</f>
        <v>1</v>
      </c>
      <c r="AA40" s="13">
        <f ca="1">IF(Table24[[#This Row],[Start Date]]&gt;TODAY(),1,)</f>
        <v>0</v>
      </c>
    </row>
    <row r="41" spans="1:27" s="65" customFormat="1" ht="14.25" customHeight="1" x14ac:dyDescent="0.25">
      <c r="A41" s="46"/>
      <c r="B41" s="58" t="s">
        <v>53</v>
      </c>
      <c r="C41" s="59" t="s">
        <v>109</v>
      </c>
      <c r="D41" s="59">
        <v>1228</v>
      </c>
      <c r="E41" s="58"/>
      <c r="F41" s="61">
        <v>45740</v>
      </c>
      <c r="G41" s="61">
        <v>45743</v>
      </c>
      <c r="H41" s="61"/>
      <c r="I41" s="60">
        <v>0.33333333333333331</v>
      </c>
      <c r="J41" s="60"/>
      <c r="K41" s="60"/>
      <c r="L41" s="60"/>
      <c r="M41" s="60"/>
      <c r="N41" s="60"/>
      <c r="O41" s="58" t="s">
        <v>55</v>
      </c>
      <c r="P41" s="58" t="s">
        <v>267</v>
      </c>
      <c r="Q41" s="13">
        <v>45</v>
      </c>
      <c r="R41" s="145">
        <v>5</v>
      </c>
      <c r="S41" s="13"/>
      <c r="T41" s="62"/>
      <c r="U41" s="13"/>
      <c r="V41" s="13"/>
      <c r="W41" s="13"/>
      <c r="X41" s="58"/>
      <c r="Y41" s="51">
        <f ca="1">Table24[[#This Row],[End Date]]+2-TODAY()</f>
        <v>-499</v>
      </c>
      <c r="Z41" s="13">
        <f>IF(ISBLANK(Table24[[#This Row],[Roster Received By]]),1,0)</f>
        <v>1</v>
      </c>
      <c r="AA41" s="13">
        <f ca="1">IF(Table24[[#This Row],[Start Date]]&gt;TODAY(),1,)</f>
        <v>0</v>
      </c>
    </row>
    <row r="42" spans="1:27" s="65" customFormat="1" ht="14.25" customHeight="1" x14ac:dyDescent="0.25">
      <c r="A42" s="46"/>
      <c r="B42" s="58" t="s">
        <v>53</v>
      </c>
      <c r="C42" s="59" t="s">
        <v>109</v>
      </c>
      <c r="D42" s="59">
        <v>1228</v>
      </c>
      <c r="E42" s="58"/>
      <c r="F42" s="61">
        <v>45754</v>
      </c>
      <c r="G42" s="61">
        <v>45757</v>
      </c>
      <c r="H42" s="67"/>
      <c r="I42" s="64">
        <v>1100.4583333333333</v>
      </c>
      <c r="J42" s="61"/>
      <c r="K42" s="61"/>
      <c r="L42" s="61"/>
      <c r="M42" s="61"/>
      <c r="N42" s="61"/>
      <c r="O42" s="58" t="s">
        <v>55</v>
      </c>
      <c r="P42" s="58" t="s">
        <v>267</v>
      </c>
      <c r="Q42" s="13">
        <v>45</v>
      </c>
      <c r="R42" s="145">
        <v>5</v>
      </c>
      <c r="S42" s="13"/>
      <c r="T42" s="62"/>
      <c r="U42" s="13"/>
      <c r="V42" s="13"/>
      <c r="W42" s="13"/>
      <c r="X42" s="58"/>
      <c r="Y42" s="51">
        <f ca="1">Table24[[#This Row],[End Date]]+2-TODAY()</f>
        <v>-485</v>
      </c>
      <c r="Z42" s="13">
        <f>IF(ISBLANK(Table24[[#This Row],[Roster Received By]]),1,0)</f>
        <v>1</v>
      </c>
      <c r="AA42" s="13">
        <f ca="1">IF(Table24[[#This Row],[Start Date]]&gt;TODAY(),1,)</f>
        <v>0</v>
      </c>
    </row>
    <row r="43" spans="1:27" s="65" customFormat="1" ht="14.25" customHeight="1" x14ac:dyDescent="0.25">
      <c r="A43" s="58"/>
      <c r="B43" s="58" t="s">
        <v>53</v>
      </c>
      <c r="C43" s="59" t="s">
        <v>109</v>
      </c>
      <c r="D43" s="59">
        <v>1228</v>
      </c>
      <c r="E43" s="58"/>
      <c r="F43" s="61">
        <v>45775</v>
      </c>
      <c r="G43" s="61">
        <v>45778</v>
      </c>
      <c r="H43" s="61"/>
      <c r="I43" s="60">
        <v>0.33333333333333331</v>
      </c>
      <c r="J43" s="60"/>
      <c r="K43" s="60"/>
      <c r="L43" s="60"/>
      <c r="M43" s="60"/>
      <c r="N43" s="60"/>
      <c r="O43" s="58" t="s">
        <v>55</v>
      </c>
      <c r="P43" s="58" t="s">
        <v>267</v>
      </c>
      <c r="Q43" s="13">
        <v>45</v>
      </c>
      <c r="R43" s="145">
        <v>5</v>
      </c>
      <c r="S43" s="13"/>
      <c r="T43" s="62"/>
      <c r="U43" s="13"/>
      <c r="V43" s="13"/>
      <c r="W43" s="13"/>
      <c r="X43" s="58"/>
      <c r="Y43" s="51">
        <f ca="1">Table24[[#This Row],[End Date]]+2-TODAY()</f>
        <v>-464</v>
      </c>
      <c r="Z43" s="13">
        <f>IF(ISBLANK(Table24[[#This Row],[Roster Received By]]),1,0)</f>
        <v>1</v>
      </c>
      <c r="AA43" s="13">
        <f ca="1">IF(Table24[[#This Row],[Start Date]]&gt;TODAY(),1,)</f>
        <v>0</v>
      </c>
    </row>
    <row r="44" spans="1:27" s="65" customFormat="1" ht="16.5" customHeight="1" x14ac:dyDescent="0.25">
      <c r="A44" s="47"/>
      <c r="B44" s="58" t="s">
        <v>53</v>
      </c>
      <c r="C44" s="59" t="s">
        <v>109</v>
      </c>
      <c r="D44" s="59">
        <v>1228</v>
      </c>
      <c r="E44" s="58"/>
      <c r="F44" s="61">
        <v>45782</v>
      </c>
      <c r="G44" s="61">
        <v>45785</v>
      </c>
      <c r="H44" s="64"/>
      <c r="I44" s="60">
        <v>0.33333333333333331</v>
      </c>
      <c r="J44" s="64"/>
      <c r="K44" s="64"/>
      <c r="L44" s="64"/>
      <c r="M44" s="64"/>
      <c r="N44" s="64"/>
      <c r="O44" s="58" t="s">
        <v>55</v>
      </c>
      <c r="P44" s="58" t="s">
        <v>267</v>
      </c>
      <c r="Q44" s="13">
        <v>45</v>
      </c>
      <c r="R44" s="145">
        <v>5</v>
      </c>
      <c r="S44" s="62"/>
      <c r="T44" s="62"/>
      <c r="U44" s="13"/>
      <c r="V44" s="13"/>
      <c r="W44" s="13"/>
      <c r="X44" s="58"/>
      <c r="Y44" s="51">
        <f ca="1">Table24[[#This Row],[End Date]]+2-TODAY()</f>
        <v>-457</v>
      </c>
      <c r="Z44" s="13">
        <f>IF(ISBLANK(Table24[[#This Row],[Roster Received By]]),1,0)</f>
        <v>1</v>
      </c>
      <c r="AA44" s="13">
        <f ca="1">IF(Table24[[#This Row],[Start Date]]&gt;TODAY(),1,)</f>
        <v>0</v>
      </c>
    </row>
    <row r="45" spans="1:27" s="65" customFormat="1" ht="14.25" customHeight="1" x14ac:dyDescent="0.25">
      <c r="A45" s="46"/>
      <c r="B45" s="58" t="s">
        <v>53</v>
      </c>
      <c r="C45" s="59" t="s">
        <v>109</v>
      </c>
      <c r="D45" s="59">
        <v>1228</v>
      </c>
      <c r="E45" s="58"/>
      <c r="F45" s="61">
        <v>45796</v>
      </c>
      <c r="G45" s="61">
        <v>45799</v>
      </c>
      <c r="H45" s="61"/>
      <c r="I45" s="64">
        <v>0.54166666666666663</v>
      </c>
      <c r="J45" s="60"/>
      <c r="K45" s="60"/>
      <c r="L45" s="60"/>
      <c r="M45" s="60"/>
      <c r="N45" s="60"/>
      <c r="O45" s="58" t="s">
        <v>55</v>
      </c>
      <c r="P45" s="58" t="s">
        <v>267</v>
      </c>
      <c r="Q45" s="13">
        <v>45</v>
      </c>
      <c r="R45" s="145">
        <v>5</v>
      </c>
      <c r="S45" s="13"/>
      <c r="T45" s="62"/>
      <c r="U45" s="13"/>
      <c r="V45" s="13"/>
      <c r="W45" s="13"/>
      <c r="X45" s="58"/>
      <c r="Y45" s="51">
        <f ca="1">Table24[[#This Row],[End Date]]+2-TODAY()</f>
        <v>-443</v>
      </c>
      <c r="Z45" s="13">
        <f>IF(ISBLANK(Table24[[#This Row],[Roster Received By]]),1,0)</f>
        <v>1</v>
      </c>
      <c r="AA45" s="13">
        <f ca="1">IF(Table24[[#This Row],[Start Date]]&gt;TODAY(),1,)</f>
        <v>0</v>
      </c>
    </row>
    <row r="46" spans="1:27" s="65" customFormat="1" ht="16.5" customHeight="1" x14ac:dyDescent="0.25">
      <c r="A46" s="58"/>
      <c r="B46" s="58" t="s">
        <v>53</v>
      </c>
      <c r="C46" s="59" t="s">
        <v>109</v>
      </c>
      <c r="D46" s="59">
        <v>1228</v>
      </c>
      <c r="E46" s="58"/>
      <c r="F46" s="61">
        <v>45817</v>
      </c>
      <c r="G46" s="61">
        <v>45820</v>
      </c>
      <c r="H46" s="61"/>
      <c r="I46" s="60">
        <v>0.29166666666666669</v>
      </c>
      <c r="J46" s="60"/>
      <c r="K46" s="60"/>
      <c r="L46" s="60"/>
      <c r="M46" s="60"/>
      <c r="N46" s="60"/>
      <c r="O46" s="58" t="s">
        <v>55</v>
      </c>
      <c r="P46" s="58" t="s">
        <v>267</v>
      </c>
      <c r="Q46" s="13">
        <v>45</v>
      </c>
      <c r="R46" s="145">
        <v>5</v>
      </c>
      <c r="S46" s="13"/>
      <c r="T46" s="62"/>
      <c r="U46" s="13"/>
      <c r="V46" s="13"/>
      <c r="W46" s="13"/>
      <c r="X46" s="58"/>
      <c r="Y46" s="51">
        <f ca="1">Table24[[#This Row],[End Date]]+2-TODAY()</f>
        <v>-422</v>
      </c>
      <c r="Z46" s="13">
        <f>IF(ISBLANK(Table24[[#This Row],[Roster Received By]]),1,0)</f>
        <v>1</v>
      </c>
      <c r="AA46" s="13">
        <f ca="1">IF(Table24[[#This Row],[Start Date]]&gt;TODAY(),1,)</f>
        <v>0</v>
      </c>
    </row>
    <row r="47" spans="1:27" s="94" customFormat="1" ht="14.25" customHeight="1" x14ac:dyDescent="0.25">
      <c r="A47" s="46"/>
      <c r="B47" s="58" t="s">
        <v>53</v>
      </c>
      <c r="C47" s="59" t="s">
        <v>109</v>
      </c>
      <c r="D47" s="59">
        <v>1228</v>
      </c>
      <c r="E47" s="58"/>
      <c r="F47" s="61">
        <v>45831</v>
      </c>
      <c r="G47" s="61">
        <v>45834</v>
      </c>
      <c r="H47" s="61"/>
      <c r="I47" s="60">
        <v>0.79166666666666663</v>
      </c>
      <c r="J47" s="60"/>
      <c r="K47" s="60"/>
      <c r="L47" s="60"/>
      <c r="M47" s="60"/>
      <c r="N47" s="60"/>
      <c r="O47" s="58" t="s">
        <v>55</v>
      </c>
      <c r="P47" s="58" t="s">
        <v>267</v>
      </c>
      <c r="Q47" s="13">
        <v>45</v>
      </c>
      <c r="R47" s="145">
        <v>5</v>
      </c>
      <c r="S47" s="13"/>
      <c r="T47" s="62"/>
      <c r="U47" s="13"/>
      <c r="V47" s="13"/>
      <c r="W47" s="59"/>
      <c r="X47" s="58"/>
      <c r="Y47" s="51">
        <f ca="1">Table24[[#This Row],[End Date]]+2-TODAY()</f>
        <v>-408</v>
      </c>
      <c r="Z47" s="13">
        <f>IF(ISBLANK(Table24[[#This Row],[Roster Received By]]),1,0)</f>
        <v>1</v>
      </c>
      <c r="AA47" s="13">
        <f ca="1">IF(Table24[[#This Row],[Start Date]]&gt;TODAY(),1,)</f>
        <v>0</v>
      </c>
    </row>
    <row r="48" spans="1:27" s="65" customFormat="1" ht="14.25" customHeight="1" x14ac:dyDescent="0.25">
      <c r="A48" s="58"/>
      <c r="B48" s="58" t="s">
        <v>53</v>
      </c>
      <c r="C48" s="59" t="s">
        <v>109</v>
      </c>
      <c r="D48" s="59">
        <v>1228</v>
      </c>
      <c r="E48" s="58"/>
      <c r="F48" s="61">
        <v>45852</v>
      </c>
      <c r="G48" s="61">
        <v>45855</v>
      </c>
      <c r="H48" s="64"/>
      <c r="I48" s="60">
        <v>0.33333333333333331</v>
      </c>
      <c r="J48" s="60"/>
      <c r="K48" s="60"/>
      <c r="L48" s="60"/>
      <c r="M48" s="60"/>
      <c r="N48" s="60"/>
      <c r="O48" s="58" t="s">
        <v>55</v>
      </c>
      <c r="P48" s="58" t="s">
        <v>267</v>
      </c>
      <c r="Q48" s="13">
        <v>45</v>
      </c>
      <c r="R48" s="145">
        <v>5</v>
      </c>
      <c r="S48" s="62"/>
      <c r="T48" s="62"/>
      <c r="U48" s="13"/>
      <c r="V48" s="13"/>
      <c r="W48" s="13"/>
      <c r="X48" s="58"/>
      <c r="Y48" s="51">
        <f ca="1">Table24[[#This Row],[End Date]]+2-TODAY()</f>
        <v>-387</v>
      </c>
      <c r="Z48" s="13">
        <f>IF(ISBLANK(Table24[[#This Row],[Roster Received By]]),1,0)</f>
        <v>1</v>
      </c>
      <c r="AA48" s="13">
        <f ca="1">IF(Table24[[#This Row],[Start Date]]&gt;TODAY(),1,)</f>
        <v>0</v>
      </c>
    </row>
    <row r="49" spans="1:27" s="65" customFormat="1" ht="14.25" customHeight="1" x14ac:dyDescent="0.25">
      <c r="A49" s="46"/>
      <c r="B49" s="58" t="s">
        <v>53</v>
      </c>
      <c r="C49" s="59" t="s">
        <v>109</v>
      </c>
      <c r="D49" s="59">
        <v>1228</v>
      </c>
      <c r="E49" s="58"/>
      <c r="F49" s="61">
        <v>45866</v>
      </c>
      <c r="G49" s="61">
        <v>45869</v>
      </c>
      <c r="H49" s="61"/>
      <c r="I49" s="60">
        <v>0.45833333333333331</v>
      </c>
      <c r="J49" s="60"/>
      <c r="K49" s="60"/>
      <c r="L49" s="60"/>
      <c r="M49" s="60"/>
      <c r="N49" s="60"/>
      <c r="O49" s="58" t="s">
        <v>55</v>
      </c>
      <c r="P49" s="58" t="s">
        <v>267</v>
      </c>
      <c r="Q49" s="13">
        <v>45</v>
      </c>
      <c r="R49" s="145">
        <v>5</v>
      </c>
      <c r="S49" s="13"/>
      <c r="T49" s="62"/>
      <c r="U49" s="13"/>
      <c r="V49" s="13"/>
      <c r="W49" s="13"/>
      <c r="X49" s="58"/>
      <c r="Y49" s="51">
        <f ca="1">Table24[[#This Row],[End Date]]+2-TODAY()</f>
        <v>-373</v>
      </c>
      <c r="Z49" s="13">
        <f>IF(ISBLANK(Table24[[#This Row],[Roster Received By]]),1,0)</f>
        <v>1</v>
      </c>
      <c r="AA49" s="13">
        <f ca="1">IF(Table24[[#This Row],[Start Date]]&gt;TODAY(),1,)</f>
        <v>0</v>
      </c>
    </row>
    <row r="50" spans="1:27" s="65" customFormat="1" ht="14.25" customHeight="1" x14ac:dyDescent="0.25">
      <c r="A50" s="46"/>
      <c r="B50" s="58" t="s">
        <v>53</v>
      </c>
      <c r="C50" s="59" t="s">
        <v>109</v>
      </c>
      <c r="D50" s="59">
        <v>1228</v>
      </c>
      <c r="E50" s="58"/>
      <c r="F50" s="61">
        <v>45880</v>
      </c>
      <c r="G50" s="61">
        <v>45883</v>
      </c>
      <c r="H50" s="64"/>
      <c r="I50" s="64">
        <v>1100.4166666666667</v>
      </c>
      <c r="J50" s="61"/>
      <c r="K50" s="61"/>
      <c r="L50" s="61"/>
      <c r="M50" s="61"/>
      <c r="N50" s="61"/>
      <c r="O50" s="58" t="s">
        <v>55</v>
      </c>
      <c r="P50" s="58" t="s">
        <v>267</v>
      </c>
      <c r="Q50" s="62">
        <v>45</v>
      </c>
      <c r="R50" s="145">
        <v>5</v>
      </c>
      <c r="S50" s="62"/>
      <c r="T50" s="62"/>
      <c r="U50" s="13"/>
      <c r="V50" s="13"/>
      <c r="W50" s="13"/>
      <c r="X50" s="58"/>
      <c r="Y50" s="51">
        <f ca="1">Table24[[#This Row],[End Date]]+2-TODAY()</f>
        <v>-359</v>
      </c>
      <c r="Z50" s="13">
        <f>IF(ISBLANK(Table24[[#This Row],[Roster Received By]]),1,0)</f>
        <v>1</v>
      </c>
      <c r="AA50" s="13">
        <f ca="1">IF(Table24[[#This Row],[Start Date]]&gt;TODAY(),1,)</f>
        <v>0</v>
      </c>
    </row>
    <row r="51" spans="1:27" s="65" customFormat="1" ht="14.25" customHeight="1" x14ac:dyDescent="0.25">
      <c r="A51" s="46"/>
      <c r="B51" s="58" t="s">
        <v>53</v>
      </c>
      <c r="C51" s="59" t="s">
        <v>109</v>
      </c>
      <c r="D51" s="59">
        <v>1228</v>
      </c>
      <c r="E51" s="58"/>
      <c r="F51" s="61">
        <v>45894</v>
      </c>
      <c r="G51" s="61">
        <v>45897</v>
      </c>
      <c r="H51" s="64"/>
      <c r="I51" s="64">
        <v>1000.3333333333334</v>
      </c>
      <c r="J51" s="61"/>
      <c r="K51" s="61"/>
      <c r="L51" s="61"/>
      <c r="M51" s="61"/>
      <c r="N51" s="61"/>
      <c r="O51" s="58" t="s">
        <v>55</v>
      </c>
      <c r="P51" s="58" t="s">
        <v>267</v>
      </c>
      <c r="Q51" s="62">
        <v>45</v>
      </c>
      <c r="R51" s="145">
        <v>5</v>
      </c>
      <c r="S51" s="62"/>
      <c r="T51" s="62"/>
      <c r="U51" s="13"/>
      <c r="V51" s="13"/>
      <c r="W51" s="13"/>
      <c r="X51" s="58"/>
      <c r="Y51" s="51">
        <f ca="1">Table24[[#This Row],[End Date]]+2-TODAY()</f>
        <v>-345</v>
      </c>
      <c r="Z51" s="13">
        <f>IF(ISBLANK(Table24[[#This Row],[Roster Received By]]),1,0)</f>
        <v>1</v>
      </c>
      <c r="AA51" s="13">
        <f ca="1">IF(Table24[[#This Row],[Start Date]]&gt;TODAY(),1,)</f>
        <v>0</v>
      </c>
    </row>
    <row r="52" spans="1:27" s="65" customFormat="1" ht="14.25" customHeight="1" x14ac:dyDescent="0.25">
      <c r="A52" s="46"/>
      <c r="B52" s="58" t="s">
        <v>53</v>
      </c>
      <c r="C52" s="59" t="s">
        <v>109</v>
      </c>
      <c r="D52" s="59">
        <v>1228</v>
      </c>
      <c r="E52" s="58"/>
      <c r="F52" s="61">
        <v>45908</v>
      </c>
      <c r="G52" s="61">
        <v>45911</v>
      </c>
      <c r="H52" s="64"/>
      <c r="I52" s="64">
        <v>800.54166666666663</v>
      </c>
      <c r="J52" s="61"/>
      <c r="K52" s="61"/>
      <c r="L52" s="61"/>
      <c r="M52" s="61"/>
      <c r="N52" s="61"/>
      <c r="O52" s="58" t="s">
        <v>55</v>
      </c>
      <c r="P52" s="58" t="s">
        <v>267</v>
      </c>
      <c r="Q52" s="62">
        <v>45</v>
      </c>
      <c r="R52" s="145">
        <v>5</v>
      </c>
      <c r="S52" s="62"/>
      <c r="T52" s="62"/>
      <c r="U52" s="13"/>
      <c r="V52" s="13"/>
      <c r="W52" s="13"/>
      <c r="X52" s="58"/>
      <c r="Y52" s="51">
        <f ca="1">Table24[[#This Row],[End Date]]+2-TODAY()</f>
        <v>-331</v>
      </c>
      <c r="Z52" s="13">
        <f>IF(ISBLANK(Table24[[#This Row],[Roster Received By]]),1,0)</f>
        <v>1</v>
      </c>
      <c r="AA52" s="13">
        <f ca="1">IF(Table24[[#This Row],[Start Date]]&gt;TODAY(),1,)</f>
        <v>0</v>
      </c>
    </row>
    <row r="53" spans="1:27" s="65" customFormat="1" ht="14.25" customHeight="1" x14ac:dyDescent="0.25">
      <c r="A53" s="46"/>
      <c r="B53" s="58" t="s">
        <v>53</v>
      </c>
      <c r="C53" s="59" t="s">
        <v>109</v>
      </c>
      <c r="D53" s="59">
        <v>1228</v>
      </c>
      <c r="E53" s="58"/>
      <c r="F53" s="61">
        <v>45922</v>
      </c>
      <c r="G53" s="61">
        <v>45925</v>
      </c>
      <c r="H53" s="61"/>
      <c r="I53" s="60">
        <v>0.29166666666666669</v>
      </c>
      <c r="J53" s="60"/>
      <c r="K53" s="60"/>
      <c r="L53" s="60"/>
      <c r="M53" s="60"/>
      <c r="N53" s="60"/>
      <c r="O53" s="58" t="s">
        <v>55</v>
      </c>
      <c r="P53" s="58" t="s">
        <v>267</v>
      </c>
      <c r="Q53" s="13">
        <v>45</v>
      </c>
      <c r="R53" s="145">
        <v>5</v>
      </c>
      <c r="S53" s="13"/>
      <c r="T53" s="62"/>
      <c r="U53" s="13"/>
      <c r="V53" s="13"/>
      <c r="W53" s="13"/>
      <c r="X53" s="58"/>
      <c r="Y53" s="51">
        <f ca="1">Table24[[#This Row],[End Date]]+2-TODAY()</f>
        <v>-317</v>
      </c>
      <c r="Z53" s="13">
        <f>IF(ISBLANK(Table24[[#This Row],[Roster Received By]]),1,0)</f>
        <v>1</v>
      </c>
      <c r="AA53" s="13">
        <f ca="1">IF(Table24[[#This Row],[Start Date]]&gt;TODAY(),1,)</f>
        <v>0</v>
      </c>
    </row>
    <row r="54" spans="1:27" s="65" customFormat="1" ht="14.25" customHeight="1" x14ac:dyDescent="0.25">
      <c r="A54" s="46"/>
      <c r="B54" s="58" t="s">
        <v>271</v>
      </c>
      <c r="C54" s="59" t="s">
        <v>272</v>
      </c>
      <c r="D54" s="59" t="s">
        <v>273</v>
      </c>
      <c r="E54" s="58"/>
      <c r="F54" s="61">
        <v>45586</v>
      </c>
      <c r="G54" s="61">
        <v>45590</v>
      </c>
      <c r="H54" s="64"/>
      <c r="I54" s="60">
        <v>0.33333333333333331</v>
      </c>
      <c r="J54" s="61"/>
      <c r="K54" s="61"/>
      <c r="L54" s="61"/>
      <c r="M54" s="61"/>
      <c r="N54" s="61"/>
      <c r="O54" s="58" t="s">
        <v>148</v>
      </c>
      <c r="P54" s="58" t="s">
        <v>274</v>
      </c>
      <c r="Q54" s="13">
        <v>45</v>
      </c>
      <c r="R54" s="145">
        <v>5</v>
      </c>
      <c r="S54" s="13"/>
      <c r="T54" s="62"/>
      <c r="U54" s="13"/>
      <c r="V54" s="13"/>
      <c r="W54" s="13"/>
      <c r="X54" s="58"/>
      <c r="Y54" s="51">
        <f ca="1">Table24[[#This Row],[End Date]]+2-TODAY()</f>
        <v>-652</v>
      </c>
      <c r="Z54" s="13">
        <f>IF(ISBLANK(Table24[[#This Row],[Roster Received By]]),1,0)</f>
        <v>1</v>
      </c>
      <c r="AA54" s="13">
        <f ca="1">IF(Table24[[#This Row],[Start Date]]&gt;TODAY(),1,)</f>
        <v>0</v>
      </c>
    </row>
    <row r="55" spans="1:27" s="65" customFormat="1" ht="14.25" customHeight="1" x14ac:dyDescent="0.25">
      <c r="A55" s="46"/>
      <c r="B55" s="58" t="s">
        <v>271</v>
      </c>
      <c r="C55" s="59" t="s">
        <v>272</v>
      </c>
      <c r="D55" s="59" t="s">
        <v>273</v>
      </c>
      <c r="E55" s="58"/>
      <c r="F55" s="61">
        <v>45600</v>
      </c>
      <c r="G55" s="61">
        <v>45604</v>
      </c>
      <c r="H55" s="64"/>
      <c r="I55" s="64">
        <v>0.54166666666666663</v>
      </c>
      <c r="J55" s="64"/>
      <c r="K55" s="64"/>
      <c r="L55" s="64"/>
      <c r="M55" s="64"/>
      <c r="N55" s="64"/>
      <c r="O55" s="58" t="s">
        <v>148</v>
      </c>
      <c r="P55" s="58" t="s">
        <v>274</v>
      </c>
      <c r="Q55" s="13">
        <v>45</v>
      </c>
      <c r="R55" s="145">
        <v>5</v>
      </c>
      <c r="S55" s="13"/>
      <c r="T55" s="62"/>
      <c r="U55" s="13"/>
      <c r="V55" s="13"/>
      <c r="W55" s="13"/>
      <c r="X55" s="58"/>
      <c r="Y55" s="51">
        <f ca="1">Table24[[#This Row],[End Date]]+2-TODAY()</f>
        <v>-638</v>
      </c>
      <c r="Z55" s="13">
        <f>IF(ISBLANK(Table24[[#This Row],[Roster Received By]]),1,0)</f>
        <v>1</v>
      </c>
      <c r="AA55" s="13">
        <f ca="1">IF(Table24[[#This Row],[Start Date]]&gt;TODAY(),1,)</f>
        <v>0</v>
      </c>
    </row>
    <row r="56" spans="1:27" s="65" customFormat="1" ht="14.25" customHeight="1" x14ac:dyDescent="0.25">
      <c r="A56" s="58"/>
      <c r="B56" s="58" t="s">
        <v>271</v>
      </c>
      <c r="C56" s="59" t="s">
        <v>272</v>
      </c>
      <c r="D56" s="59" t="s">
        <v>273</v>
      </c>
      <c r="E56" s="58"/>
      <c r="F56" s="61">
        <v>45627</v>
      </c>
      <c r="G56" s="61">
        <v>45632</v>
      </c>
      <c r="H56" s="64"/>
      <c r="I56" s="60">
        <v>0.29166666666666669</v>
      </c>
      <c r="J56" s="64"/>
      <c r="K56" s="64"/>
      <c r="L56" s="64"/>
      <c r="M56" s="64"/>
      <c r="N56" s="64"/>
      <c r="O56" s="58" t="s">
        <v>148</v>
      </c>
      <c r="P56" s="58" t="s">
        <v>274</v>
      </c>
      <c r="Q56" s="13">
        <v>45</v>
      </c>
      <c r="R56" s="145">
        <v>5</v>
      </c>
      <c r="S56" s="13"/>
      <c r="T56" s="62"/>
      <c r="U56" s="13"/>
      <c r="V56" s="13"/>
      <c r="W56" s="13"/>
      <c r="X56" s="58"/>
      <c r="Y56" s="51">
        <f ca="1">Table24[[#This Row],[End Date]]+2-TODAY()</f>
        <v>-610</v>
      </c>
      <c r="Z56" s="13">
        <f>IF(ISBLANK(Table24[[#This Row],[Roster Received By]]),1,0)</f>
        <v>1</v>
      </c>
      <c r="AA56" s="13">
        <f ca="1">IF(Table24[[#This Row],[Start Date]]&gt;TODAY(),1,)</f>
        <v>0</v>
      </c>
    </row>
    <row r="57" spans="1:27" s="65" customFormat="1" ht="14.25" customHeight="1" x14ac:dyDescent="0.25">
      <c r="A57" s="58"/>
      <c r="B57" s="58" t="s">
        <v>271</v>
      </c>
      <c r="C57" s="59" t="s">
        <v>272</v>
      </c>
      <c r="D57" s="59" t="s">
        <v>273</v>
      </c>
      <c r="E57" s="58"/>
      <c r="F57" s="61">
        <v>45670</v>
      </c>
      <c r="G57" s="61">
        <v>45674</v>
      </c>
      <c r="H57" s="67"/>
      <c r="I57" s="60">
        <v>0.79166666666666663</v>
      </c>
      <c r="J57" s="61"/>
      <c r="K57" s="61"/>
      <c r="L57" s="61"/>
      <c r="M57" s="61"/>
      <c r="N57" s="61"/>
      <c r="O57" s="58" t="s">
        <v>148</v>
      </c>
      <c r="P57" s="58" t="s">
        <v>274</v>
      </c>
      <c r="Q57" s="13">
        <v>45</v>
      </c>
      <c r="R57" s="145">
        <v>5</v>
      </c>
      <c r="S57" s="13"/>
      <c r="T57" s="62"/>
      <c r="U57" s="13"/>
      <c r="V57" s="13"/>
      <c r="W57" s="13"/>
      <c r="X57" s="58"/>
      <c r="Y57" s="51">
        <f ca="1">Table24[[#This Row],[End Date]]+2-TODAY()</f>
        <v>-568</v>
      </c>
      <c r="Z57" s="13">
        <f>IF(ISBLANK(Table24[[#This Row],[Roster Received By]]),1,0)</f>
        <v>1</v>
      </c>
      <c r="AA57" s="13">
        <f ca="1">IF(Table24[[#This Row],[Start Date]]&gt;TODAY(),1,)</f>
        <v>0</v>
      </c>
    </row>
    <row r="58" spans="1:27" s="65" customFormat="1" ht="14.25" customHeight="1" x14ac:dyDescent="0.25">
      <c r="A58" s="46"/>
      <c r="B58" s="58" t="s">
        <v>271</v>
      </c>
      <c r="C58" s="59" t="s">
        <v>272</v>
      </c>
      <c r="D58" s="59" t="s">
        <v>273</v>
      </c>
      <c r="E58" s="47"/>
      <c r="F58" s="49">
        <v>45698</v>
      </c>
      <c r="G58" s="61">
        <v>45702</v>
      </c>
      <c r="H58" s="64"/>
      <c r="I58" s="64">
        <v>0.33333333333333331</v>
      </c>
      <c r="J58" s="61"/>
      <c r="K58" s="61"/>
      <c r="L58" s="61"/>
      <c r="M58" s="61"/>
      <c r="N58" s="61"/>
      <c r="O58" s="58" t="s">
        <v>148</v>
      </c>
      <c r="P58" s="58" t="s">
        <v>274</v>
      </c>
      <c r="Q58" s="13">
        <v>45</v>
      </c>
      <c r="R58" s="145">
        <v>5</v>
      </c>
      <c r="S58" s="13"/>
      <c r="T58" s="62"/>
      <c r="U58" s="13"/>
      <c r="V58" s="13"/>
      <c r="W58" s="13"/>
      <c r="X58" s="58"/>
      <c r="Y58" s="51">
        <f ca="1">Table24[[#This Row],[End Date]]+2-TODAY()</f>
        <v>-540</v>
      </c>
      <c r="Z58" s="13">
        <f>IF(ISBLANK(Table24[[#This Row],[Roster Received By]]),1,0)</f>
        <v>1</v>
      </c>
      <c r="AA58" s="13">
        <f ca="1">IF(Table24[[#This Row],[Start Date]]&gt;TODAY(),1,)</f>
        <v>0</v>
      </c>
    </row>
    <row r="59" spans="1:27" s="65" customFormat="1" ht="14.25" customHeight="1" x14ac:dyDescent="0.25">
      <c r="A59" s="46"/>
      <c r="B59" s="58" t="s">
        <v>271</v>
      </c>
      <c r="C59" s="59" t="s">
        <v>272</v>
      </c>
      <c r="D59" s="59" t="s">
        <v>273</v>
      </c>
      <c r="E59" s="58"/>
      <c r="F59" s="61">
        <v>45719</v>
      </c>
      <c r="G59" s="61">
        <v>45723</v>
      </c>
      <c r="H59" s="61"/>
      <c r="I59" s="60">
        <v>0.45833333333333331</v>
      </c>
      <c r="J59" s="60"/>
      <c r="K59" s="60"/>
      <c r="L59" s="60"/>
      <c r="M59" s="60"/>
      <c r="N59" s="60"/>
      <c r="O59" s="58" t="s">
        <v>148</v>
      </c>
      <c r="P59" s="58" t="s">
        <v>274</v>
      </c>
      <c r="Q59" s="13">
        <v>45</v>
      </c>
      <c r="R59" s="145">
        <v>5</v>
      </c>
      <c r="S59" s="13"/>
      <c r="T59" s="62"/>
      <c r="U59" s="13"/>
      <c r="V59" s="13"/>
      <c r="W59" s="13"/>
      <c r="X59" s="58"/>
      <c r="Y59" s="51">
        <f ca="1">Table24[[#This Row],[End Date]]+2-TODAY()</f>
        <v>-519</v>
      </c>
      <c r="Z59" s="13">
        <f>IF(ISBLANK(Table24[[#This Row],[Roster Received By]]),1,0)</f>
        <v>1</v>
      </c>
      <c r="AA59" s="13">
        <f ca="1">IF(Table24[[#This Row],[Start Date]]&gt;TODAY(),1,)</f>
        <v>0</v>
      </c>
    </row>
    <row r="60" spans="1:27" s="65" customFormat="1" ht="14.25" customHeight="1" x14ac:dyDescent="0.25">
      <c r="A60" s="46"/>
      <c r="B60" s="58" t="s">
        <v>271</v>
      </c>
      <c r="C60" s="59" t="s">
        <v>272</v>
      </c>
      <c r="D60" s="59" t="s">
        <v>273</v>
      </c>
      <c r="E60" s="58"/>
      <c r="F60" s="61">
        <v>45782</v>
      </c>
      <c r="G60" s="61">
        <v>45786</v>
      </c>
      <c r="H60" s="61"/>
      <c r="I60" s="60">
        <v>0.41666666666666669</v>
      </c>
      <c r="J60" s="60"/>
      <c r="K60" s="60"/>
      <c r="L60" s="60"/>
      <c r="M60" s="60"/>
      <c r="N60" s="60"/>
      <c r="O60" s="58" t="s">
        <v>148</v>
      </c>
      <c r="P60" s="58" t="s">
        <v>274</v>
      </c>
      <c r="Q60" s="13">
        <v>45</v>
      </c>
      <c r="R60" s="145">
        <v>5</v>
      </c>
      <c r="S60" s="13"/>
      <c r="T60" s="62"/>
      <c r="U60" s="13"/>
      <c r="V60" s="13"/>
      <c r="W60" s="13"/>
      <c r="X60" s="58"/>
      <c r="Y60" s="51">
        <f ca="1">Table24[[#This Row],[End Date]]+2-TODAY()</f>
        <v>-456</v>
      </c>
      <c r="Z60" s="13">
        <f>IF(ISBLANK(Table24[[#This Row],[Roster Received By]]),1,0)</f>
        <v>1</v>
      </c>
      <c r="AA60" s="13">
        <f ca="1">IF(Table24[[#This Row],[Start Date]]&gt;TODAY(),1,)</f>
        <v>0</v>
      </c>
    </row>
    <row r="61" spans="1:27" s="65" customFormat="1" ht="14.25" customHeight="1" x14ac:dyDescent="0.25">
      <c r="A61" s="46"/>
      <c r="B61" s="58" t="s">
        <v>271</v>
      </c>
      <c r="C61" s="59" t="s">
        <v>272</v>
      </c>
      <c r="D61" s="59" t="s">
        <v>273</v>
      </c>
      <c r="E61" s="58"/>
      <c r="F61" s="61">
        <v>45817</v>
      </c>
      <c r="G61" s="61">
        <v>45821</v>
      </c>
      <c r="H61" s="61"/>
      <c r="I61" s="60">
        <v>0.33333333333333331</v>
      </c>
      <c r="J61" s="60"/>
      <c r="K61" s="60"/>
      <c r="L61" s="60"/>
      <c r="M61" s="60"/>
      <c r="N61" s="60"/>
      <c r="O61" s="58" t="s">
        <v>148</v>
      </c>
      <c r="P61" s="58" t="s">
        <v>274</v>
      </c>
      <c r="Q61" s="13">
        <v>45</v>
      </c>
      <c r="R61" s="145">
        <v>5</v>
      </c>
      <c r="S61" s="13"/>
      <c r="T61" s="62"/>
      <c r="U61" s="13"/>
      <c r="V61" s="13"/>
      <c r="W61" s="13"/>
      <c r="X61" s="58"/>
      <c r="Y61" s="51">
        <f ca="1">Table24[[#This Row],[End Date]]+2-TODAY()</f>
        <v>-421</v>
      </c>
      <c r="Z61" s="13">
        <f>IF(ISBLANK(Table24[[#This Row],[Roster Received By]]),1,0)</f>
        <v>1</v>
      </c>
      <c r="AA61" s="13">
        <f ca="1">IF(Table24[[#This Row],[Start Date]]&gt;TODAY(),1,)</f>
        <v>0</v>
      </c>
    </row>
    <row r="62" spans="1:27" s="65" customFormat="1" ht="14.25" customHeight="1" x14ac:dyDescent="0.25">
      <c r="A62" s="46"/>
      <c r="B62" s="58" t="s">
        <v>271</v>
      </c>
      <c r="C62" s="59" t="s">
        <v>272</v>
      </c>
      <c r="D62" s="59" t="s">
        <v>273</v>
      </c>
      <c r="E62" s="58"/>
      <c r="F62" s="61">
        <v>45852</v>
      </c>
      <c r="G62" s="61">
        <v>45856</v>
      </c>
      <c r="H62" s="61"/>
      <c r="I62" s="60">
        <v>0.54166666666666663</v>
      </c>
      <c r="J62" s="60"/>
      <c r="K62" s="60"/>
      <c r="L62" s="60"/>
      <c r="M62" s="60"/>
      <c r="N62" s="60"/>
      <c r="O62" s="58" t="s">
        <v>148</v>
      </c>
      <c r="P62" s="58" t="s">
        <v>274</v>
      </c>
      <c r="Q62" s="13">
        <v>45</v>
      </c>
      <c r="R62" s="145">
        <v>5</v>
      </c>
      <c r="S62" s="13"/>
      <c r="T62" s="62"/>
      <c r="U62" s="13"/>
      <c r="V62" s="13"/>
      <c r="W62" s="13"/>
      <c r="X62" s="58"/>
      <c r="Y62" s="51">
        <f ca="1">Table24[[#This Row],[End Date]]+2-TODAY()</f>
        <v>-386</v>
      </c>
      <c r="Z62" s="13">
        <f>IF(ISBLANK(Table24[[#This Row],[Roster Received By]]),1,0)</f>
        <v>1</v>
      </c>
      <c r="AA62" s="13">
        <f ca="1">IF(Table24[[#This Row],[Start Date]]&gt;TODAY(),1,)</f>
        <v>0</v>
      </c>
    </row>
    <row r="63" spans="1:27" s="65" customFormat="1" ht="14.25" customHeight="1" x14ac:dyDescent="0.25">
      <c r="A63" s="46"/>
      <c r="B63" s="58" t="s">
        <v>271</v>
      </c>
      <c r="C63" s="59" t="s">
        <v>272</v>
      </c>
      <c r="D63" s="59" t="s">
        <v>273</v>
      </c>
      <c r="E63" s="58"/>
      <c r="F63" s="61">
        <v>45880</v>
      </c>
      <c r="G63" s="61">
        <v>45884</v>
      </c>
      <c r="H63" s="67"/>
      <c r="I63" s="60">
        <v>0.33333333333333331</v>
      </c>
      <c r="J63" s="61"/>
      <c r="K63" s="61"/>
      <c r="L63" s="61"/>
      <c r="M63" s="61"/>
      <c r="N63" s="61"/>
      <c r="O63" s="58" t="s">
        <v>148</v>
      </c>
      <c r="P63" s="58" t="s">
        <v>274</v>
      </c>
      <c r="Q63" s="13">
        <v>45</v>
      </c>
      <c r="R63" s="145">
        <v>5</v>
      </c>
      <c r="S63" s="13"/>
      <c r="T63" s="62"/>
      <c r="U63" s="13"/>
      <c r="V63" s="13"/>
      <c r="W63" s="66"/>
      <c r="X63" s="58"/>
      <c r="Y63" s="51">
        <f ca="1">Table24[[#This Row],[End Date]]+2-TODAY()</f>
        <v>-358</v>
      </c>
      <c r="Z63" s="13">
        <f>IF(ISBLANK(Table24[[#This Row],[Roster Received By]]),1,0)</f>
        <v>1</v>
      </c>
      <c r="AA63" s="13">
        <f ca="1">IF(Table24[[#This Row],[Start Date]]&gt;TODAY(),1,)</f>
        <v>0</v>
      </c>
    </row>
    <row r="64" spans="1:27" s="65" customFormat="1" ht="16.5" customHeight="1" x14ac:dyDescent="0.25">
      <c r="A64" s="46"/>
      <c r="B64" s="58" t="s">
        <v>271</v>
      </c>
      <c r="C64" s="59" t="s">
        <v>272</v>
      </c>
      <c r="D64" s="59" t="s">
        <v>273</v>
      </c>
      <c r="E64" s="58"/>
      <c r="F64" s="61">
        <v>45915</v>
      </c>
      <c r="G64" s="61">
        <v>45919</v>
      </c>
      <c r="H64" s="61"/>
      <c r="I64" s="60">
        <v>0.33333333333333331</v>
      </c>
      <c r="J64" s="60"/>
      <c r="K64" s="60"/>
      <c r="L64" s="60"/>
      <c r="M64" s="60"/>
      <c r="N64" s="60"/>
      <c r="O64" s="58" t="s">
        <v>148</v>
      </c>
      <c r="P64" s="58" t="s">
        <v>274</v>
      </c>
      <c r="Q64" s="13">
        <v>45</v>
      </c>
      <c r="R64" s="145">
        <v>5</v>
      </c>
      <c r="S64" s="13"/>
      <c r="T64" s="62"/>
      <c r="U64" s="13"/>
      <c r="V64" s="13"/>
      <c r="W64" s="13"/>
      <c r="X64" s="58"/>
      <c r="Y64" s="51">
        <f ca="1">Table24[[#This Row],[End Date]]+2-TODAY()</f>
        <v>-323</v>
      </c>
      <c r="Z64" s="13">
        <f>IF(ISBLANK(Table24[[#This Row],[Roster Received By]]),1,0)</f>
        <v>1</v>
      </c>
      <c r="AA64" s="13">
        <f ca="1">IF(Table24[[#This Row],[Start Date]]&gt;TODAY(),1,)</f>
        <v>0</v>
      </c>
    </row>
    <row r="65" spans="1:27" s="65" customFormat="1" ht="14.25" customHeight="1" x14ac:dyDescent="0.25">
      <c r="A65" s="46"/>
      <c r="B65" s="58" t="s">
        <v>275</v>
      </c>
      <c r="C65" s="59" t="s">
        <v>142</v>
      </c>
      <c r="D65" s="59" t="s">
        <v>143</v>
      </c>
      <c r="E65" s="99"/>
      <c r="F65" s="61">
        <v>45615</v>
      </c>
      <c r="G65" s="61">
        <v>45617</v>
      </c>
      <c r="H65" s="61"/>
      <c r="I65" s="60">
        <v>0.33333333333333331</v>
      </c>
      <c r="J65" s="60"/>
      <c r="K65" s="60"/>
      <c r="L65" s="60"/>
      <c r="M65" s="60"/>
      <c r="N65" s="60"/>
      <c r="O65" s="58" t="s">
        <v>274</v>
      </c>
      <c r="P65" s="58" t="s">
        <v>148</v>
      </c>
      <c r="Q65" s="13">
        <v>45</v>
      </c>
      <c r="R65" s="13">
        <v>3</v>
      </c>
      <c r="S65" s="13"/>
      <c r="T65" s="62"/>
      <c r="U65" s="13"/>
      <c r="V65" s="13"/>
      <c r="W65" s="13"/>
      <c r="X65" s="58"/>
      <c r="Y65" s="51">
        <f ca="1">Table24[[#This Row],[End Date]]+2-TODAY()</f>
        <v>-625</v>
      </c>
      <c r="Z65" s="13">
        <f>IF(ISBLANK(Table24[[#This Row],[Roster Received By]]),1,0)</f>
        <v>1</v>
      </c>
      <c r="AA65" s="13">
        <f ca="1">IF(Table24[[#This Row],[Start Date]]&gt;TODAY(),1,)</f>
        <v>0</v>
      </c>
    </row>
    <row r="66" spans="1:27" s="65" customFormat="1" ht="14.25" customHeight="1" x14ac:dyDescent="0.25">
      <c r="A66" s="46"/>
      <c r="B66" s="58" t="s">
        <v>275</v>
      </c>
      <c r="C66" s="59" t="s">
        <v>142</v>
      </c>
      <c r="D66" s="59" t="s">
        <v>143</v>
      </c>
      <c r="E66" s="47"/>
      <c r="F66" s="61">
        <v>45629</v>
      </c>
      <c r="G66" s="61">
        <v>45631</v>
      </c>
      <c r="H66" s="64"/>
      <c r="I66" s="60">
        <v>0.33333333333333331</v>
      </c>
      <c r="J66" s="61"/>
      <c r="K66" s="61"/>
      <c r="L66" s="61"/>
      <c r="M66" s="61"/>
      <c r="N66" s="61"/>
      <c r="O66" s="58" t="s">
        <v>274</v>
      </c>
      <c r="P66" s="58" t="s">
        <v>148</v>
      </c>
      <c r="Q66" s="13">
        <v>45</v>
      </c>
      <c r="R66" s="13">
        <v>3</v>
      </c>
      <c r="S66" s="13"/>
      <c r="T66" s="62"/>
      <c r="U66" s="13"/>
      <c r="V66" s="13"/>
      <c r="W66" s="13"/>
      <c r="X66" s="58"/>
      <c r="Y66" s="51">
        <f ca="1">Table24[[#This Row],[End Date]]+2-TODAY()</f>
        <v>-611</v>
      </c>
      <c r="Z66" s="13">
        <f>IF(ISBLANK(Table24[[#This Row],[Roster Received By]]),1,0)</f>
        <v>1</v>
      </c>
      <c r="AA66" s="13">
        <f ca="1">IF(Table24[[#This Row],[Start Date]]&gt;TODAY(),1,)</f>
        <v>0</v>
      </c>
    </row>
    <row r="67" spans="1:27" s="65" customFormat="1" ht="14.25" customHeight="1" x14ac:dyDescent="0.25">
      <c r="A67" s="46"/>
      <c r="B67" s="58" t="s">
        <v>275</v>
      </c>
      <c r="C67" s="59" t="s">
        <v>142</v>
      </c>
      <c r="D67" s="59" t="s">
        <v>143</v>
      </c>
      <c r="E67" s="47"/>
      <c r="F67" s="61">
        <v>45671</v>
      </c>
      <c r="G67" s="61">
        <v>45673</v>
      </c>
      <c r="H67" s="64"/>
      <c r="I67" s="64">
        <v>0.54166666666666663</v>
      </c>
      <c r="J67" s="61"/>
      <c r="K67" s="61"/>
      <c r="L67" s="61"/>
      <c r="M67" s="61"/>
      <c r="N67" s="61"/>
      <c r="O67" s="58" t="s">
        <v>274</v>
      </c>
      <c r="P67" s="58" t="s">
        <v>148</v>
      </c>
      <c r="Q67" s="13">
        <v>45</v>
      </c>
      <c r="R67" s="13">
        <v>3</v>
      </c>
      <c r="S67" s="13"/>
      <c r="T67" s="62"/>
      <c r="U67" s="13"/>
      <c r="V67" s="13"/>
      <c r="W67" s="13"/>
      <c r="X67" s="58"/>
      <c r="Y67" s="51">
        <f ca="1">Table24[[#This Row],[End Date]]+2-TODAY()</f>
        <v>-569</v>
      </c>
      <c r="Z67" s="13">
        <f>IF(ISBLANK(Table24[[#This Row],[Roster Received By]]),1,0)</f>
        <v>1</v>
      </c>
      <c r="AA67" s="13">
        <f ca="1">IF(Table24[[#This Row],[Start Date]]&gt;TODAY(),1,)</f>
        <v>0</v>
      </c>
    </row>
    <row r="68" spans="1:27" s="65" customFormat="1" ht="14.25" customHeight="1" x14ac:dyDescent="0.25">
      <c r="A68" s="46"/>
      <c r="B68" s="58" t="s">
        <v>275</v>
      </c>
      <c r="C68" s="59" t="s">
        <v>142</v>
      </c>
      <c r="D68" s="59" t="s">
        <v>143</v>
      </c>
      <c r="E68" s="58"/>
      <c r="F68" s="61">
        <v>45685</v>
      </c>
      <c r="G68" s="61">
        <v>45687</v>
      </c>
      <c r="H68" s="64"/>
      <c r="I68" s="64">
        <v>1000.4166666666666</v>
      </c>
      <c r="J68" s="61"/>
      <c r="K68" s="61"/>
      <c r="L68" s="61"/>
      <c r="M68" s="61"/>
      <c r="N68" s="61"/>
      <c r="O68" s="58" t="s">
        <v>274</v>
      </c>
      <c r="P68" s="58" t="s">
        <v>148</v>
      </c>
      <c r="Q68" s="13">
        <v>45</v>
      </c>
      <c r="R68" s="13">
        <v>3</v>
      </c>
      <c r="S68" s="62"/>
      <c r="T68" s="62"/>
      <c r="U68" s="13"/>
      <c r="V68" s="13"/>
      <c r="W68" s="13"/>
      <c r="X68" s="58"/>
      <c r="Y68" s="51">
        <f ca="1">Table24[[#This Row],[End Date]]+2-TODAY()</f>
        <v>-555</v>
      </c>
      <c r="Z68" s="13">
        <f>IF(ISBLANK(Table24[[#This Row],[Roster Received By]]),1,0)</f>
        <v>1</v>
      </c>
      <c r="AA68" s="13">
        <f ca="1">IF(Table24[[#This Row],[Start Date]]&gt;TODAY(),1,)</f>
        <v>0</v>
      </c>
    </row>
    <row r="69" spans="1:27" s="65" customFormat="1" ht="14.25" customHeight="1" x14ac:dyDescent="0.25">
      <c r="A69" s="46"/>
      <c r="B69" s="58" t="s">
        <v>275</v>
      </c>
      <c r="C69" s="59" t="s">
        <v>142</v>
      </c>
      <c r="D69" s="59" t="s">
        <v>143</v>
      </c>
      <c r="E69" s="47"/>
      <c r="F69" s="49">
        <v>45692</v>
      </c>
      <c r="G69" s="61">
        <v>45694</v>
      </c>
      <c r="H69" s="64"/>
      <c r="I69" s="60">
        <v>0.29166666666666669</v>
      </c>
      <c r="J69" s="61"/>
      <c r="K69" s="61"/>
      <c r="L69" s="61"/>
      <c r="M69" s="61"/>
      <c r="N69" s="61"/>
      <c r="O69" s="58" t="s">
        <v>274</v>
      </c>
      <c r="P69" s="58" t="s">
        <v>148</v>
      </c>
      <c r="Q69" s="13">
        <v>45</v>
      </c>
      <c r="R69" s="13">
        <v>3</v>
      </c>
      <c r="S69" s="13"/>
      <c r="T69" s="62"/>
      <c r="U69" s="13"/>
      <c r="V69" s="13"/>
      <c r="W69" s="13"/>
      <c r="X69" s="58"/>
      <c r="Y69" s="51">
        <f ca="1">Table24[[#This Row],[End Date]]+2-TODAY()</f>
        <v>-548</v>
      </c>
      <c r="Z69" s="13">
        <f>IF(ISBLANK(Table24[[#This Row],[Roster Received By]]),1,0)</f>
        <v>1</v>
      </c>
      <c r="AA69" s="13">
        <f ca="1">IF(Table24[[#This Row],[Start Date]]&gt;TODAY(),1,)</f>
        <v>0</v>
      </c>
    </row>
    <row r="70" spans="1:27" s="65" customFormat="1" ht="14.25" customHeight="1" x14ac:dyDescent="0.25">
      <c r="A70" s="46"/>
      <c r="B70" s="58" t="s">
        <v>275</v>
      </c>
      <c r="C70" s="59" t="s">
        <v>142</v>
      </c>
      <c r="D70" s="59" t="s">
        <v>143</v>
      </c>
      <c r="E70" s="58"/>
      <c r="F70" s="61">
        <v>45706</v>
      </c>
      <c r="G70" s="61">
        <v>45708</v>
      </c>
      <c r="H70" s="64"/>
      <c r="I70" s="64">
        <v>800.33333333333337</v>
      </c>
      <c r="J70" s="61"/>
      <c r="K70" s="61"/>
      <c r="L70" s="61"/>
      <c r="M70" s="61"/>
      <c r="N70" s="61"/>
      <c r="O70" s="58" t="s">
        <v>274</v>
      </c>
      <c r="P70" s="58" t="s">
        <v>148</v>
      </c>
      <c r="Q70" s="13">
        <v>45</v>
      </c>
      <c r="R70" s="13">
        <v>3</v>
      </c>
      <c r="S70" s="62"/>
      <c r="T70" s="62"/>
      <c r="U70" s="13"/>
      <c r="V70" s="13"/>
      <c r="W70" s="13"/>
      <c r="X70" s="58"/>
      <c r="Y70" s="51">
        <f ca="1">Table24[[#This Row],[End Date]]+2-TODAY()</f>
        <v>-534</v>
      </c>
      <c r="Z70" s="13">
        <f>IF(ISBLANK(Table24[[#This Row],[Roster Received By]]),1,0)</f>
        <v>1</v>
      </c>
      <c r="AA70" s="13">
        <f ca="1">IF(Table24[[#This Row],[Start Date]]&gt;TODAY(),1,)</f>
        <v>0</v>
      </c>
    </row>
    <row r="71" spans="1:27" s="65" customFormat="1" ht="14.25" customHeight="1" x14ac:dyDescent="0.25">
      <c r="A71" s="46"/>
      <c r="B71" s="58" t="s">
        <v>275</v>
      </c>
      <c r="C71" s="59" t="s">
        <v>142</v>
      </c>
      <c r="D71" s="59" t="s">
        <v>143</v>
      </c>
      <c r="E71" s="58"/>
      <c r="F71" s="61">
        <v>45720</v>
      </c>
      <c r="G71" s="61">
        <v>45722</v>
      </c>
      <c r="H71" s="64"/>
      <c r="I71" s="64">
        <v>800.45833333333337</v>
      </c>
      <c r="J71" s="61"/>
      <c r="K71" s="61"/>
      <c r="L71" s="61"/>
      <c r="M71" s="61"/>
      <c r="N71" s="61"/>
      <c r="O71" s="58" t="s">
        <v>274</v>
      </c>
      <c r="P71" s="58" t="s">
        <v>148</v>
      </c>
      <c r="Q71" s="13">
        <v>45</v>
      </c>
      <c r="R71" s="13">
        <v>3</v>
      </c>
      <c r="S71" s="62"/>
      <c r="T71" s="62"/>
      <c r="U71" s="13"/>
      <c r="V71" s="13"/>
      <c r="W71" s="13"/>
      <c r="X71" s="58"/>
      <c r="Y71" s="51">
        <f ca="1">Table24[[#This Row],[End Date]]+2-TODAY()</f>
        <v>-520</v>
      </c>
      <c r="Z71" s="13">
        <f>IF(ISBLANK(Table24[[#This Row],[Roster Received By]]),1,0)</f>
        <v>1</v>
      </c>
      <c r="AA71" s="13">
        <f ca="1">IF(Table24[[#This Row],[Start Date]]&gt;TODAY(),1,)</f>
        <v>0</v>
      </c>
    </row>
    <row r="72" spans="1:27" s="65" customFormat="1" ht="14.25" customHeight="1" x14ac:dyDescent="0.25">
      <c r="A72" s="46"/>
      <c r="B72" s="58" t="s">
        <v>275</v>
      </c>
      <c r="C72" s="59" t="s">
        <v>142</v>
      </c>
      <c r="D72" s="59" t="s">
        <v>143</v>
      </c>
      <c r="E72" s="58"/>
      <c r="F72" s="61">
        <v>45734</v>
      </c>
      <c r="G72" s="61">
        <v>45736</v>
      </c>
      <c r="H72" s="64"/>
      <c r="I72" s="64">
        <v>800.79166666666663</v>
      </c>
      <c r="J72" s="61"/>
      <c r="K72" s="61"/>
      <c r="L72" s="61"/>
      <c r="M72" s="61"/>
      <c r="N72" s="61"/>
      <c r="O72" s="58" t="s">
        <v>274</v>
      </c>
      <c r="P72" s="58" t="s">
        <v>148</v>
      </c>
      <c r="Q72" s="13">
        <v>45</v>
      </c>
      <c r="R72" s="13">
        <v>3</v>
      </c>
      <c r="S72" s="62"/>
      <c r="T72" s="62"/>
      <c r="U72" s="13"/>
      <c r="V72" s="13"/>
      <c r="W72" s="13"/>
      <c r="X72" s="58"/>
      <c r="Y72" s="51">
        <f ca="1">Table24[[#This Row],[End Date]]+2-TODAY()</f>
        <v>-506</v>
      </c>
      <c r="Z72" s="13">
        <f>IF(ISBLANK(Table24[[#This Row],[Roster Received By]]),1,0)</f>
        <v>1</v>
      </c>
      <c r="AA72" s="13">
        <f ca="1">IF(Table24[[#This Row],[Start Date]]&gt;TODAY(),1,)</f>
        <v>0</v>
      </c>
    </row>
    <row r="73" spans="1:27" s="65" customFormat="1" ht="14.25" customHeight="1" x14ac:dyDescent="0.25">
      <c r="A73" s="46"/>
      <c r="B73" s="58" t="s">
        <v>275</v>
      </c>
      <c r="C73" s="59" t="s">
        <v>142</v>
      </c>
      <c r="D73" s="59" t="s">
        <v>143</v>
      </c>
      <c r="E73" s="58"/>
      <c r="F73" s="61">
        <v>45748</v>
      </c>
      <c r="G73" s="61">
        <v>45750</v>
      </c>
      <c r="H73" s="64"/>
      <c r="I73" s="64">
        <v>800.29166666666663</v>
      </c>
      <c r="J73" s="61"/>
      <c r="K73" s="61"/>
      <c r="L73" s="61"/>
      <c r="M73" s="61"/>
      <c r="N73" s="61"/>
      <c r="O73" s="58" t="s">
        <v>274</v>
      </c>
      <c r="P73" s="58" t="s">
        <v>148</v>
      </c>
      <c r="Q73" s="13">
        <v>45</v>
      </c>
      <c r="R73" s="13">
        <v>3</v>
      </c>
      <c r="S73" s="62"/>
      <c r="T73" s="62"/>
      <c r="U73" s="13"/>
      <c r="V73" s="13"/>
      <c r="W73" s="13"/>
      <c r="X73" s="58"/>
      <c r="Y73" s="51">
        <f ca="1">Table24[[#This Row],[End Date]]+2-TODAY()</f>
        <v>-492</v>
      </c>
      <c r="Z73" s="13">
        <f>IF(ISBLANK(Table24[[#This Row],[Roster Received By]]),1,0)</f>
        <v>1</v>
      </c>
      <c r="AA73" s="13">
        <f ca="1">IF(Table24[[#This Row],[Start Date]]&gt;TODAY(),1,)</f>
        <v>0</v>
      </c>
    </row>
    <row r="74" spans="1:27" s="65" customFormat="1" ht="14.25" customHeight="1" x14ac:dyDescent="0.25">
      <c r="A74" s="46"/>
      <c r="B74" s="58" t="s">
        <v>275</v>
      </c>
      <c r="C74" s="59" t="s">
        <v>142</v>
      </c>
      <c r="D74" s="59" t="s">
        <v>143</v>
      </c>
      <c r="E74" s="58"/>
      <c r="F74" s="61">
        <v>45776</v>
      </c>
      <c r="G74" s="61">
        <v>45778</v>
      </c>
      <c r="H74" s="64"/>
      <c r="I74" s="64">
        <v>800.33333333333337</v>
      </c>
      <c r="J74" s="61"/>
      <c r="K74" s="61"/>
      <c r="L74" s="61"/>
      <c r="M74" s="61"/>
      <c r="N74" s="61"/>
      <c r="O74" s="58" t="s">
        <v>274</v>
      </c>
      <c r="P74" s="58" t="s">
        <v>148</v>
      </c>
      <c r="Q74" s="13">
        <v>45</v>
      </c>
      <c r="R74" s="13">
        <v>3</v>
      </c>
      <c r="S74" s="62"/>
      <c r="T74" s="62"/>
      <c r="U74" s="13"/>
      <c r="V74" s="13"/>
      <c r="W74" s="13"/>
      <c r="X74" s="58"/>
      <c r="Y74" s="51">
        <f ca="1">Table24[[#This Row],[End Date]]+2-TODAY()</f>
        <v>-464</v>
      </c>
      <c r="Z74" s="13">
        <f>IF(ISBLANK(Table24[[#This Row],[Roster Received By]]),1,0)</f>
        <v>1</v>
      </c>
      <c r="AA74" s="13">
        <f ca="1">IF(Table24[[#This Row],[Start Date]]&gt;TODAY(),1,)</f>
        <v>0</v>
      </c>
    </row>
    <row r="75" spans="1:27" s="65" customFormat="1" ht="14.25" customHeight="1" x14ac:dyDescent="0.25">
      <c r="A75" s="46"/>
      <c r="B75" s="58" t="s">
        <v>275</v>
      </c>
      <c r="C75" s="59" t="s">
        <v>142</v>
      </c>
      <c r="D75" s="59" t="s">
        <v>143</v>
      </c>
      <c r="E75" s="58"/>
      <c r="F75" s="61">
        <v>45790</v>
      </c>
      <c r="G75" s="61">
        <v>45792</v>
      </c>
      <c r="H75" s="64"/>
      <c r="I75" s="64">
        <v>800.45833333333337</v>
      </c>
      <c r="J75" s="61"/>
      <c r="K75" s="61"/>
      <c r="L75" s="61"/>
      <c r="M75" s="61"/>
      <c r="N75" s="61"/>
      <c r="O75" s="58" t="s">
        <v>274</v>
      </c>
      <c r="P75" s="58" t="s">
        <v>148</v>
      </c>
      <c r="Q75" s="13">
        <v>45</v>
      </c>
      <c r="R75" s="13">
        <v>3</v>
      </c>
      <c r="S75" s="62"/>
      <c r="T75" s="62"/>
      <c r="U75" s="13"/>
      <c r="V75" s="13"/>
      <c r="W75" s="13"/>
      <c r="X75" s="58"/>
      <c r="Y75" s="51">
        <f ca="1">Table24[[#This Row],[End Date]]+2-TODAY()</f>
        <v>-450</v>
      </c>
      <c r="Z75" s="13">
        <f>IF(ISBLANK(Table24[[#This Row],[Roster Received By]]),1,0)</f>
        <v>1</v>
      </c>
      <c r="AA75" s="13">
        <f ca="1">IF(Table24[[#This Row],[Start Date]]&gt;TODAY(),1,)</f>
        <v>0</v>
      </c>
    </row>
    <row r="76" spans="1:27" s="65" customFormat="1" ht="14.25" customHeight="1" x14ac:dyDescent="0.25">
      <c r="A76" s="46"/>
      <c r="B76" s="58" t="s">
        <v>275</v>
      </c>
      <c r="C76" s="59" t="s">
        <v>142</v>
      </c>
      <c r="D76" s="59" t="s">
        <v>143</v>
      </c>
      <c r="E76" s="58"/>
      <c r="F76" s="61">
        <v>45804</v>
      </c>
      <c r="G76" s="61">
        <v>45806</v>
      </c>
      <c r="H76" s="64"/>
      <c r="I76" s="64">
        <v>800.54166666666663</v>
      </c>
      <c r="J76" s="61"/>
      <c r="K76" s="61"/>
      <c r="L76" s="61"/>
      <c r="M76" s="61"/>
      <c r="N76" s="61"/>
      <c r="O76" s="58" t="s">
        <v>274</v>
      </c>
      <c r="P76" s="58" t="s">
        <v>148</v>
      </c>
      <c r="Q76" s="13">
        <v>45</v>
      </c>
      <c r="R76" s="13">
        <v>3</v>
      </c>
      <c r="S76" s="62"/>
      <c r="T76" s="62"/>
      <c r="U76" s="13"/>
      <c r="V76" s="13"/>
      <c r="W76" s="13"/>
      <c r="X76" s="58"/>
      <c r="Y76" s="51">
        <f ca="1">Table24[[#This Row],[End Date]]+2-TODAY()</f>
        <v>-436</v>
      </c>
      <c r="Z76" s="13">
        <f>IF(ISBLANK(Table24[[#This Row],[Roster Received By]]),1,0)</f>
        <v>1</v>
      </c>
      <c r="AA76" s="13">
        <f ca="1">IF(Table24[[#This Row],[Start Date]]&gt;TODAY(),1,)</f>
        <v>0</v>
      </c>
    </row>
    <row r="77" spans="1:27" s="65" customFormat="1" ht="14.25" customHeight="1" x14ac:dyDescent="0.25">
      <c r="A77" s="46"/>
      <c r="B77" s="58" t="s">
        <v>275</v>
      </c>
      <c r="C77" s="59" t="s">
        <v>142</v>
      </c>
      <c r="D77" s="59" t="s">
        <v>143</v>
      </c>
      <c r="E77" s="58"/>
      <c r="F77" s="61">
        <v>45818</v>
      </c>
      <c r="G77" s="61">
        <v>45820</v>
      </c>
      <c r="H77" s="61"/>
      <c r="I77" s="60">
        <v>0.41666666666666669</v>
      </c>
      <c r="J77" s="60"/>
      <c r="K77" s="60"/>
      <c r="L77" s="60"/>
      <c r="M77" s="60"/>
      <c r="N77" s="60"/>
      <c r="O77" s="58" t="s">
        <v>274</v>
      </c>
      <c r="P77" s="58" t="s">
        <v>148</v>
      </c>
      <c r="Q77" s="13">
        <v>45</v>
      </c>
      <c r="R77" s="13">
        <v>3</v>
      </c>
      <c r="S77" s="13"/>
      <c r="T77" s="62"/>
      <c r="U77" s="13"/>
      <c r="V77" s="13"/>
      <c r="W77" s="13"/>
      <c r="X77" s="58"/>
      <c r="Y77" s="51">
        <f ca="1">Table24[[#This Row],[End Date]]+2-TODAY()</f>
        <v>-422</v>
      </c>
      <c r="Z77" s="13">
        <f>IF(ISBLANK(Table24[[#This Row],[Roster Received By]]),1,0)</f>
        <v>1</v>
      </c>
      <c r="AA77" s="13">
        <f ca="1">IF(Table24[[#This Row],[Start Date]]&gt;TODAY(),1,)</f>
        <v>0</v>
      </c>
    </row>
    <row r="78" spans="1:27" s="65" customFormat="1" ht="14.25" customHeight="1" x14ac:dyDescent="0.25">
      <c r="A78" s="46"/>
      <c r="B78" s="58" t="s">
        <v>275</v>
      </c>
      <c r="C78" s="59" t="s">
        <v>142</v>
      </c>
      <c r="D78" s="59" t="s">
        <v>143</v>
      </c>
      <c r="E78" s="58"/>
      <c r="F78" s="61">
        <v>45832</v>
      </c>
      <c r="G78" s="61">
        <v>45834</v>
      </c>
      <c r="H78" s="64"/>
      <c r="I78" s="64">
        <v>700.29166666666663</v>
      </c>
      <c r="J78" s="61"/>
      <c r="K78" s="61"/>
      <c r="L78" s="61"/>
      <c r="M78" s="61"/>
      <c r="N78" s="61"/>
      <c r="O78" s="58" t="s">
        <v>274</v>
      </c>
      <c r="P78" s="58" t="s">
        <v>148</v>
      </c>
      <c r="Q78" s="13">
        <v>45</v>
      </c>
      <c r="R78" s="13">
        <v>3</v>
      </c>
      <c r="S78" s="62"/>
      <c r="T78" s="62"/>
      <c r="U78" s="13"/>
      <c r="V78" s="13"/>
      <c r="W78" s="13"/>
      <c r="X78" s="58"/>
      <c r="Y78" s="51">
        <f ca="1">Table24[[#This Row],[End Date]]+2-TODAY()</f>
        <v>-408</v>
      </c>
      <c r="Z78" s="13">
        <f>IF(ISBLANK(Table24[[#This Row],[Roster Received By]]),1,0)</f>
        <v>1</v>
      </c>
      <c r="AA78" s="13">
        <f ca="1">IF(Table24[[#This Row],[Start Date]]&gt;TODAY(),1,)</f>
        <v>0</v>
      </c>
    </row>
    <row r="79" spans="1:27" s="65" customFormat="1" ht="14.25" customHeight="1" x14ac:dyDescent="0.25">
      <c r="A79" s="46"/>
      <c r="B79" s="58" t="s">
        <v>275</v>
      </c>
      <c r="C79" s="59" t="s">
        <v>142</v>
      </c>
      <c r="D79" s="59" t="s">
        <v>143</v>
      </c>
      <c r="E79" s="58"/>
      <c r="F79" s="61">
        <v>45846</v>
      </c>
      <c r="G79" s="61">
        <v>45848</v>
      </c>
      <c r="H79" s="61"/>
      <c r="I79" s="60">
        <v>0.33333333333333331</v>
      </c>
      <c r="J79" s="60"/>
      <c r="K79" s="60"/>
      <c r="L79" s="60"/>
      <c r="M79" s="60"/>
      <c r="N79" s="60"/>
      <c r="O79" s="58" t="s">
        <v>274</v>
      </c>
      <c r="P79" s="58" t="s">
        <v>148</v>
      </c>
      <c r="Q79" s="13">
        <v>45</v>
      </c>
      <c r="R79" s="13">
        <v>3</v>
      </c>
      <c r="S79" s="13"/>
      <c r="T79" s="62"/>
      <c r="U79" s="13"/>
      <c r="V79" s="13"/>
      <c r="W79" s="13"/>
      <c r="X79" s="58"/>
      <c r="Y79" s="51">
        <f ca="1">Table24[[#This Row],[End Date]]+2-TODAY()</f>
        <v>-394</v>
      </c>
      <c r="Z79" s="13">
        <f>IF(ISBLANK(Table24[[#This Row],[Roster Received By]]),1,0)</f>
        <v>1</v>
      </c>
      <c r="AA79" s="13">
        <f ca="1">IF(Table24[[#This Row],[Start Date]]&gt;TODAY(),1,)</f>
        <v>0</v>
      </c>
    </row>
    <row r="80" spans="1:27" s="65" customFormat="1" ht="14.25" customHeight="1" x14ac:dyDescent="0.25">
      <c r="A80" s="46"/>
      <c r="B80" s="58" t="s">
        <v>275</v>
      </c>
      <c r="C80" s="59" t="s">
        <v>142</v>
      </c>
      <c r="D80" s="59" t="s">
        <v>143</v>
      </c>
      <c r="E80" s="58"/>
      <c r="F80" s="61">
        <v>45860</v>
      </c>
      <c r="G80" s="61">
        <v>45862</v>
      </c>
      <c r="H80" s="64"/>
      <c r="I80" s="64">
        <v>700.54166666666663</v>
      </c>
      <c r="J80" s="61"/>
      <c r="K80" s="61"/>
      <c r="L80" s="61"/>
      <c r="M80" s="61"/>
      <c r="N80" s="61"/>
      <c r="O80" s="58" t="s">
        <v>274</v>
      </c>
      <c r="P80" s="58" t="s">
        <v>148</v>
      </c>
      <c r="Q80" s="13">
        <v>45</v>
      </c>
      <c r="R80" s="13">
        <v>3</v>
      </c>
      <c r="S80" s="62"/>
      <c r="T80" s="62"/>
      <c r="U80" s="13"/>
      <c r="V80" s="13"/>
      <c r="W80" s="13"/>
      <c r="X80" s="58"/>
      <c r="Y80" s="51">
        <f ca="1">Table24[[#This Row],[End Date]]+2-TODAY()</f>
        <v>-380</v>
      </c>
      <c r="Z80" s="13">
        <f>IF(ISBLANK(Table24[[#This Row],[Roster Received By]]),1,0)</f>
        <v>1</v>
      </c>
      <c r="AA80" s="13">
        <f ca="1">IF(Table24[[#This Row],[Start Date]]&gt;TODAY(),1,)</f>
        <v>0</v>
      </c>
    </row>
    <row r="81" spans="1:27" s="94" customFormat="1" ht="14.25" customHeight="1" x14ac:dyDescent="0.25">
      <c r="A81" s="58"/>
      <c r="B81" s="58" t="s">
        <v>275</v>
      </c>
      <c r="C81" s="59" t="s">
        <v>142</v>
      </c>
      <c r="D81" s="59" t="s">
        <v>143</v>
      </c>
      <c r="E81" s="47"/>
      <c r="F81" s="61">
        <v>45874</v>
      </c>
      <c r="G81" s="61">
        <v>45876</v>
      </c>
      <c r="H81" s="64"/>
      <c r="I81" s="60">
        <v>0.41666666666666669</v>
      </c>
      <c r="J81" s="61"/>
      <c r="K81" s="61"/>
      <c r="L81" s="61"/>
      <c r="M81" s="61"/>
      <c r="N81" s="61"/>
      <c r="O81" s="58" t="s">
        <v>274</v>
      </c>
      <c r="P81" s="58" t="s">
        <v>148</v>
      </c>
      <c r="Q81" s="13">
        <v>45</v>
      </c>
      <c r="R81" s="13">
        <v>3</v>
      </c>
      <c r="S81" s="13"/>
      <c r="T81" s="62"/>
      <c r="U81" s="13"/>
      <c r="V81" s="13"/>
      <c r="W81" s="13"/>
      <c r="X81" s="58"/>
      <c r="Y81" s="51">
        <f ca="1">Table24[[#This Row],[End Date]]+2-TODAY()</f>
        <v>-366</v>
      </c>
      <c r="Z81" s="13">
        <f>IF(ISBLANK(Table24[[#This Row],[Roster Received By]]),1,0)</f>
        <v>1</v>
      </c>
      <c r="AA81" s="13">
        <f ca="1">IF(Table24[[#This Row],[Start Date]]&gt;TODAY(),1,)</f>
        <v>0</v>
      </c>
    </row>
    <row r="82" spans="1:27" s="94" customFormat="1" ht="14.25" customHeight="1" x14ac:dyDescent="0.25">
      <c r="A82" s="58"/>
      <c r="B82" s="58" t="s">
        <v>275</v>
      </c>
      <c r="C82" s="59" t="s">
        <v>142</v>
      </c>
      <c r="D82" s="59" t="s">
        <v>143</v>
      </c>
      <c r="E82" s="58"/>
      <c r="F82" s="61">
        <v>45888</v>
      </c>
      <c r="G82" s="61">
        <v>45890</v>
      </c>
      <c r="H82" s="64"/>
      <c r="I82" s="64">
        <v>700.45833333333337</v>
      </c>
      <c r="J82" s="61"/>
      <c r="K82" s="61"/>
      <c r="L82" s="61"/>
      <c r="M82" s="61"/>
      <c r="N82" s="61"/>
      <c r="O82" s="58" t="s">
        <v>274</v>
      </c>
      <c r="P82" s="58" t="s">
        <v>148</v>
      </c>
      <c r="Q82" s="13">
        <v>45</v>
      </c>
      <c r="R82" s="13">
        <v>3</v>
      </c>
      <c r="S82" s="62"/>
      <c r="T82" s="62"/>
      <c r="U82" s="13"/>
      <c r="V82" s="13"/>
      <c r="W82" s="13"/>
      <c r="X82" s="58"/>
      <c r="Y82" s="51">
        <f ca="1">Table24[[#This Row],[End Date]]+2-TODAY()</f>
        <v>-352</v>
      </c>
      <c r="Z82" s="13">
        <f>IF(ISBLANK(Table24[[#This Row],[Roster Received By]]),1,0)</f>
        <v>1</v>
      </c>
      <c r="AA82" s="13">
        <f ca="1">IF(Table24[[#This Row],[Start Date]]&gt;TODAY(),1,)</f>
        <v>0</v>
      </c>
    </row>
    <row r="83" spans="1:27" s="94" customFormat="1" ht="14.25" customHeight="1" x14ac:dyDescent="0.25">
      <c r="A83" s="58"/>
      <c r="B83" s="58" t="s">
        <v>275</v>
      </c>
      <c r="C83" s="59" t="s">
        <v>142</v>
      </c>
      <c r="D83" s="59" t="s">
        <v>143</v>
      </c>
      <c r="E83" s="58"/>
      <c r="F83" s="61">
        <v>45902</v>
      </c>
      <c r="G83" s="61">
        <v>45904</v>
      </c>
      <c r="H83" s="64"/>
      <c r="I83" s="64">
        <v>700.79166666666663</v>
      </c>
      <c r="J83" s="61"/>
      <c r="K83" s="61"/>
      <c r="L83" s="61"/>
      <c r="M83" s="61"/>
      <c r="N83" s="61"/>
      <c r="O83" s="58" t="s">
        <v>274</v>
      </c>
      <c r="P83" s="58" t="s">
        <v>148</v>
      </c>
      <c r="Q83" s="13">
        <v>45</v>
      </c>
      <c r="R83" s="13">
        <v>3</v>
      </c>
      <c r="S83" s="62"/>
      <c r="T83" s="62"/>
      <c r="U83" s="13"/>
      <c r="V83" s="13"/>
      <c r="W83" s="13"/>
      <c r="X83" s="58"/>
      <c r="Y83" s="51">
        <f ca="1">Table24[[#This Row],[End Date]]+2-TODAY()</f>
        <v>-338</v>
      </c>
      <c r="Z83" s="13">
        <f>IF(ISBLANK(Table24[[#This Row],[Roster Received By]]),1,0)</f>
        <v>1</v>
      </c>
      <c r="AA83" s="13">
        <f ca="1">IF(Table24[[#This Row],[Start Date]]&gt;TODAY(),1,)</f>
        <v>0</v>
      </c>
    </row>
    <row r="84" spans="1:27" s="94" customFormat="1" ht="14.25" customHeight="1" x14ac:dyDescent="0.25">
      <c r="A84" s="58"/>
      <c r="B84" s="58" t="s">
        <v>275</v>
      </c>
      <c r="C84" s="59" t="s">
        <v>142</v>
      </c>
      <c r="D84" s="59" t="s">
        <v>143</v>
      </c>
      <c r="E84" s="58"/>
      <c r="F84" s="61">
        <v>45916</v>
      </c>
      <c r="G84" s="61">
        <v>45918</v>
      </c>
      <c r="H84" s="64"/>
      <c r="I84" s="64">
        <v>700.33333333333337</v>
      </c>
      <c r="J84" s="61"/>
      <c r="K84" s="61"/>
      <c r="L84" s="61"/>
      <c r="M84" s="61"/>
      <c r="N84" s="61"/>
      <c r="O84" s="58" t="s">
        <v>274</v>
      </c>
      <c r="P84" s="58" t="s">
        <v>148</v>
      </c>
      <c r="Q84" s="13">
        <v>45</v>
      </c>
      <c r="R84" s="13">
        <v>3</v>
      </c>
      <c r="S84" s="62"/>
      <c r="T84" s="62"/>
      <c r="U84" s="13"/>
      <c r="V84" s="13"/>
      <c r="W84" s="13"/>
      <c r="X84" s="58"/>
      <c r="Y84" s="51">
        <f ca="1">Table24[[#This Row],[End Date]]+2-TODAY()</f>
        <v>-324</v>
      </c>
      <c r="Z84" s="13">
        <f>IF(ISBLANK(Table24[[#This Row],[Roster Received By]]),1,0)</f>
        <v>1</v>
      </c>
      <c r="AA84" s="13">
        <f ca="1">IF(Table24[[#This Row],[Start Date]]&gt;TODAY(),1,)</f>
        <v>0</v>
      </c>
    </row>
    <row r="85" spans="1:27" s="94" customFormat="1" ht="14.25" customHeight="1" x14ac:dyDescent="0.25">
      <c r="A85" s="58"/>
      <c r="B85" s="58" t="s">
        <v>275</v>
      </c>
      <c r="C85" s="59" t="s">
        <v>142</v>
      </c>
      <c r="D85" s="59" t="s">
        <v>143</v>
      </c>
      <c r="E85" s="58"/>
      <c r="F85" s="61">
        <v>45930</v>
      </c>
      <c r="G85" s="61">
        <v>45932</v>
      </c>
      <c r="H85" s="64"/>
      <c r="I85" s="64">
        <v>700.54166666666663</v>
      </c>
      <c r="J85" s="61"/>
      <c r="K85" s="61"/>
      <c r="L85" s="61"/>
      <c r="M85" s="61"/>
      <c r="N85" s="61"/>
      <c r="O85" s="58" t="s">
        <v>274</v>
      </c>
      <c r="P85" s="58" t="s">
        <v>148</v>
      </c>
      <c r="Q85" s="13">
        <v>45</v>
      </c>
      <c r="R85" s="13">
        <v>3</v>
      </c>
      <c r="S85" s="62"/>
      <c r="T85" s="62"/>
      <c r="U85" s="13"/>
      <c r="V85" s="13"/>
      <c r="W85" s="13"/>
      <c r="X85" s="58"/>
      <c r="Y85" s="51">
        <f ca="1">Table24[[#This Row],[End Date]]+2-TODAY()</f>
        <v>-310</v>
      </c>
      <c r="Z85" s="13">
        <f>IF(ISBLANK(Table24[[#This Row],[Roster Received By]]),1,0)</f>
        <v>1</v>
      </c>
      <c r="AA85" s="13">
        <f ca="1">IF(Table24[[#This Row],[Start Date]]&gt;TODAY(),1,)</f>
        <v>0</v>
      </c>
    </row>
    <row r="86" spans="1:27" s="65" customFormat="1" ht="14.25" customHeight="1" x14ac:dyDescent="0.25">
      <c r="A86" s="46"/>
      <c r="B86" s="58" t="s">
        <v>276</v>
      </c>
      <c r="C86" s="59" t="s">
        <v>277</v>
      </c>
      <c r="D86" s="59" t="s">
        <v>278</v>
      </c>
      <c r="E86" s="58" t="s">
        <v>279</v>
      </c>
      <c r="F86" s="61">
        <v>45712</v>
      </c>
      <c r="G86" s="61">
        <v>45716</v>
      </c>
      <c r="H86" s="64"/>
      <c r="I86" s="60">
        <v>0.33333333333333331</v>
      </c>
      <c r="J86" s="61"/>
      <c r="K86" s="61"/>
      <c r="L86" s="61"/>
      <c r="M86" s="61"/>
      <c r="N86" s="61"/>
      <c r="O86" s="58" t="s">
        <v>280</v>
      </c>
      <c r="P86" s="58"/>
      <c r="Q86" s="13">
        <v>25</v>
      </c>
      <c r="R86" s="13">
        <v>5</v>
      </c>
      <c r="S86" s="13"/>
      <c r="T86" s="62"/>
      <c r="U86" s="13"/>
      <c r="V86" s="13"/>
      <c r="W86" s="59"/>
      <c r="X86" s="58"/>
      <c r="Y86" s="51">
        <f ca="1">Table24[[#This Row],[End Date]]+2-TODAY()</f>
        <v>-526</v>
      </c>
      <c r="Z86" s="13">
        <f>IF(ISBLANK(Table24[[#This Row],[Roster Received By]]),1,0)</f>
        <v>1</v>
      </c>
      <c r="AA86" s="13">
        <f ca="1">IF(Table24[[#This Row],[Start Date]]&gt;TODAY(),1,)</f>
        <v>0</v>
      </c>
    </row>
    <row r="87" spans="1:27" s="65" customFormat="1" ht="14.25" customHeight="1" x14ac:dyDescent="0.25">
      <c r="A87" s="58"/>
      <c r="B87" s="58" t="s">
        <v>276</v>
      </c>
      <c r="C87" s="59" t="s">
        <v>277</v>
      </c>
      <c r="D87" s="59" t="s">
        <v>278</v>
      </c>
      <c r="E87" s="58" t="s">
        <v>279</v>
      </c>
      <c r="F87" s="61">
        <v>45719</v>
      </c>
      <c r="G87" s="61">
        <v>45733</v>
      </c>
      <c r="H87" s="64"/>
      <c r="I87" s="60">
        <v>0.33333333333333331</v>
      </c>
      <c r="J87" s="61"/>
      <c r="K87" s="61"/>
      <c r="L87" s="61"/>
      <c r="M87" s="61"/>
      <c r="N87" s="61"/>
      <c r="O87" s="58" t="s">
        <v>280</v>
      </c>
      <c r="P87" s="58"/>
      <c r="Q87" s="13">
        <v>25</v>
      </c>
      <c r="R87" s="13">
        <v>5</v>
      </c>
      <c r="S87" s="13"/>
      <c r="T87" s="62"/>
      <c r="U87" s="13"/>
      <c r="V87" s="13"/>
      <c r="W87" s="13"/>
      <c r="X87" s="58"/>
      <c r="Y87" s="51">
        <f ca="1">Table24[[#This Row],[End Date]]+2-TODAY()</f>
        <v>-509</v>
      </c>
      <c r="Z87" s="13">
        <f>IF(ISBLANK(Table24[[#This Row],[Roster Received By]]),1,0)</f>
        <v>1</v>
      </c>
      <c r="AA87" s="13">
        <f ca="1">IF(Table24[[#This Row],[Start Date]]&gt;TODAY(),1,)</f>
        <v>0</v>
      </c>
    </row>
    <row r="88" spans="1:27" s="65" customFormat="1" ht="14.25" customHeight="1" x14ac:dyDescent="0.25">
      <c r="A88" s="46"/>
      <c r="B88" s="58" t="s">
        <v>276</v>
      </c>
      <c r="C88" s="59" t="s">
        <v>277</v>
      </c>
      <c r="D88" s="59" t="s">
        <v>278</v>
      </c>
      <c r="E88" s="58" t="s">
        <v>83</v>
      </c>
      <c r="F88" s="61">
        <v>45628</v>
      </c>
      <c r="G88" s="61">
        <v>45632</v>
      </c>
      <c r="H88" s="61"/>
      <c r="I88" s="60">
        <v>0.33333333333333331</v>
      </c>
      <c r="J88" s="60">
        <v>0.33333333333333331</v>
      </c>
      <c r="K88" s="60"/>
      <c r="L88" s="60"/>
      <c r="M88" s="60"/>
      <c r="N88" s="60"/>
      <c r="O88" s="58" t="s">
        <v>280</v>
      </c>
      <c r="P88" s="58"/>
      <c r="Q88" s="13">
        <v>25</v>
      </c>
      <c r="R88" s="13">
        <v>5</v>
      </c>
      <c r="S88" s="13"/>
      <c r="T88" s="62"/>
      <c r="U88" s="13"/>
      <c r="V88" s="13"/>
      <c r="W88" s="13"/>
      <c r="X88" s="58"/>
      <c r="Y88" s="51">
        <f ca="1">Table24[[#This Row],[End Date]]+2-TODAY()</f>
        <v>-610</v>
      </c>
      <c r="Z88" s="13">
        <f>IF(ISBLANK(Table24[[#This Row],[Roster Received By]]),1,0)</f>
        <v>1</v>
      </c>
      <c r="AA88" s="13">
        <f ca="1">IF(Table24[[#This Row],[Start Date]]&gt;TODAY(),1,)</f>
        <v>0</v>
      </c>
    </row>
    <row r="89" spans="1:27" s="65" customFormat="1" ht="14.25" customHeight="1" x14ac:dyDescent="0.25">
      <c r="A89" s="46"/>
      <c r="B89" s="58" t="s">
        <v>276</v>
      </c>
      <c r="C89" s="59" t="s">
        <v>277</v>
      </c>
      <c r="D89" s="59" t="s">
        <v>278</v>
      </c>
      <c r="E89" s="58" t="s">
        <v>83</v>
      </c>
      <c r="F89" s="61">
        <v>45635</v>
      </c>
      <c r="G89" s="61">
        <v>45639</v>
      </c>
      <c r="H89" s="61"/>
      <c r="I89" s="60">
        <v>0.33333333333333331</v>
      </c>
      <c r="J89" s="60">
        <v>0.33333333333333331</v>
      </c>
      <c r="K89" s="60"/>
      <c r="L89" s="60"/>
      <c r="M89" s="60"/>
      <c r="N89" s="60"/>
      <c r="O89" s="58" t="s">
        <v>280</v>
      </c>
      <c r="P89" s="58"/>
      <c r="Q89" s="13">
        <v>25</v>
      </c>
      <c r="R89" s="13">
        <v>5</v>
      </c>
      <c r="S89" s="13"/>
      <c r="T89" s="62"/>
      <c r="U89" s="13"/>
      <c r="V89" s="13"/>
      <c r="W89" s="59"/>
      <c r="X89" s="58"/>
      <c r="Y89" s="51">
        <f ca="1">Table24[[#This Row],[End Date]]+2-TODAY()</f>
        <v>-603</v>
      </c>
      <c r="Z89" s="13">
        <f>IF(ISBLANK(Table24[[#This Row],[Roster Received By]]),1,0)</f>
        <v>1</v>
      </c>
      <c r="AA89" s="13">
        <f ca="1">IF(Table24[[#This Row],[Start Date]]&gt;TODAY(),1,)</f>
        <v>0</v>
      </c>
    </row>
    <row r="90" spans="1:27" s="94" customFormat="1" x14ac:dyDescent="0.25">
      <c r="A90" s="46"/>
      <c r="B90" s="58" t="s">
        <v>276</v>
      </c>
      <c r="C90" s="59" t="s">
        <v>277</v>
      </c>
      <c r="D90" s="59" t="s">
        <v>278</v>
      </c>
      <c r="E90" s="58" t="s">
        <v>83</v>
      </c>
      <c r="F90" s="49">
        <v>45733</v>
      </c>
      <c r="G90" s="49">
        <v>45737</v>
      </c>
      <c r="H90" s="60"/>
      <c r="I90" s="60">
        <v>0.33333333333333331</v>
      </c>
      <c r="J90" s="60">
        <v>0.33333333333333331</v>
      </c>
      <c r="K90" s="61"/>
      <c r="L90" s="61"/>
      <c r="M90" s="61"/>
      <c r="N90" s="61"/>
      <c r="O90" s="58" t="s">
        <v>280</v>
      </c>
      <c r="P90" s="58"/>
      <c r="Q90" s="13">
        <v>25</v>
      </c>
      <c r="R90" s="13">
        <v>5</v>
      </c>
      <c r="S90" s="13"/>
      <c r="T90" s="62"/>
      <c r="U90" s="13"/>
      <c r="V90" s="13"/>
      <c r="W90" s="13"/>
      <c r="X90" s="58"/>
      <c r="Y90" s="51">
        <f ca="1">Table24[[#This Row],[End Date]]+2-TODAY()</f>
        <v>-505</v>
      </c>
      <c r="Z90" s="13">
        <f>IF(ISBLANK(Table24[[#This Row],[Roster Received By]]),1,0)</f>
        <v>1</v>
      </c>
      <c r="AA90" s="13">
        <f ca="1">IF(Table24[[#This Row],[Start Date]]&gt;TODAY(),1,)</f>
        <v>0</v>
      </c>
    </row>
    <row r="91" spans="1:27" s="65" customFormat="1" ht="14.25" customHeight="1" x14ac:dyDescent="0.25">
      <c r="A91" s="46"/>
      <c r="B91" s="58" t="s">
        <v>276</v>
      </c>
      <c r="C91" s="59" t="s">
        <v>277</v>
      </c>
      <c r="D91" s="59" t="s">
        <v>278</v>
      </c>
      <c r="E91" s="58" t="s">
        <v>83</v>
      </c>
      <c r="F91" s="61">
        <v>45740</v>
      </c>
      <c r="G91" s="61">
        <v>45744</v>
      </c>
      <c r="H91" s="64"/>
      <c r="I91" s="64">
        <v>0.33333333333333331</v>
      </c>
      <c r="J91" s="60">
        <v>0.33333333333333331</v>
      </c>
      <c r="K91" s="61"/>
      <c r="L91" s="61"/>
      <c r="M91" s="61"/>
      <c r="N91" s="61"/>
      <c r="O91" s="58" t="s">
        <v>280</v>
      </c>
      <c r="P91" s="58"/>
      <c r="Q91" s="13">
        <v>25</v>
      </c>
      <c r="R91" s="13">
        <v>5</v>
      </c>
      <c r="S91" s="13"/>
      <c r="T91" s="62"/>
      <c r="U91" s="13"/>
      <c r="V91" s="13"/>
      <c r="W91" s="13"/>
      <c r="X91" s="58"/>
      <c r="Y91" s="51">
        <f ca="1">Table24[[#This Row],[End Date]]+2-TODAY()</f>
        <v>-498</v>
      </c>
      <c r="Z91" s="13">
        <f>IF(ISBLANK(Table24[[#This Row],[Roster Received By]]),1,0)</f>
        <v>1</v>
      </c>
      <c r="AA91" s="13">
        <f ca="1">IF(Table24[[#This Row],[Start Date]]&gt;TODAY(),1,)</f>
        <v>0</v>
      </c>
    </row>
    <row r="92" spans="1:27" s="94" customFormat="1" ht="14.25" customHeight="1" x14ac:dyDescent="0.25">
      <c r="A92" s="46"/>
      <c r="B92" s="58" t="s">
        <v>276</v>
      </c>
      <c r="C92" s="59" t="s">
        <v>277</v>
      </c>
      <c r="D92" s="59" t="s">
        <v>278</v>
      </c>
      <c r="E92" s="58" t="s">
        <v>81</v>
      </c>
      <c r="F92" s="61">
        <v>45663</v>
      </c>
      <c r="G92" s="61">
        <v>45667</v>
      </c>
      <c r="H92" s="61"/>
      <c r="I92" s="60">
        <v>0.33333333333333331</v>
      </c>
      <c r="J92" s="60"/>
      <c r="K92" s="60"/>
      <c r="L92" s="60"/>
      <c r="M92" s="60">
        <v>0.33333333333333331</v>
      </c>
      <c r="N92" s="60"/>
      <c r="O92" s="58" t="s">
        <v>280</v>
      </c>
      <c r="P92" s="58"/>
      <c r="Q92" s="13">
        <v>25</v>
      </c>
      <c r="R92" s="13">
        <v>5</v>
      </c>
      <c r="S92" s="13"/>
      <c r="T92" s="62"/>
      <c r="U92" s="13"/>
      <c r="V92" s="13"/>
      <c r="W92" s="13"/>
      <c r="X92" s="58"/>
      <c r="Y92" s="51">
        <f ca="1">Table24[[#This Row],[End Date]]+2-TODAY()</f>
        <v>-575</v>
      </c>
      <c r="Z92" s="13">
        <f>IF(ISBLANK(Table24[[#This Row],[Roster Received By]]),1,0)</f>
        <v>1</v>
      </c>
      <c r="AA92" s="13">
        <f ca="1">IF(Table24[[#This Row],[Start Date]]&gt;TODAY(),1,)</f>
        <v>0</v>
      </c>
    </row>
    <row r="93" spans="1:27" s="65" customFormat="1" ht="16.5" customHeight="1" x14ac:dyDescent="0.25">
      <c r="A93" s="46"/>
      <c r="B93" s="58" t="s">
        <v>276</v>
      </c>
      <c r="C93" s="59" t="s">
        <v>277</v>
      </c>
      <c r="D93" s="59" t="s">
        <v>278</v>
      </c>
      <c r="E93" s="58" t="s">
        <v>81</v>
      </c>
      <c r="F93" s="49">
        <v>45670</v>
      </c>
      <c r="G93" s="49">
        <v>45674</v>
      </c>
      <c r="H93" s="61"/>
      <c r="I93" s="60">
        <v>0.33333333333333331</v>
      </c>
      <c r="J93" s="60"/>
      <c r="K93" s="60"/>
      <c r="L93" s="60"/>
      <c r="M93" s="60">
        <v>0.33333333333333331</v>
      </c>
      <c r="N93" s="60"/>
      <c r="O93" s="58" t="s">
        <v>280</v>
      </c>
      <c r="P93" s="58"/>
      <c r="Q93" s="13">
        <v>25</v>
      </c>
      <c r="R93" s="13">
        <v>5</v>
      </c>
      <c r="S93" s="13"/>
      <c r="T93" s="62"/>
      <c r="U93" s="13"/>
      <c r="V93" s="13"/>
      <c r="W93" s="13"/>
      <c r="X93" s="58"/>
      <c r="Y93" s="51">
        <f ca="1">Table24[[#This Row],[End Date]]+2-TODAY()</f>
        <v>-568</v>
      </c>
      <c r="Z93" s="13">
        <f>IF(ISBLANK(Table24[[#This Row],[Roster Received By]]),1,0)</f>
        <v>1</v>
      </c>
      <c r="AA93" s="13">
        <f ca="1">IF(Table24[[#This Row],[Start Date]]&gt;TODAY(),1,)</f>
        <v>0</v>
      </c>
    </row>
    <row r="94" spans="1:27" s="65" customFormat="1" ht="14.25" customHeight="1" x14ac:dyDescent="0.25">
      <c r="A94" s="46"/>
      <c r="B94" s="58" t="s">
        <v>276</v>
      </c>
      <c r="C94" s="59" t="s">
        <v>277</v>
      </c>
      <c r="D94" s="59" t="s">
        <v>278</v>
      </c>
      <c r="E94" s="58" t="s">
        <v>81</v>
      </c>
      <c r="F94" s="61">
        <v>45810</v>
      </c>
      <c r="G94" s="61">
        <v>45814</v>
      </c>
      <c r="H94" s="64"/>
      <c r="I94" s="64">
        <v>0.33333333333333331</v>
      </c>
      <c r="J94" s="64"/>
      <c r="K94" s="64"/>
      <c r="L94" s="64"/>
      <c r="M94" s="60">
        <v>0.33333333333333331</v>
      </c>
      <c r="N94" s="61"/>
      <c r="O94" s="58" t="s">
        <v>280</v>
      </c>
      <c r="P94" s="58"/>
      <c r="Q94" s="13">
        <v>25</v>
      </c>
      <c r="R94" s="13">
        <v>5</v>
      </c>
      <c r="S94" s="13"/>
      <c r="T94" s="62"/>
      <c r="U94" s="13"/>
      <c r="V94" s="13"/>
      <c r="W94" s="13"/>
      <c r="X94" s="58"/>
      <c r="Y94" s="51">
        <f ca="1">Table24[[#This Row],[End Date]]+2-TODAY()</f>
        <v>-428</v>
      </c>
      <c r="Z94" s="13">
        <f>IF(ISBLANK(Table24[[#This Row],[Roster Received By]]),1,0)</f>
        <v>1</v>
      </c>
      <c r="AA94" s="13">
        <f ca="1">IF(Table24[[#This Row],[Start Date]]&gt;TODAY(),1,)</f>
        <v>0</v>
      </c>
    </row>
    <row r="95" spans="1:27" s="65" customFormat="1" ht="14.25" customHeight="1" x14ac:dyDescent="0.25">
      <c r="A95" s="46"/>
      <c r="B95" s="58" t="s">
        <v>276</v>
      </c>
      <c r="C95" s="59" t="s">
        <v>277</v>
      </c>
      <c r="D95" s="59" t="s">
        <v>278</v>
      </c>
      <c r="E95" s="58" t="s">
        <v>81</v>
      </c>
      <c r="F95" s="61">
        <v>45817</v>
      </c>
      <c r="G95" s="61">
        <v>45821</v>
      </c>
      <c r="H95" s="61"/>
      <c r="I95" s="60">
        <v>0.33333333333333331</v>
      </c>
      <c r="J95" s="60"/>
      <c r="K95" s="60"/>
      <c r="L95" s="60"/>
      <c r="M95" s="60">
        <v>0.33333333333333331</v>
      </c>
      <c r="N95" s="60"/>
      <c r="O95" s="58" t="s">
        <v>280</v>
      </c>
      <c r="P95" s="58"/>
      <c r="Q95" s="13">
        <v>25</v>
      </c>
      <c r="R95" s="13">
        <v>5</v>
      </c>
      <c r="S95" s="13"/>
      <c r="T95" s="62"/>
      <c r="U95" s="13"/>
      <c r="V95" s="13"/>
      <c r="W95" s="13"/>
      <c r="X95" s="58"/>
      <c r="Y95" s="51">
        <f ca="1">Table24[[#This Row],[End Date]]+2-TODAY()</f>
        <v>-421</v>
      </c>
      <c r="Z95" s="13">
        <f>IF(ISBLANK(Table24[[#This Row],[Roster Received By]]),1,0)</f>
        <v>1</v>
      </c>
      <c r="AA95" s="13">
        <f ca="1">IF(Table24[[#This Row],[Start Date]]&gt;TODAY(),1,)</f>
        <v>0</v>
      </c>
    </row>
    <row r="96" spans="1:27" s="65" customFormat="1" ht="14.25" customHeight="1" x14ac:dyDescent="0.25">
      <c r="A96" s="46"/>
      <c r="B96" s="58" t="s">
        <v>276</v>
      </c>
      <c r="C96" s="59" t="s">
        <v>277</v>
      </c>
      <c r="D96" s="59" t="s">
        <v>278</v>
      </c>
      <c r="E96" s="58" t="s">
        <v>81</v>
      </c>
      <c r="F96" s="61">
        <v>45894</v>
      </c>
      <c r="G96" s="61">
        <v>45898</v>
      </c>
      <c r="H96" s="67"/>
      <c r="I96" s="67">
        <v>0.33333333333333331</v>
      </c>
      <c r="J96" s="61"/>
      <c r="K96" s="61"/>
      <c r="L96" s="61"/>
      <c r="M96" s="60">
        <v>0.33333333333333331</v>
      </c>
      <c r="N96" s="61"/>
      <c r="O96" s="58" t="s">
        <v>280</v>
      </c>
      <c r="P96" s="58"/>
      <c r="Q96" s="13">
        <v>25</v>
      </c>
      <c r="R96" s="13">
        <v>5</v>
      </c>
      <c r="S96" s="13"/>
      <c r="T96" s="62"/>
      <c r="U96" s="13"/>
      <c r="V96" s="13"/>
      <c r="W96" s="13"/>
      <c r="X96" s="58"/>
      <c r="Y96" s="51">
        <f ca="1">Table24[[#This Row],[End Date]]+2-TODAY()</f>
        <v>-344</v>
      </c>
      <c r="Z96" s="13">
        <f>IF(ISBLANK(Table24[[#This Row],[Roster Received By]]),1,0)</f>
        <v>1</v>
      </c>
      <c r="AA96" s="13">
        <f ca="1">IF(Table24[[#This Row],[Start Date]]&gt;TODAY(),1,)</f>
        <v>0</v>
      </c>
    </row>
    <row r="97" spans="1:27" s="65" customFormat="1" ht="14.25" customHeight="1" x14ac:dyDescent="0.25">
      <c r="A97" s="46"/>
      <c r="B97" s="58" t="s">
        <v>276</v>
      </c>
      <c r="C97" s="59" t="s">
        <v>277</v>
      </c>
      <c r="D97" s="59" t="s">
        <v>278</v>
      </c>
      <c r="E97" s="47" t="s">
        <v>51</v>
      </c>
      <c r="F97" s="61">
        <v>45712</v>
      </c>
      <c r="G97" s="61">
        <v>45716</v>
      </c>
      <c r="H97" s="64"/>
      <c r="I97" s="64">
        <v>0.33333333333333331</v>
      </c>
      <c r="J97" s="61"/>
      <c r="K97" s="61"/>
      <c r="L97" s="61"/>
      <c r="M97" s="61"/>
      <c r="N97" s="60">
        <v>0.33333333333333331</v>
      </c>
      <c r="O97" s="58" t="s">
        <v>280</v>
      </c>
      <c r="P97" s="58"/>
      <c r="Q97" s="13">
        <v>25</v>
      </c>
      <c r="R97" s="13">
        <v>5</v>
      </c>
      <c r="S97" s="13"/>
      <c r="T97" s="62"/>
      <c r="U97" s="13"/>
      <c r="V97" s="13"/>
      <c r="W97" s="13"/>
      <c r="X97" s="58"/>
      <c r="Y97" s="51">
        <f ca="1">Table24[[#This Row],[End Date]]+2-TODAY()</f>
        <v>-526</v>
      </c>
      <c r="Z97" s="13">
        <f>IF(ISBLANK(Table24[[#This Row],[Roster Received By]]),1,0)</f>
        <v>1</v>
      </c>
      <c r="AA97" s="13">
        <f ca="1">IF(Table24[[#This Row],[Start Date]]&gt;TODAY(),1,)</f>
        <v>0</v>
      </c>
    </row>
    <row r="98" spans="1:27" s="65" customFormat="1" ht="14.25" customHeight="1" x14ac:dyDescent="0.25">
      <c r="A98" s="46"/>
      <c r="B98" s="58" t="s">
        <v>276</v>
      </c>
      <c r="C98" s="59" t="s">
        <v>277</v>
      </c>
      <c r="D98" s="59" t="s">
        <v>278</v>
      </c>
      <c r="E98" s="47" t="s">
        <v>51</v>
      </c>
      <c r="F98" s="61">
        <v>45719</v>
      </c>
      <c r="G98" s="61">
        <v>45723</v>
      </c>
      <c r="H98" s="64"/>
      <c r="I98" s="64">
        <v>0.33333333333333331</v>
      </c>
      <c r="J98" s="61"/>
      <c r="K98" s="61"/>
      <c r="L98" s="61"/>
      <c r="M98" s="61"/>
      <c r="N98" s="60">
        <v>0.33333333333333331</v>
      </c>
      <c r="O98" s="58" t="s">
        <v>280</v>
      </c>
      <c r="P98" s="58"/>
      <c r="Q98" s="13">
        <v>25</v>
      </c>
      <c r="R98" s="13">
        <v>5</v>
      </c>
      <c r="S98" s="13"/>
      <c r="T98" s="62"/>
      <c r="U98" s="13"/>
      <c r="V98" s="13"/>
      <c r="W98" s="13"/>
      <c r="X98" s="58"/>
      <c r="Y98" s="51">
        <f ca="1">Table24[[#This Row],[End Date]]+2-TODAY()</f>
        <v>-519</v>
      </c>
      <c r="Z98" s="13">
        <f>IF(ISBLANK(Table24[[#This Row],[Roster Received By]]),1,0)</f>
        <v>1</v>
      </c>
      <c r="AA98" s="13">
        <f ca="1">IF(Table24[[#This Row],[Start Date]]&gt;TODAY(),1,)</f>
        <v>0</v>
      </c>
    </row>
    <row r="99" spans="1:27" s="65" customFormat="1" ht="14.25" customHeight="1" x14ac:dyDescent="0.25">
      <c r="A99" s="46"/>
      <c r="B99" s="58" t="s">
        <v>276</v>
      </c>
      <c r="C99" s="59" t="s">
        <v>277</v>
      </c>
      <c r="D99" s="59" t="s">
        <v>278</v>
      </c>
      <c r="E99" s="58" t="s">
        <v>279</v>
      </c>
      <c r="F99" s="49">
        <v>45642</v>
      </c>
      <c r="G99" s="61">
        <v>45646</v>
      </c>
      <c r="H99" s="61"/>
      <c r="I99" s="60">
        <v>0.33333333333333331</v>
      </c>
      <c r="J99" s="60"/>
      <c r="K99" s="60"/>
      <c r="L99" s="60"/>
      <c r="M99" s="60"/>
      <c r="N99" s="60"/>
      <c r="O99" s="58" t="s">
        <v>280</v>
      </c>
      <c r="P99" s="58"/>
      <c r="Q99" s="13">
        <v>25</v>
      </c>
      <c r="R99" s="13">
        <v>5</v>
      </c>
      <c r="S99" s="13"/>
      <c r="T99" s="62"/>
      <c r="U99" s="13"/>
      <c r="V99" s="13"/>
      <c r="W99" s="13"/>
      <c r="X99" s="58"/>
      <c r="Y99" s="51">
        <f ca="1">Table24[[#This Row],[End Date]]+2-TODAY()</f>
        <v>-596</v>
      </c>
      <c r="Z99" s="13">
        <f>IF(ISBLANK(Table24[[#This Row],[Roster Received By]]),1,0)</f>
        <v>1</v>
      </c>
      <c r="AA99" s="13">
        <f ca="1">IF(Table24[[#This Row],[Start Date]]&gt;TODAY(),1,)</f>
        <v>0</v>
      </c>
    </row>
    <row r="100" spans="1:27" s="94" customFormat="1" x14ac:dyDescent="0.25">
      <c r="A100" s="46"/>
      <c r="B100" s="58" t="s">
        <v>276</v>
      </c>
      <c r="C100" s="59" t="s">
        <v>277</v>
      </c>
      <c r="D100" s="59" t="s">
        <v>278</v>
      </c>
      <c r="E100" s="58" t="s">
        <v>279</v>
      </c>
      <c r="F100" s="61">
        <v>45894</v>
      </c>
      <c r="G100" s="61">
        <v>45898</v>
      </c>
      <c r="H100" s="64"/>
      <c r="I100" s="60">
        <v>0.33333333333333331</v>
      </c>
      <c r="J100" s="61"/>
      <c r="K100" s="61"/>
      <c r="L100" s="61"/>
      <c r="M100" s="61"/>
      <c r="N100" s="61"/>
      <c r="O100" s="58" t="s">
        <v>280</v>
      </c>
      <c r="P100" s="58"/>
      <c r="Q100" s="13">
        <v>25</v>
      </c>
      <c r="R100" s="13">
        <v>5</v>
      </c>
      <c r="S100" s="13"/>
      <c r="T100" s="62"/>
      <c r="U100" s="13"/>
      <c r="V100" s="13"/>
      <c r="W100" s="13"/>
      <c r="X100" s="58"/>
      <c r="Y100" s="51">
        <f ca="1">Table24[[#This Row],[End Date]]+2-TODAY()</f>
        <v>-344</v>
      </c>
      <c r="Z100" s="13">
        <f>IF(ISBLANK(Table24[[#This Row],[Roster Received By]]),1,0)</f>
        <v>1</v>
      </c>
      <c r="AA100" s="13">
        <f ca="1">IF(Table24[[#This Row],[Start Date]]&gt;TODAY(),1,)</f>
        <v>0</v>
      </c>
    </row>
    <row r="101" spans="1:27" s="94" customFormat="1" x14ac:dyDescent="0.25">
      <c r="A101" s="46"/>
      <c r="B101" s="58" t="s">
        <v>276</v>
      </c>
      <c r="C101" s="59" t="s">
        <v>277</v>
      </c>
      <c r="D101" s="59" t="s">
        <v>278</v>
      </c>
      <c r="E101" s="58" t="s">
        <v>117</v>
      </c>
      <c r="F101" s="57">
        <v>45775</v>
      </c>
      <c r="G101" s="57">
        <v>45779</v>
      </c>
      <c r="H101" s="49"/>
      <c r="I101" s="60">
        <v>0.33333333333333331</v>
      </c>
      <c r="J101" s="60">
        <v>0.33333333333333331</v>
      </c>
      <c r="K101" s="60"/>
      <c r="L101" s="60"/>
      <c r="M101" s="60"/>
      <c r="N101" s="60"/>
      <c r="O101" s="58" t="s">
        <v>280</v>
      </c>
      <c r="P101" s="58"/>
      <c r="Q101" s="13">
        <v>25</v>
      </c>
      <c r="R101" s="13">
        <v>5</v>
      </c>
      <c r="S101" s="13"/>
      <c r="T101" s="62"/>
      <c r="U101" s="13"/>
      <c r="V101" s="13"/>
      <c r="W101" s="13"/>
      <c r="X101" s="58"/>
      <c r="Y101" s="51">
        <f ca="1">Table24[[#This Row],[End Date]]+2-TODAY()</f>
        <v>-463</v>
      </c>
      <c r="Z101" s="13">
        <f>IF(ISBLANK(Table24[[#This Row],[Roster Received By]]),1,0)</f>
        <v>1</v>
      </c>
      <c r="AA101" s="13">
        <f ca="1">IF(Table24[[#This Row],[Start Date]]&gt;TODAY(),1,)</f>
        <v>0</v>
      </c>
    </row>
    <row r="102" spans="1:27" s="94" customFormat="1" x14ac:dyDescent="0.25">
      <c r="A102" s="46"/>
      <c r="B102" s="58" t="s">
        <v>276</v>
      </c>
      <c r="C102" s="59" t="s">
        <v>277</v>
      </c>
      <c r="D102" s="59" t="s">
        <v>278</v>
      </c>
      <c r="E102" s="58" t="s">
        <v>117</v>
      </c>
      <c r="F102" s="61">
        <v>45782</v>
      </c>
      <c r="G102" s="61">
        <v>45786</v>
      </c>
      <c r="H102" s="61"/>
      <c r="I102" s="60">
        <v>0.33333333333333331</v>
      </c>
      <c r="J102" s="60">
        <v>0.33333333333333331</v>
      </c>
      <c r="K102" s="60"/>
      <c r="L102" s="60"/>
      <c r="M102" s="60"/>
      <c r="N102" s="60"/>
      <c r="O102" s="58" t="s">
        <v>280</v>
      </c>
      <c r="P102" s="58"/>
      <c r="Q102" s="13">
        <v>25</v>
      </c>
      <c r="R102" s="13">
        <v>5</v>
      </c>
      <c r="S102" s="13"/>
      <c r="T102" s="62"/>
      <c r="U102" s="13"/>
      <c r="V102" s="13"/>
      <c r="W102" s="13"/>
      <c r="X102" s="58"/>
      <c r="Y102" s="51">
        <f ca="1">Table24[[#This Row],[End Date]]+2-TODAY()</f>
        <v>-456</v>
      </c>
      <c r="Z102" s="13">
        <f>IF(ISBLANK(Table24[[#This Row],[Roster Received By]]),1,0)</f>
        <v>1</v>
      </c>
      <c r="AA102" s="13">
        <f ca="1">IF(Table24[[#This Row],[Start Date]]&gt;TODAY(),1,)</f>
        <v>0</v>
      </c>
    </row>
    <row r="103" spans="1:27" s="65" customFormat="1" ht="14.25" customHeight="1" x14ac:dyDescent="0.25">
      <c r="A103" s="46"/>
      <c r="B103" s="58" t="s">
        <v>276</v>
      </c>
      <c r="C103" s="59" t="s">
        <v>277</v>
      </c>
      <c r="D103" s="59" t="s">
        <v>278</v>
      </c>
      <c r="E103" s="58" t="s">
        <v>281</v>
      </c>
      <c r="F103" s="61">
        <v>45754</v>
      </c>
      <c r="G103" s="61">
        <v>45758</v>
      </c>
      <c r="H103" s="61"/>
      <c r="I103" s="60">
        <v>0.33333333333333331</v>
      </c>
      <c r="J103" s="60"/>
      <c r="K103" s="60"/>
      <c r="L103" s="60"/>
      <c r="M103" s="60"/>
      <c r="N103" s="60"/>
      <c r="O103" s="58" t="s">
        <v>280</v>
      </c>
      <c r="P103" s="58"/>
      <c r="Q103" s="13">
        <v>25</v>
      </c>
      <c r="R103" s="13">
        <v>5</v>
      </c>
      <c r="S103" s="13"/>
      <c r="T103" s="62"/>
      <c r="U103" s="13"/>
      <c r="V103" s="13"/>
      <c r="W103" s="13"/>
      <c r="X103" s="58"/>
      <c r="Y103" s="51">
        <f ca="1">Table24[[#This Row],[End Date]]+2-TODAY()</f>
        <v>-484</v>
      </c>
      <c r="Z103" s="13">
        <f>IF(ISBLANK(Table24[[#This Row],[Roster Received By]]),1,0)</f>
        <v>1</v>
      </c>
      <c r="AA103" s="13">
        <f ca="1">IF(Table24[[#This Row],[Start Date]]&gt;TODAY(),1,)</f>
        <v>0</v>
      </c>
    </row>
    <row r="104" spans="1:27" s="65" customFormat="1" ht="16.5" customHeight="1" x14ac:dyDescent="0.25">
      <c r="A104" s="46"/>
      <c r="B104" s="58" t="s">
        <v>276</v>
      </c>
      <c r="C104" s="59" t="s">
        <v>277</v>
      </c>
      <c r="D104" s="59" t="s">
        <v>278</v>
      </c>
      <c r="E104" s="58" t="s">
        <v>281</v>
      </c>
      <c r="F104" s="61">
        <v>45761</v>
      </c>
      <c r="G104" s="61">
        <v>45765</v>
      </c>
      <c r="H104" s="61"/>
      <c r="I104" s="60">
        <v>0.33333333333333331</v>
      </c>
      <c r="J104" s="60"/>
      <c r="K104" s="60"/>
      <c r="L104" s="60"/>
      <c r="M104" s="60"/>
      <c r="N104" s="60"/>
      <c r="O104" s="58" t="s">
        <v>280</v>
      </c>
      <c r="P104" s="58"/>
      <c r="Q104" s="13">
        <v>25</v>
      </c>
      <c r="R104" s="13">
        <v>5</v>
      </c>
      <c r="S104" s="13"/>
      <c r="T104" s="62"/>
      <c r="U104" s="13"/>
      <c r="V104" s="13"/>
      <c r="W104" s="66"/>
      <c r="X104" s="58"/>
      <c r="Y104" s="51">
        <f ca="1">Table24[[#This Row],[End Date]]+2-TODAY()</f>
        <v>-477</v>
      </c>
      <c r="Z104" s="13">
        <f>IF(ISBLANK(Table24[[#This Row],[Roster Received By]]),1,0)</f>
        <v>1</v>
      </c>
      <c r="AA104" s="13">
        <f ca="1">IF(Table24[[#This Row],[Start Date]]&gt;TODAY(),1,)</f>
        <v>0</v>
      </c>
    </row>
    <row r="105" spans="1:27" s="65" customFormat="1" ht="14.25" customHeight="1" x14ac:dyDescent="0.25">
      <c r="A105" s="46"/>
      <c r="B105" s="58" t="s">
        <v>276</v>
      </c>
      <c r="C105" s="59" t="s">
        <v>277</v>
      </c>
      <c r="D105" s="59" t="s">
        <v>278</v>
      </c>
      <c r="E105" s="58" t="s">
        <v>258</v>
      </c>
      <c r="F105" s="61">
        <v>45628</v>
      </c>
      <c r="G105" s="61">
        <v>45632</v>
      </c>
      <c r="H105" s="64"/>
      <c r="I105" s="60">
        <v>0.33333333333333331</v>
      </c>
      <c r="J105" s="61"/>
      <c r="K105" s="61"/>
      <c r="L105" s="61"/>
      <c r="M105" s="61"/>
      <c r="N105" s="61"/>
      <c r="O105" s="58" t="s">
        <v>280</v>
      </c>
      <c r="P105" s="58"/>
      <c r="Q105" s="13">
        <v>25</v>
      </c>
      <c r="R105" s="13">
        <v>5</v>
      </c>
      <c r="S105" s="13"/>
      <c r="T105" s="62"/>
      <c r="U105" s="13"/>
      <c r="V105" s="13"/>
      <c r="W105" s="13"/>
      <c r="X105" s="58"/>
      <c r="Y105" s="51">
        <f ca="1">Table24[[#This Row],[End Date]]+2-TODAY()</f>
        <v>-610</v>
      </c>
      <c r="Z105" s="13">
        <f>IF(ISBLANK(Table24[[#This Row],[Roster Received By]]),1,0)</f>
        <v>1</v>
      </c>
      <c r="AA105" s="13">
        <f ca="1">IF(Table24[[#This Row],[Start Date]]&gt;TODAY(),1,)</f>
        <v>0</v>
      </c>
    </row>
    <row r="106" spans="1:27" s="65" customFormat="1" ht="14.25" customHeight="1" x14ac:dyDescent="0.25">
      <c r="A106" s="46"/>
      <c r="B106" s="58" t="s">
        <v>276</v>
      </c>
      <c r="C106" s="59" t="s">
        <v>277</v>
      </c>
      <c r="D106" s="59" t="s">
        <v>278</v>
      </c>
      <c r="E106" s="58" t="s">
        <v>258</v>
      </c>
      <c r="F106" s="61">
        <v>45635</v>
      </c>
      <c r="G106" s="61">
        <v>45639</v>
      </c>
      <c r="H106" s="64"/>
      <c r="I106" s="60">
        <v>0.33333333333333331</v>
      </c>
      <c r="J106" s="64"/>
      <c r="K106" s="64"/>
      <c r="L106" s="64"/>
      <c r="M106" s="64"/>
      <c r="N106" s="61"/>
      <c r="O106" s="58" t="s">
        <v>280</v>
      </c>
      <c r="P106" s="58"/>
      <c r="Q106" s="13">
        <v>25</v>
      </c>
      <c r="R106" s="13">
        <v>5</v>
      </c>
      <c r="S106" s="13"/>
      <c r="T106" s="62"/>
      <c r="U106" s="13"/>
      <c r="V106" s="13"/>
      <c r="W106" s="13"/>
      <c r="X106" s="58"/>
      <c r="Y106" s="51">
        <f ca="1">Table24[[#This Row],[End Date]]+2-TODAY()</f>
        <v>-603</v>
      </c>
      <c r="Z106" s="13">
        <f>IF(ISBLANK(Table24[[#This Row],[Roster Received By]]),1,0)</f>
        <v>1</v>
      </c>
      <c r="AA106" s="13">
        <f ca="1">IF(Table24[[#This Row],[Start Date]]&gt;TODAY(),1,)</f>
        <v>0</v>
      </c>
    </row>
    <row r="107" spans="1:27" s="95" customFormat="1" ht="14.25" customHeight="1" x14ac:dyDescent="0.25">
      <c r="A107" s="46"/>
      <c r="B107" s="58" t="s">
        <v>276</v>
      </c>
      <c r="C107" s="59" t="s">
        <v>277</v>
      </c>
      <c r="D107" s="59" t="s">
        <v>278</v>
      </c>
      <c r="E107" s="58" t="s">
        <v>279</v>
      </c>
      <c r="F107" s="61">
        <v>45586</v>
      </c>
      <c r="G107" s="61">
        <v>45590</v>
      </c>
      <c r="H107" s="64"/>
      <c r="I107" s="60">
        <v>0.33333333333333331</v>
      </c>
      <c r="J107" s="64"/>
      <c r="K107" s="64"/>
      <c r="L107" s="64"/>
      <c r="M107" s="64"/>
      <c r="N107" s="61"/>
      <c r="O107" s="58" t="s">
        <v>280</v>
      </c>
      <c r="P107" s="58"/>
      <c r="Q107" s="13">
        <v>25</v>
      </c>
      <c r="R107" s="13">
        <v>5</v>
      </c>
      <c r="S107" s="13"/>
      <c r="T107" s="62"/>
      <c r="U107" s="13"/>
      <c r="V107" s="13"/>
      <c r="W107" s="13"/>
      <c r="X107" s="58"/>
      <c r="Y107" s="51">
        <f ca="1">Table24[[#This Row],[End Date]]+2-TODAY()</f>
        <v>-652</v>
      </c>
      <c r="Z107" s="13">
        <f>IF(ISBLANK(Table24[[#This Row],[Roster Received By]]),1,0)</f>
        <v>1</v>
      </c>
      <c r="AA107" s="13">
        <f ca="1">IF(Table24[[#This Row],[Start Date]]&gt;TODAY(),1,)</f>
        <v>0</v>
      </c>
    </row>
    <row r="108" spans="1:27" s="65" customFormat="1" ht="14.25" customHeight="1" x14ac:dyDescent="0.25">
      <c r="A108" s="46"/>
      <c r="B108" s="58" t="s">
        <v>276</v>
      </c>
      <c r="C108" s="59" t="s">
        <v>277</v>
      </c>
      <c r="D108" s="59" t="s">
        <v>278</v>
      </c>
      <c r="E108" s="58" t="s">
        <v>279</v>
      </c>
      <c r="F108" s="61">
        <v>45593</v>
      </c>
      <c r="G108" s="61">
        <v>45597</v>
      </c>
      <c r="H108" s="61"/>
      <c r="I108" s="60">
        <v>0.33333333333333331</v>
      </c>
      <c r="J108" s="60"/>
      <c r="K108" s="60"/>
      <c r="L108" s="60"/>
      <c r="M108" s="60"/>
      <c r="N108" s="60"/>
      <c r="O108" s="58" t="s">
        <v>280</v>
      </c>
      <c r="P108" s="58"/>
      <c r="Q108" s="13">
        <v>25</v>
      </c>
      <c r="R108" s="13">
        <v>5</v>
      </c>
      <c r="S108" s="13"/>
      <c r="T108" s="62"/>
      <c r="U108" s="13"/>
      <c r="V108" s="13"/>
      <c r="W108" s="13"/>
      <c r="X108" s="58"/>
      <c r="Y108" s="51">
        <f ca="1">Table24[[#This Row],[End Date]]+2-TODAY()</f>
        <v>-645</v>
      </c>
      <c r="Z108" s="13">
        <f>IF(ISBLANK(Table24[[#This Row],[Roster Received By]]),1,0)</f>
        <v>1</v>
      </c>
      <c r="AA108" s="13">
        <f ca="1">IF(Table24[[#This Row],[Start Date]]&gt;TODAY(),1,)</f>
        <v>0</v>
      </c>
    </row>
    <row r="109" spans="1:27" s="65" customFormat="1" ht="14.25" customHeight="1" x14ac:dyDescent="0.25">
      <c r="A109" s="46"/>
      <c r="B109" s="58" t="s">
        <v>276</v>
      </c>
      <c r="C109" s="59" t="s">
        <v>277</v>
      </c>
      <c r="D109" s="59" t="s">
        <v>278</v>
      </c>
      <c r="E109" s="58" t="s">
        <v>279</v>
      </c>
      <c r="F109" s="61">
        <v>45663</v>
      </c>
      <c r="G109" s="61">
        <v>45667</v>
      </c>
      <c r="H109" s="61"/>
      <c r="I109" s="60">
        <v>0.33333333333333331</v>
      </c>
      <c r="J109" s="60"/>
      <c r="K109" s="60"/>
      <c r="L109" s="60"/>
      <c r="M109" s="60"/>
      <c r="N109" s="60"/>
      <c r="O109" s="58" t="s">
        <v>280</v>
      </c>
      <c r="P109" s="58"/>
      <c r="Q109" s="13">
        <v>25</v>
      </c>
      <c r="R109" s="13">
        <v>5</v>
      </c>
      <c r="S109" s="13"/>
      <c r="T109" s="62"/>
      <c r="U109" s="13"/>
      <c r="V109" s="13"/>
      <c r="W109" s="13"/>
      <c r="X109" s="58"/>
      <c r="Y109" s="51">
        <f ca="1">Table24[[#This Row],[End Date]]+2-TODAY()</f>
        <v>-575</v>
      </c>
      <c r="Z109" s="13">
        <f>IF(ISBLANK(Table24[[#This Row],[Roster Received By]]),1,0)</f>
        <v>1</v>
      </c>
      <c r="AA109" s="13">
        <f ca="1">IF(Table24[[#This Row],[Start Date]]&gt;TODAY(),1,)</f>
        <v>0</v>
      </c>
    </row>
    <row r="110" spans="1:27" s="65" customFormat="1" ht="14.25" customHeight="1" x14ac:dyDescent="0.25">
      <c r="A110" s="46"/>
      <c r="B110" s="58" t="s">
        <v>276</v>
      </c>
      <c r="C110" s="59" t="s">
        <v>277</v>
      </c>
      <c r="D110" s="59" t="s">
        <v>278</v>
      </c>
      <c r="E110" s="58" t="s">
        <v>279</v>
      </c>
      <c r="F110" s="49">
        <v>45670</v>
      </c>
      <c r="G110" s="49">
        <v>45674</v>
      </c>
      <c r="H110" s="60"/>
      <c r="I110" s="60">
        <v>0.33333333333333331</v>
      </c>
      <c r="J110" s="61"/>
      <c r="K110" s="61"/>
      <c r="L110" s="61"/>
      <c r="M110" s="61"/>
      <c r="N110" s="61"/>
      <c r="O110" s="58" t="s">
        <v>280</v>
      </c>
      <c r="P110" s="58"/>
      <c r="Q110" s="13">
        <v>25</v>
      </c>
      <c r="R110" s="13">
        <v>5</v>
      </c>
      <c r="S110" s="13"/>
      <c r="T110" s="62"/>
      <c r="U110" s="13"/>
      <c r="V110" s="13"/>
      <c r="W110" s="13"/>
      <c r="X110" s="58"/>
      <c r="Y110" s="51">
        <f ca="1">Table24[[#This Row],[End Date]]+2-TODAY()</f>
        <v>-568</v>
      </c>
      <c r="Z110" s="13">
        <f>IF(ISBLANK(Table24[[#This Row],[Roster Received By]]),1,0)</f>
        <v>1</v>
      </c>
      <c r="AA110" s="13">
        <f ca="1">IF(Table24[[#This Row],[Start Date]]&gt;TODAY(),1,)</f>
        <v>0</v>
      </c>
    </row>
    <row r="111" spans="1:27" s="65" customFormat="1" ht="14.25" customHeight="1" x14ac:dyDescent="0.25">
      <c r="A111" s="46"/>
      <c r="B111" s="58" t="s">
        <v>276</v>
      </c>
      <c r="C111" s="59" t="s">
        <v>277</v>
      </c>
      <c r="D111" s="59" t="s">
        <v>278</v>
      </c>
      <c r="E111" s="58" t="s">
        <v>279</v>
      </c>
      <c r="F111" s="61">
        <v>45754</v>
      </c>
      <c r="G111" s="61">
        <v>45758</v>
      </c>
      <c r="H111" s="61"/>
      <c r="I111" s="60">
        <v>0.33333333333333331</v>
      </c>
      <c r="J111" s="60"/>
      <c r="K111" s="60"/>
      <c r="L111" s="60"/>
      <c r="M111" s="60"/>
      <c r="N111" s="60"/>
      <c r="O111" s="58" t="s">
        <v>280</v>
      </c>
      <c r="P111" s="58"/>
      <c r="Q111" s="13">
        <v>25</v>
      </c>
      <c r="R111" s="13">
        <v>5</v>
      </c>
      <c r="S111" s="13"/>
      <c r="T111" s="62"/>
      <c r="U111" s="13"/>
      <c r="V111" s="13"/>
      <c r="W111" s="59"/>
      <c r="X111" s="58"/>
      <c r="Y111" s="51">
        <f ca="1">Table24[[#This Row],[End Date]]+2-TODAY()</f>
        <v>-484</v>
      </c>
      <c r="Z111" s="13">
        <f>IF(ISBLANK(Table24[[#This Row],[Roster Received By]]),1,0)</f>
        <v>1</v>
      </c>
      <c r="AA111" s="13">
        <f ca="1">IF(Table24[[#This Row],[Start Date]]&gt;TODAY(),1,)</f>
        <v>0</v>
      </c>
    </row>
    <row r="112" spans="1:27" s="65" customFormat="1" ht="14.25" customHeight="1" x14ac:dyDescent="0.25">
      <c r="A112" s="46"/>
      <c r="B112" s="58" t="s">
        <v>276</v>
      </c>
      <c r="C112" s="59" t="s">
        <v>277</v>
      </c>
      <c r="D112" s="59" t="s">
        <v>278</v>
      </c>
      <c r="E112" s="58" t="s">
        <v>279</v>
      </c>
      <c r="F112" s="61">
        <v>45761</v>
      </c>
      <c r="G112" s="61">
        <v>45765</v>
      </c>
      <c r="H112" s="61"/>
      <c r="I112" s="60">
        <v>0.33333333333333331</v>
      </c>
      <c r="J112" s="60"/>
      <c r="K112" s="60"/>
      <c r="L112" s="60"/>
      <c r="M112" s="60"/>
      <c r="N112" s="60"/>
      <c r="O112" s="58" t="s">
        <v>280</v>
      </c>
      <c r="P112" s="58"/>
      <c r="Q112" s="13">
        <v>25</v>
      </c>
      <c r="R112" s="13">
        <v>5</v>
      </c>
      <c r="S112" s="13"/>
      <c r="T112" s="62"/>
      <c r="U112" s="13"/>
      <c r="V112" s="13"/>
      <c r="W112" s="13"/>
      <c r="X112" s="58"/>
      <c r="Y112" s="51">
        <f ca="1">Table24[[#This Row],[End Date]]+2-TODAY()</f>
        <v>-477</v>
      </c>
      <c r="Z112" s="13">
        <f>IF(ISBLANK(Table24[[#This Row],[Roster Received By]]),1,0)</f>
        <v>1</v>
      </c>
      <c r="AA112" s="13">
        <f ca="1">IF(Table24[[#This Row],[Start Date]]&gt;TODAY(),1,)</f>
        <v>0</v>
      </c>
    </row>
    <row r="113" spans="1:27" s="65" customFormat="1" ht="14.25" customHeight="1" x14ac:dyDescent="0.25">
      <c r="A113" s="46"/>
      <c r="B113" s="58" t="s">
        <v>276</v>
      </c>
      <c r="C113" s="59" t="s">
        <v>277</v>
      </c>
      <c r="D113" s="59" t="s">
        <v>278</v>
      </c>
      <c r="E113" s="58" t="s">
        <v>279</v>
      </c>
      <c r="F113" s="61">
        <v>45845</v>
      </c>
      <c r="G113" s="61">
        <v>45849</v>
      </c>
      <c r="H113" s="61"/>
      <c r="I113" s="60">
        <v>0.33333333333333331</v>
      </c>
      <c r="J113" s="60"/>
      <c r="K113" s="60"/>
      <c r="L113" s="60"/>
      <c r="M113" s="60"/>
      <c r="N113" s="60"/>
      <c r="O113" s="58" t="s">
        <v>280</v>
      </c>
      <c r="P113" s="58"/>
      <c r="Q113" s="13">
        <v>25</v>
      </c>
      <c r="R113" s="13">
        <v>5</v>
      </c>
      <c r="S113" s="13"/>
      <c r="T113" s="62"/>
      <c r="U113" s="13"/>
      <c r="V113" s="13"/>
      <c r="W113" s="63"/>
      <c r="X113" s="58"/>
      <c r="Y113" s="51">
        <f ca="1">Table24[[#This Row],[End Date]]+2-TODAY()</f>
        <v>-393</v>
      </c>
      <c r="Z113" s="13">
        <f>IF(ISBLANK(Table24[[#This Row],[Roster Received By]]),1,0)</f>
        <v>1</v>
      </c>
      <c r="AA113" s="13">
        <f ca="1">IF(Table24[[#This Row],[Start Date]]&gt;TODAY(),1,)</f>
        <v>0</v>
      </c>
    </row>
    <row r="114" spans="1:27" s="65" customFormat="1" ht="14.25" customHeight="1" x14ac:dyDescent="0.25">
      <c r="A114" s="46"/>
      <c r="B114" s="58" t="s">
        <v>276</v>
      </c>
      <c r="C114" s="59" t="s">
        <v>277</v>
      </c>
      <c r="D114" s="59" t="s">
        <v>278</v>
      </c>
      <c r="E114" s="58" t="s">
        <v>279</v>
      </c>
      <c r="F114" s="49">
        <v>45852</v>
      </c>
      <c r="G114" s="49">
        <v>45856</v>
      </c>
      <c r="H114" s="67"/>
      <c r="I114" s="60">
        <v>0.33333333333333331</v>
      </c>
      <c r="J114" s="61"/>
      <c r="K114" s="61"/>
      <c r="L114" s="61"/>
      <c r="M114" s="61"/>
      <c r="N114" s="61"/>
      <c r="O114" s="58" t="s">
        <v>280</v>
      </c>
      <c r="P114" s="58"/>
      <c r="Q114" s="13">
        <v>25</v>
      </c>
      <c r="R114" s="13">
        <v>5</v>
      </c>
      <c r="S114" s="13"/>
      <c r="T114" s="62"/>
      <c r="U114" s="13"/>
      <c r="V114" s="13"/>
      <c r="W114" s="13"/>
      <c r="X114" s="58"/>
      <c r="Y114" s="51">
        <f ca="1">Table24[[#This Row],[End Date]]+2-TODAY()</f>
        <v>-386</v>
      </c>
      <c r="Z114" s="13">
        <f>IF(ISBLANK(Table24[[#This Row],[Roster Received By]]),1,0)</f>
        <v>1</v>
      </c>
      <c r="AA114" s="13">
        <f ca="1">IF(Table24[[#This Row],[Start Date]]&gt;TODAY(),1,)</f>
        <v>0</v>
      </c>
    </row>
    <row r="115" spans="1:27" s="65" customFormat="1" ht="14.25" customHeight="1" x14ac:dyDescent="0.25">
      <c r="A115" s="46"/>
      <c r="B115" s="58" t="s">
        <v>276</v>
      </c>
      <c r="C115" s="59" t="s">
        <v>277</v>
      </c>
      <c r="D115" s="59" t="s">
        <v>278</v>
      </c>
      <c r="E115" s="58" t="s">
        <v>279</v>
      </c>
      <c r="F115" s="49">
        <v>45873</v>
      </c>
      <c r="G115" s="61">
        <v>45877</v>
      </c>
      <c r="H115" s="61"/>
      <c r="I115" s="60">
        <v>0.33333333333333331</v>
      </c>
      <c r="J115" s="60"/>
      <c r="K115" s="60"/>
      <c r="L115" s="60"/>
      <c r="M115" s="60"/>
      <c r="N115" s="60"/>
      <c r="O115" s="58" t="s">
        <v>280</v>
      </c>
      <c r="P115" s="58"/>
      <c r="Q115" s="13">
        <v>25</v>
      </c>
      <c r="R115" s="13">
        <v>5</v>
      </c>
      <c r="S115" s="13"/>
      <c r="T115" s="62"/>
      <c r="U115" s="13"/>
      <c r="V115" s="13"/>
      <c r="W115" s="13"/>
      <c r="X115" s="58"/>
      <c r="Y115" s="51">
        <f ca="1">Table24[[#This Row],[End Date]]+2-TODAY()</f>
        <v>-365</v>
      </c>
      <c r="Z115" s="13">
        <f>IF(ISBLANK(Table24[[#This Row],[Roster Received By]]),1,0)</f>
        <v>1</v>
      </c>
      <c r="AA115" s="13">
        <f ca="1">IF(Table24[[#This Row],[Start Date]]&gt;TODAY(),1,)</f>
        <v>0</v>
      </c>
    </row>
    <row r="116" spans="1:27" s="94" customFormat="1" ht="14.25" customHeight="1" x14ac:dyDescent="0.25">
      <c r="A116" s="46"/>
      <c r="B116" s="58" t="s">
        <v>276</v>
      </c>
      <c r="C116" s="59" t="s">
        <v>277</v>
      </c>
      <c r="D116" s="59" t="s">
        <v>278</v>
      </c>
      <c r="E116" s="58" t="s">
        <v>279</v>
      </c>
      <c r="F116" s="61">
        <v>45887</v>
      </c>
      <c r="G116" s="61">
        <v>45891</v>
      </c>
      <c r="H116" s="64"/>
      <c r="I116" s="60">
        <v>0.33333333333333331</v>
      </c>
      <c r="J116" s="61"/>
      <c r="K116" s="61"/>
      <c r="L116" s="61"/>
      <c r="M116" s="61"/>
      <c r="N116" s="61"/>
      <c r="O116" s="58" t="s">
        <v>280</v>
      </c>
      <c r="P116" s="58"/>
      <c r="Q116" s="13">
        <v>25</v>
      </c>
      <c r="R116" s="13">
        <v>5</v>
      </c>
      <c r="S116" s="13"/>
      <c r="T116" s="62"/>
      <c r="U116" s="13"/>
      <c r="V116" s="13"/>
      <c r="W116" s="13"/>
      <c r="X116" s="58"/>
      <c r="Y116" s="51">
        <f ca="1">Table24[[#This Row],[End Date]]+2-TODAY()</f>
        <v>-351</v>
      </c>
      <c r="Z116" s="13">
        <f>IF(ISBLANK(Table24[[#This Row],[Roster Received By]]),1,0)</f>
        <v>1</v>
      </c>
      <c r="AA116" s="13">
        <f ca="1">IF(Table24[[#This Row],[Start Date]]&gt;TODAY(),1,)</f>
        <v>0</v>
      </c>
    </row>
    <row r="117" spans="1:27" s="65" customFormat="1" ht="14.25" customHeight="1" x14ac:dyDescent="0.25">
      <c r="A117" s="58"/>
      <c r="B117" s="58" t="s">
        <v>276</v>
      </c>
      <c r="C117" s="59" t="s">
        <v>277</v>
      </c>
      <c r="D117" s="59" t="s">
        <v>278</v>
      </c>
      <c r="E117" s="58" t="s">
        <v>81</v>
      </c>
      <c r="F117" s="61">
        <v>45887</v>
      </c>
      <c r="G117" s="61">
        <v>45891</v>
      </c>
      <c r="H117" s="61"/>
      <c r="I117" s="60"/>
      <c r="J117" s="60"/>
      <c r="K117" s="60"/>
      <c r="L117" s="60"/>
      <c r="M117" s="60">
        <v>0.33333333333333331</v>
      </c>
      <c r="N117" s="60"/>
      <c r="O117" s="58" t="s">
        <v>280</v>
      </c>
      <c r="P117" s="58"/>
      <c r="Q117" s="13">
        <v>25</v>
      </c>
      <c r="R117" s="13">
        <v>5</v>
      </c>
      <c r="S117" s="13"/>
      <c r="T117" s="62"/>
      <c r="U117" s="13"/>
      <c r="V117" s="13"/>
      <c r="W117" s="13"/>
      <c r="X117" s="58"/>
      <c r="Y117" s="51">
        <f ca="1">Table24[[#This Row],[End Date]]+2-TODAY()</f>
        <v>-351</v>
      </c>
      <c r="Z117" s="13">
        <f>IF(ISBLANK(Table24[[#This Row],[Roster Received By]]),1,0)</f>
        <v>1</v>
      </c>
      <c r="AA117" s="13">
        <f ca="1">IF(Table24[[#This Row],[Start Date]]&gt;TODAY(),1,)</f>
        <v>0</v>
      </c>
    </row>
    <row r="118" spans="1:27" s="65" customFormat="1" ht="14.25" customHeight="1" x14ac:dyDescent="0.25">
      <c r="A118" s="46"/>
      <c r="B118" s="58" t="s">
        <v>276</v>
      </c>
      <c r="C118" s="59" t="s">
        <v>277</v>
      </c>
      <c r="D118" s="59" t="s">
        <v>278</v>
      </c>
      <c r="E118" s="58" t="s">
        <v>101</v>
      </c>
      <c r="F118" s="61">
        <v>45586</v>
      </c>
      <c r="G118" s="61">
        <v>45590</v>
      </c>
      <c r="H118" s="64"/>
      <c r="I118" s="64"/>
      <c r="J118" s="60">
        <v>0.33333333333333331</v>
      </c>
      <c r="K118" s="64"/>
      <c r="L118" s="64"/>
      <c r="M118" s="64"/>
      <c r="N118" s="61"/>
      <c r="O118" s="58" t="s">
        <v>280</v>
      </c>
      <c r="P118" s="58"/>
      <c r="Q118" s="13">
        <v>25</v>
      </c>
      <c r="R118" s="13">
        <v>5</v>
      </c>
      <c r="S118" s="13"/>
      <c r="T118" s="62"/>
      <c r="U118" s="13"/>
      <c r="V118" s="13"/>
      <c r="W118" s="13"/>
      <c r="X118" s="58"/>
      <c r="Y118" s="51">
        <f ca="1">Table24[[#This Row],[End Date]]+2-TODAY()</f>
        <v>-652</v>
      </c>
      <c r="Z118" s="13">
        <f>IF(ISBLANK(Table24[[#This Row],[Roster Received By]]),1,0)</f>
        <v>1</v>
      </c>
      <c r="AA118" s="13">
        <f ca="1">IF(Table24[[#This Row],[Start Date]]&gt;TODAY(),1,)</f>
        <v>0</v>
      </c>
    </row>
    <row r="119" spans="1:27" s="65" customFormat="1" ht="14.25" customHeight="1" x14ac:dyDescent="0.25">
      <c r="A119" s="46"/>
      <c r="B119" s="58" t="s">
        <v>276</v>
      </c>
      <c r="C119" s="59" t="s">
        <v>277</v>
      </c>
      <c r="D119" s="59" t="s">
        <v>278</v>
      </c>
      <c r="E119" s="58" t="s">
        <v>101</v>
      </c>
      <c r="F119" s="61">
        <v>45593</v>
      </c>
      <c r="G119" s="61">
        <v>45597</v>
      </c>
      <c r="H119" s="60"/>
      <c r="I119" s="60"/>
      <c r="J119" s="60">
        <v>0.33333333333333331</v>
      </c>
      <c r="K119" s="61"/>
      <c r="L119" s="61"/>
      <c r="M119" s="61"/>
      <c r="N119" s="61"/>
      <c r="O119" s="58" t="s">
        <v>280</v>
      </c>
      <c r="P119" s="58"/>
      <c r="Q119" s="13">
        <v>25</v>
      </c>
      <c r="R119" s="13">
        <v>5</v>
      </c>
      <c r="S119" s="13"/>
      <c r="T119" s="62"/>
      <c r="U119" s="13"/>
      <c r="V119" s="13"/>
      <c r="W119" s="13"/>
      <c r="X119" s="58"/>
      <c r="Y119" s="51">
        <f ca="1">Table24[[#This Row],[End Date]]+2-TODAY()</f>
        <v>-645</v>
      </c>
      <c r="Z119" s="13">
        <f>IF(ISBLANK(Table24[[#This Row],[Roster Received By]]),1,0)</f>
        <v>1</v>
      </c>
      <c r="AA119" s="13">
        <f ca="1">IF(Table24[[#This Row],[Start Date]]&gt;TODAY(),1,)</f>
        <v>0</v>
      </c>
    </row>
    <row r="120" spans="1:27" s="65" customFormat="1" ht="14.25" customHeight="1" x14ac:dyDescent="0.25">
      <c r="A120" s="46"/>
      <c r="B120" s="58" t="s">
        <v>276</v>
      </c>
      <c r="C120" s="59" t="s">
        <v>277</v>
      </c>
      <c r="D120" s="59" t="s">
        <v>278</v>
      </c>
      <c r="E120" s="58" t="s">
        <v>101</v>
      </c>
      <c r="F120" s="49">
        <v>45642</v>
      </c>
      <c r="G120" s="61">
        <v>45646</v>
      </c>
      <c r="H120" s="61"/>
      <c r="I120" s="60"/>
      <c r="J120" s="60">
        <v>0.33333333333333331</v>
      </c>
      <c r="K120" s="60"/>
      <c r="L120" s="60"/>
      <c r="M120" s="60"/>
      <c r="N120" s="60"/>
      <c r="O120" s="58" t="s">
        <v>280</v>
      </c>
      <c r="P120" s="58"/>
      <c r="Q120" s="13">
        <v>25</v>
      </c>
      <c r="R120" s="13">
        <v>5</v>
      </c>
      <c r="S120" s="13"/>
      <c r="T120" s="62"/>
      <c r="U120" s="13"/>
      <c r="V120" s="13"/>
      <c r="W120" s="13"/>
      <c r="X120" s="58"/>
      <c r="Y120" s="51">
        <f ca="1">Table24[[#This Row],[End Date]]+2-TODAY()</f>
        <v>-596</v>
      </c>
      <c r="Z120" s="13">
        <f>IF(ISBLANK(Table24[[#This Row],[Roster Received By]]),1,0)</f>
        <v>1</v>
      </c>
      <c r="AA120" s="13">
        <f ca="1">IF(Table24[[#This Row],[Start Date]]&gt;TODAY(),1,)</f>
        <v>0</v>
      </c>
    </row>
    <row r="121" spans="1:27" s="65" customFormat="1" ht="14.25" customHeight="1" x14ac:dyDescent="0.25">
      <c r="A121" s="46"/>
      <c r="B121" s="58" t="s">
        <v>276</v>
      </c>
      <c r="C121" s="59" t="s">
        <v>277</v>
      </c>
      <c r="D121" s="59" t="s">
        <v>278</v>
      </c>
      <c r="E121" s="58" t="s">
        <v>101</v>
      </c>
      <c r="F121" s="61">
        <v>45684</v>
      </c>
      <c r="G121" s="61">
        <v>45688</v>
      </c>
      <c r="H121" s="64"/>
      <c r="I121" s="64"/>
      <c r="J121" s="60">
        <v>0.33333333333333331</v>
      </c>
      <c r="K121" s="61"/>
      <c r="L121" s="61"/>
      <c r="M121" s="61"/>
      <c r="N121" s="61"/>
      <c r="O121" s="58" t="s">
        <v>280</v>
      </c>
      <c r="P121" s="58"/>
      <c r="Q121" s="13">
        <v>25</v>
      </c>
      <c r="R121" s="13">
        <v>5</v>
      </c>
      <c r="S121" s="13"/>
      <c r="T121" s="62"/>
      <c r="U121" s="13"/>
      <c r="V121" s="13"/>
      <c r="W121" s="13"/>
      <c r="X121" s="58"/>
      <c r="Y121" s="51">
        <f ca="1">Table24[[#This Row],[End Date]]+2-TODAY()</f>
        <v>-554</v>
      </c>
      <c r="Z121" s="13">
        <f>IF(ISBLANK(Table24[[#This Row],[Roster Received By]]),1,0)</f>
        <v>1</v>
      </c>
      <c r="AA121" s="13">
        <f ca="1">IF(Table24[[#This Row],[Start Date]]&gt;TODAY(),1,)</f>
        <v>0</v>
      </c>
    </row>
    <row r="122" spans="1:27" s="65" customFormat="1" ht="14.25" customHeight="1" x14ac:dyDescent="0.25">
      <c r="A122" s="46"/>
      <c r="B122" s="58" t="s">
        <v>276</v>
      </c>
      <c r="C122" s="59" t="s">
        <v>277</v>
      </c>
      <c r="D122" s="59" t="s">
        <v>278</v>
      </c>
      <c r="E122" s="58" t="s">
        <v>101</v>
      </c>
      <c r="F122" s="61">
        <v>45691</v>
      </c>
      <c r="G122" s="61">
        <v>45695</v>
      </c>
      <c r="H122" s="64"/>
      <c r="I122" s="64"/>
      <c r="J122" s="60">
        <v>0.33333333333333331</v>
      </c>
      <c r="K122" s="64"/>
      <c r="L122" s="64"/>
      <c r="M122" s="64"/>
      <c r="N122" s="61"/>
      <c r="O122" s="58" t="s">
        <v>280</v>
      </c>
      <c r="P122" s="58"/>
      <c r="Q122" s="13">
        <v>25</v>
      </c>
      <c r="R122" s="13">
        <v>5</v>
      </c>
      <c r="S122" s="13"/>
      <c r="T122" s="62"/>
      <c r="U122" s="13"/>
      <c r="V122" s="13"/>
      <c r="W122" s="13"/>
      <c r="X122" s="58"/>
      <c r="Y122" s="51">
        <f ca="1">Table24[[#This Row],[End Date]]+2-TODAY()</f>
        <v>-547</v>
      </c>
      <c r="Z122" s="13">
        <f>IF(ISBLANK(Table24[[#This Row],[Roster Received By]]),1,0)</f>
        <v>1</v>
      </c>
      <c r="AA122" s="13">
        <f ca="1">IF(Table24[[#This Row],[Start Date]]&gt;TODAY(),1,)</f>
        <v>0</v>
      </c>
    </row>
    <row r="123" spans="1:27" s="65" customFormat="1" ht="14.25" customHeight="1" x14ac:dyDescent="0.25">
      <c r="A123" s="46"/>
      <c r="B123" s="58" t="s">
        <v>276</v>
      </c>
      <c r="C123" s="59" t="s">
        <v>277</v>
      </c>
      <c r="D123" s="59" t="s">
        <v>278</v>
      </c>
      <c r="E123" s="58" t="s">
        <v>101</v>
      </c>
      <c r="F123" s="49">
        <v>45733</v>
      </c>
      <c r="G123" s="49">
        <v>45737</v>
      </c>
      <c r="H123" s="64"/>
      <c r="I123" s="64"/>
      <c r="J123" s="60">
        <v>0.33333333333333331</v>
      </c>
      <c r="K123" s="61"/>
      <c r="L123" s="61"/>
      <c r="M123" s="61"/>
      <c r="N123" s="61"/>
      <c r="O123" s="58" t="s">
        <v>280</v>
      </c>
      <c r="P123" s="58"/>
      <c r="Q123" s="13">
        <v>25</v>
      </c>
      <c r="R123" s="13">
        <v>5</v>
      </c>
      <c r="S123" s="13"/>
      <c r="T123" s="62"/>
      <c r="U123" s="13"/>
      <c r="V123" s="13"/>
      <c r="W123" s="13"/>
      <c r="X123" s="58"/>
      <c r="Y123" s="51">
        <f ca="1">Table24[[#This Row],[End Date]]+2-TODAY()</f>
        <v>-505</v>
      </c>
      <c r="Z123" s="13">
        <f>IF(ISBLANK(Table24[[#This Row],[Roster Received By]]),1,0)</f>
        <v>1</v>
      </c>
      <c r="AA123" s="13">
        <f ca="1">IF(Table24[[#This Row],[Start Date]]&gt;TODAY(),1,)</f>
        <v>0</v>
      </c>
    </row>
    <row r="124" spans="1:27" s="65" customFormat="1" ht="14.25" customHeight="1" x14ac:dyDescent="0.25">
      <c r="A124" s="46"/>
      <c r="B124" s="58" t="s">
        <v>276</v>
      </c>
      <c r="C124" s="59" t="s">
        <v>277</v>
      </c>
      <c r="D124" s="59" t="s">
        <v>278</v>
      </c>
      <c r="E124" s="58" t="s">
        <v>101</v>
      </c>
      <c r="F124" s="61">
        <v>45740</v>
      </c>
      <c r="G124" s="61">
        <v>45744</v>
      </c>
      <c r="H124" s="61"/>
      <c r="I124" s="60"/>
      <c r="J124" s="60">
        <v>0.33333333333333331</v>
      </c>
      <c r="K124" s="60"/>
      <c r="L124" s="60"/>
      <c r="M124" s="60"/>
      <c r="N124" s="60"/>
      <c r="O124" s="58" t="s">
        <v>280</v>
      </c>
      <c r="P124" s="58"/>
      <c r="Q124" s="13">
        <v>25</v>
      </c>
      <c r="R124" s="13">
        <v>5</v>
      </c>
      <c r="S124" s="13"/>
      <c r="T124" s="62"/>
      <c r="U124" s="13"/>
      <c r="V124" s="13"/>
      <c r="W124" s="13"/>
      <c r="X124" s="58"/>
      <c r="Y124" s="51">
        <f ca="1">Table24[[#This Row],[End Date]]+2-TODAY()</f>
        <v>-498</v>
      </c>
      <c r="Z124" s="13">
        <f>IF(ISBLANK(Table24[[#This Row],[Roster Received By]]),1,0)</f>
        <v>1</v>
      </c>
      <c r="AA124" s="13">
        <f ca="1">IF(Table24[[#This Row],[Start Date]]&gt;TODAY(),1,)</f>
        <v>0</v>
      </c>
    </row>
    <row r="125" spans="1:27" s="65" customFormat="1" ht="14.25" customHeight="1" x14ac:dyDescent="0.25">
      <c r="A125" s="46"/>
      <c r="B125" s="58" t="s">
        <v>276</v>
      </c>
      <c r="C125" s="59" t="s">
        <v>277</v>
      </c>
      <c r="D125" s="59" t="s">
        <v>278</v>
      </c>
      <c r="E125" s="58" t="s">
        <v>101</v>
      </c>
      <c r="F125" s="57">
        <v>45775</v>
      </c>
      <c r="G125" s="57">
        <v>45779</v>
      </c>
      <c r="H125" s="49"/>
      <c r="I125" s="60"/>
      <c r="J125" s="60">
        <v>0.33333333333333331</v>
      </c>
      <c r="K125" s="60"/>
      <c r="L125" s="60"/>
      <c r="M125" s="60"/>
      <c r="N125" s="60"/>
      <c r="O125" s="58" t="s">
        <v>280</v>
      </c>
      <c r="P125" s="58"/>
      <c r="Q125" s="13">
        <v>25</v>
      </c>
      <c r="R125" s="13">
        <v>5</v>
      </c>
      <c r="S125" s="13"/>
      <c r="T125" s="62"/>
      <c r="U125" s="13"/>
      <c r="V125" s="13"/>
      <c r="W125" s="13"/>
      <c r="X125" s="58"/>
      <c r="Y125" s="51">
        <f ca="1">Table24[[#This Row],[End Date]]+2-TODAY()</f>
        <v>-463</v>
      </c>
      <c r="Z125" s="13">
        <f>IF(ISBLANK(Table24[[#This Row],[Roster Received By]]),1,0)</f>
        <v>1</v>
      </c>
      <c r="AA125" s="13">
        <f ca="1">IF(Table24[[#This Row],[Start Date]]&gt;TODAY(),1,)</f>
        <v>0</v>
      </c>
    </row>
    <row r="126" spans="1:27" s="65" customFormat="1" ht="14.25" customHeight="1" x14ac:dyDescent="0.25">
      <c r="A126" s="58"/>
      <c r="B126" s="58" t="s">
        <v>276</v>
      </c>
      <c r="C126" s="59" t="s">
        <v>277</v>
      </c>
      <c r="D126" s="59" t="s">
        <v>278</v>
      </c>
      <c r="E126" s="58" t="s">
        <v>101</v>
      </c>
      <c r="F126" s="61">
        <v>45782</v>
      </c>
      <c r="G126" s="61">
        <v>45786</v>
      </c>
      <c r="H126" s="61"/>
      <c r="I126" s="60"/>
      <c r="J126" s="60">
        <v>0.33333333333333331</v>
      </c>
      <c r="K126" s="60"/>
      <c r="L126" s="60"/>
      <c r="M126" s="60"/>
      <c r="N126" s="60"/>
      <c r="O126" s="58" t="s">
        <v>280</v>
      </c>
      <c r="P126" s="58"/>
      <c r="Q126" s="13">
        <v>25</v>
      </c>
      <c r="R126" s="13">
        <v>5</v>
      </c>
      <c r="S126" s="13"/>
      <c r="T126" s="62"/>
      <c r="U126" s="13"/>
      <c r="V126" s="13"/>
      <c r="W126" s="13"/>
      <c r="X126" s="58"/>
      <c r="Y126" s="51">
        <f ca="1">Table24[[#This Row],[End Date]]+2-TODAY()</f>
        <v>-456</v>
      </c>
      <c r="Z126" s="13">
        <f>IF(ISBLANK(Table24[[#This Row],[Roster Received By]]),1,0)</f>
        <v>1</v>
      </c>
      <c r="AA126" s="13">
        <f ca="1">IF(Table24[[#This Row],[Start Date]]&gt;TODAY(),1,)</f>
        <v>0</v>
      </c>
    </row>
    <row r="127" spans="1:27" s="65" customFormat="1" ht="14.25" customHeight="1" x14ac:dyDescent="0.25">
      <c r="A127" s="46"/>
      <c r="B127" s="58" t="s">
        <v>276</v>
      </c>
      <c r="C127" s="59" t="s">
        <v>277</v>
      </c>
      <c r="D127" s="59" t="s">
        <v>278</v>
      </c>
      <c r="E127" s="100" t="s">
        <v>83</v>
      </c>
      <c r="F127" s="49">
        <v>45873</v>
      </c>
      <c r="G127" s="61">
        <v>45877</v>
      </c>
      <c r="H127" s="64"/>
      <c r="I127" s="64"/>
      <c r="J127" s="60">
        <v>0.33333333333333331</v>
      </c>
      <c r="K127" s="61"/>
      <c r="L127" s="61"/>
      <c r="M127" s="61"/>
      <c r="N127" s="61"/>
      <c r="O127" s="58" t="s">
        <v>280</v>
      </c>
      <c r="P127" s="58"/>
      <c r="Q127" s="13">
        <v>25</v>
      </c>
      <c r="R127" s="13">
        <v>5</v>
      </c>
      <c r="S127" s="13"/>
      <c r="T127" s="62"/>
      <c r="U127" s="13"/>
      <c r="V127" s="13"/>
      <c r="W127" s="59"/>
      <c r="X127" s="58"/>
      <c r="Y127" s="51">
        <f ca="1">Table24[[#This Row],[End Date]]+2-TODAY()</f>
        <v>-365</v>
      </c>
      <c r="Z127" s="13">
        <f>IF(ISBLANK(Table24[[#This Row],[Roster Received By]]),1,0)</f>
        <v>1</v>
      </c>
      <c r="AA127" s="13">
        <f ca="1">IF(Table24[[#This Row],[Start Date]]&gt;TODAY(),1,)</f>
        <v>0</v>
      </c>
    </row>
    <row r="128" spans="1:27" s="65" customFormat="1" ht="14.25" customHeight="1" x14ac:dyDescent="0.25">
      <c r="A128" s="46"/>
      <c r="B128" s="58" t="s">
        <v>276</v>
      </c>
      <c r="C128" s="59" t="s">
        <v>277</v>
      </c>
      <c r="D128" s="59" t="s">
        <v>278</v>
      </c>
      <c r="E128" s="58" t="s">
        <v>51</v>
      </c>
      <c r="F128" s="61">
        <v>45810</v>
      </c>
      <c r="G128" s="61">
        <v>45814</v>
      </c>
      <c r="H128" s="64"/>
      <c r="I128" s="64"/>
      <c r="J128" s="61"/>
      <c r="K128" s="61"/>
      <c r="L128" s="61"/>
      <c r="M128" s="61"/>
      <c r="N128" s="60">
        <v>0.33333333333333331</v>
      </c>
      <c r="O128" s="58" t="s">
        <v>280</v>
      </c>
      <c r="P128" s="58"/>
      <c r="Q128" s="13">
        <v>25</v>
      </c>
      <c r="R128" s="13">
        <v>5</v>
      </c>
      <c r="S128" s="13"/>
      <c r="T128" s="62"/>
      <c r="U128" s="13"/>
      <c r="V128" s="13"/>
      <c r="W128" s="13"/>
      <c r="X128" s="58"/>
      <c r="Y128" s="51">
        <f ca="1">Table24[[#This Row],[End Date]]+2-TODAY()</f>
        <v>-428</v>
      </c>
      <c r="Z128" s="13">
        <f>IF(ISBLANK(Table24[[#This Row],[Roster Received By]]),1,0)</f>
        <v>1</v>
      </c>
      <c r="AA128" s="13">
        <f ca="1">IF(Table24[[#This Row],[Start Date]]&gt;TODAY(),1,)</f>
        <v>0</v>
      </c>
    </row>
    <row r="129" spans="1:27" s="65" customFormat="1" ht="14.25" customHeight="1" x14ac:dyDescent="0.25">
      <c r="A129" s="46"/>
      <c r="B129" s="58" t="s">
        <v>276</v>
      </c>
      <c r="C129" s="59" t="s">
        <v>277</v>
      </c>
      <c r="D129" s="59" t="s">
        <v>278</v>
      </c>
      <c r="E129" s="58" t="s">
        <v>51</v>
      </c>
      <c r="F129" s="61">
        <v>45817</v>
      </c>
      <c r="G129" s="61">
        <v>45821</v>
      </c>
      <c r="H129" s="64"/>
      <c r="I129" s="64"/>
      <c r="J129" s="61"/>
      <c r="K129" s="61"/>
      <c r="L129" s="61"/>
      <c r="M129" s="61"/>
      <c r="N129" s="60">
        <v>0.33333333333333331</v>
      </c>
      <c r="O129" s="58" t="s">
        <v>280</v>
      </c>
      <c r="P129" s="58"/>
      <c r="Q129" s="13">
        <v>25</v>
      </c>
      <c r="R129" s="13">
        <v>5</v>
      </c>
      <c r="S129" s="13"/>
      <c r="T129" s="62"/>
      <c r="U129" s="13"/>
      <c r="V129" s="13"/>
      <c r="W129" s="13"/>
      <c r="X129" s="58"/>
      <c r="Y129" s="51">
        <f ca="1">Table24[[#This Row],[End Date]]+2-TODAY()</f>
        <v>-421</v>
      </c>
      <c r="Z129" s="13">
        <f>IF(ISBLANK(Table24[[#This Row],[Roster Received By]]),1,0)</f>
        <v>1</v>
      </c>
      <c r="AA129" s="13">
        <f ca="1">IF(Table24[[#This Row],[Start Date]]&gt;TODAY(),1,)</f>
        <v>0</v>
      </c>
    </row>
    <row r="130" spans="1:27" s="65" customFormat="1" ht="14.25" customHeight="1" x14ac:dyDescent="0.25">
      <c r="A130" s="46"/>
      <c r="B130" s="58" t="s">
        <v>276</v>
      </c>
      <c r="C130" s="59" t="s">
        <v>277</v>
      </c>
      <c r="D130" s="59" t="s">
        <v>278</v>
      </c>
      <c r="E130" s="58" t="s">
        <v>117</v>
      </c>
      <c r="F130" s="61">
        <v>45845</v>
      </c>
      <c r="G130" s="61">
        <v>45849</v>
      </c>
      <c r="H130" s="61"/>
      <c r="I130" s="60"/>
      <c r="J130" s="60">
        <v>0.33333333333333331</v>
      </c>
      <c r="K130" s="60"/>
      <c r="L130" s="60"/>
      <c r="M130" s="60"/>
      <c r="N130" s="60"/>
      <c r="O130" s="58" t="s">
        <v>280</v>
      </c>
      <c r="P130" s="58"/>
      <c r="Q130" s="13">
        <v>25</v>
      </c>
      <c r="R130" s="13">
        <v>5</v>
      </c>
      <c r="S130" s="13"/>
      <c r="T130" s="62"/>
      <c r="U130" s="13"/>
      <c r="V130" s="13"/>
      <c r="W130" s="13"/>
      <c r="X130" s="58"/>
      <c r="Y130" s="51">
        <f ca="1">Table24[[#This Row],[End Date]]+2-TODAY()</f>
        <v>-393</v>
      </c>
      <c r="Z130" s="13">
        <f>IF(ISBLANK(Table24[[#This Row],[Roster Received By]]),1,0)</f>
        <v>1</v>
      </c>
      <c r="AA130" s="13">
        <f ca="1">IF(Table24[[#This Row],[Start Date]]&gt;TODAY(),1,)</f>
        <v>0</v>
      </c>
    </row>
    <row r="131" spans="1:27" s="65" customFormat="1" ht="14.25" customHeight="1" x14ac:dyDescent="0.25">
      <c r="A131" s="46"/>
      <c r="B131" s="58" t="s">
        <v>276</v>
      </c>
      <c r="C131" s="59" t="s">
        <v>277</v>
      </c>
      <c r="D131" s="59" t="s">
        <v>278</v>
      </c>
      <c r="E131" s="58" t="s">
        <v>258</v>
      </c>
      <c r="F131" s="61">
        <v>45684</v>
      </c>
      <c r="G131" s="61">
        <v>45688</v>
      </c>
      <c r="H131" s="61"/>
      <c r="I131" s="60">
        <v>0.33333333333333331</v>
      </c>
      <c r="J131" s="60"/>
      <c r="K131" s="60"/>
      <c r="L131" s="60"/>
      <c r="M131" s="60"/>
      <c r="N131" s="60"/>
      <c r="O131" s="58" t="s">
        <v>280</v>
      </c>
      <c r="P131" s="58"/>
      <c r="Q131" s="13">
        <v>25</v>
      </c>
      <c r="R131" s="13">
        <v>5</v>
      </c>
      <c r="S131" s="13"/>
      <c r="T131" s="62"/>
      <c r="U131" s="13"/>
      <c r="V131" s="13"/>
      <c r="W131" s="13"/>
      <c r="X131" s="58"/>
      <c r="Y131" s="51">
        <f ca="1">Table24[[#This Row],[End Date]]+2-TODAY()</f>
        <v>-554</v>
      </c>
      <c r="Z131" s="13">
        <f>IF(ISBLANK(Table24[[#This Row],[Roster Received By]]),1,0)</f>
        <v>1</v>
      </c>
      <c r="AA131" s="13">
        <f ca="1">IF(Table24[[#This Row],[Start Date]]&gt;TODAY(),1,)</f>
        <v>0</v>
      </c>
    </row>
    <row r="132" spans="1:27" s="65" customFormat="1" ht="14.25" customHeight="1" x14ac:dyDescent="0.25">
      <c r="A132" s="46"/>
      <c r="B132" s="58" t="s">
        <v>276</v>
      </c>
      <c r="C132" s="59" t="s">
        <v>277</v>
      </c>
      <c r="D132" s="59" t="s">
        <v>278</v>
      </c>
      <c r="E132" s="58" t="s">
        <v>258</v>
      </c>
      <c r="F132" s="61">
        <v>45691</v>
      </c>
      <c r="G132" s="61">
        <v>45695</v>
      </c>
      <c r="H132" s="64"/>
      <c r="I132" s="60">
        <v>0.33333333333333331</v>
      </c>
      <c r="J132" s="61"/>
      <c r="K132" s="61"/>
      <c r="L132" s="61"/>
      <c r="M132" s="61"/>
      <c r="N132" s="61"/>
      <c r="O132" s="58" t="s">
        <v>280</v>
      </c>
      <c r="P132" s="58"/>
      <c r="Q132" s="13">
        <v>25</v>
      </c>
      <c r="R132" s="13">
        <v>5</v>
      </c>
      <c r="S132" s="13"/>
      <c r="T132" s="62"/>
      <c r="U132" s="13"/>
      <c r="V132" s="13"/>
      <c r="W132" s="13"/>
      <c r="X132" s="58"/>
      <c r="Y132" s="51">
        <f ca="1">Table24[[#This Row],[End Date]]+2-TODAY()</f>
        <v>-547</v>
      </c>
      <c r="Z132" s="13">
        <f>IF(ISBLANK(Table24[[#This Row],[Roster Received By]]),1,0)</f>
        <v>1</v>
      </c>
      <c r="AA132" s="13">
        <f ca="1">IF(Table24[[#This Row],[Start Date]]&gt;TODAY(),1,)</f>
        <v>0</v>
      </c>
    </row>
    <row r="133" spans="1:27" s="65" customFormat="1" ht="14.25" customHeight="1" x14ac:dyDescent="0.25">
      <c r="A133" s="46"/>
      <c r="B133" s="58" t="s">
        <v>276</v>
      </c>
      <c r="C133" s="59" t="s">
        <v>277</v>
      </c>
      <c r="D133" s="59" t="s">
        <v>278</v>
      </c>
      <c r="E133" s="58" t="s">
        <v>117</v>
      </c>
      <c r="F133" s="49">
        <v>45852</v>
      </c>
      <c r="G133" s="49">
        <v>45856</v>
      </c>
      <c r="H133" s="61"/>
      <c r="I133" s="60"/>
      <c r="J133" s="60">
        <v>0.33333333333333331</v>
      </c>
      <c r="K133" s="60"/>
      <c r="L133" s="60"/>
      <c r="M133" s="60"/>
      <c r="N133" s="60"/>
      <c r="O133" s="58" t="s">
        <v>280</v>
      </c>
      <c r="P133" s="58"/>
      <c r="Q133" s="13">
        <v>25</v>
      </c>
      <c r="R133" s="13">
        <v>5</v>
      </c>
      <c r="S133" s="13"/>
      <c r="T133" s="62"/>
      <c r="U133" s="13"/>
      <c r="V133" s="13"/>
      <c r="W133" s="13"/>
      <c r="X133" s="58"/>
      <c r="Y133" s="51">
        <f ca="1">Table24[[#This Row],[End Date]]+2-TODAY()</f>
        <v>-386</v>
      </c>
      <c r="Z133" s="13">
        <f>IF(ISBLANK(Table24[[#This Row],[Roster Received By]]),1,0)</f>
        <v>1</v>
      </c>
      <c r="AA133" s="13">
        <f ca="1">IF(Table24[[#This Row],[Start Date]]&gt;TODAY(),1,)</f>
        <v>0</v>
      </c>
    </row>
    <row r="134" spans="1:27" s="65" customFormat="1" ht="14.25" customHeight="1" x14ac:dyDescent="0.25">
      <c r="A134" s="58"/>
      <c r="B134" s="58" t="s">
        <v>276</v>
      </c>
      <c r="C134" s="59" t="s">
        <v>277</v>
      </c>
      <c r="D134" s="59" t="s">
        <v>278</v>
      </c>
      <c r="E134" s="58" t="s">
        <v>83</v>
      </c>
      <c r="F134" s="61">
        <v>45866</v>
      </c>
      <c r="G134" s="61">
        <v>45870</v>
      </c>
      <c r="H134" s="64"/>
      <c r="I134" s="64"/>
      <c r="J134" s="61"/>
      <c r="K134" s="61"/>
      <c r="L134" s="61"/>
      <c r="M134" s="61"/>
      <c r="N134" s="61"/>
      <c r="O134" s="58" t="s">
        <v>280</v>
      </c>
      <c r="P134" s="58"/>
      <c r="Q134" s="13">
        <v>25</v>
      </c>
      <c r="R134" s="13">
        <v>5</v>
      </c>
      <c r="S134" s="13"/>
      <c r="T134" s="62"/>
      <c r="U134" s="13"/>
      <c r="V134" s="13"/>
      <c r="W134" s="13"/>
      <c r="X134" s="58"/>
      <c r="Y134" s="51">
        <f ca="1">Table24[[#This Row],[End Date]]+2-TODAY()</f>
        <v>-372</v>
      </c>
      <c r="Z134" s="13">
        <f>IF(ISBLANK(Table24[[#This Row],[Roster Received By]]),1,0)</f>
        <v>1</v>
      </c>
      <c r="AA134" s="13">
        <f ca="1">IF(Table24[[#This Row],[Start Date]]&gt;TODAY(),1,)</f>
        <v>0</v>
      </c>
    </row>
    <row r="135" spans="1:27" s="94" customFormat="1" x14ac:dyDescent="0.25">
      <c r="A135" s="46"/>
      <c r="B135" s="58" t="s">
        <v>276</v>
      </c>
      <c r="C135" s="59" t="s">
        <v>277</v>
      </c>
      <c r="D135" s="59" t="s">
        <v>278</v>
      </c>
      <c r="E135" s="58" t="s">
        <v>279</v>
      </c>
      <c r="F135" s="61">
        <v>45866</v>
      </c>
      <c r="G135" s="61">
        <v>45870</v>
      </c>
      <c r="H135" s="64"/>
      <c r="I135" s="60">
        <v>0.33333333333333331</v>
      </c>
      <c r="J135" s="61"/>
      <c r="K135" s="61"/>
      <c r="L135" s="61"/>
      <c r="M135" s="61"/>
      <c r="N135" s="61"/>
      <c r="O135" s="58" t="s">
        <v>280</v>
      </c>
      <c r="P135" s="58"/>
      <c r="Q135" s="13">
        <v>25</v>
      </c>
      <c r="R135" s="13">
        <v>5</v>
      </c>
      <c r="S135" s="13"/>
      <c r="T135" s="62"/>
      <c r="U135" s="13"/>
      <c r="V135" s="13"/>
      <c r="W135" s="13"/>
      <c r="X135" s="58"/>
      <c r="Y135" s="51">
        <f ca="1">Table24[[#This Row],[End Date]]+2-TODAY()</f>
        <v>-372</v>
      </c>
      <c r="Z135" s="13">
        <f>IF(ISBLANK(Table24[[#This Row],[Roster Received By]]),1,0)</f>
        <v>1</v>
      </c>
      <c r="AA135" s="13">
        <f ca="1">IF(Table24[[#This Row],[Start Date]]&gt;TODAY(),1,)</f>
        <v>0</v>
      </c>
    </row>
    <row r="136" spans="1:27" s="65" customFormat="1" ht="14.25" customHeight="1" x14ac:dyDescent="0.25">
      <c r="A136" s="46"/>
      <c r="B136" s="58" t="s">
        <v>282</v>
      </c>
      <c r="C136" s="59" t="s">
        <v>283</v>
      </c>
      <c r="D136" s="59" t="s">
        <v>284</v>
      </c>
      <c r="E136" s="58" t="s">
        <v>279</v>
      </c>
      <c r="F136" s="61">
        <v>45615</v>
      </c>
      <c r="G136" s="61">
        <v>45618</v>
      </c>
      <c r="H136" s="64"/>
      <c r="I136" s="125">
        <v>0.33333333333333331</v>
      </c>
      <c r="J136" s="61"/>
      <c r="K136" s="61"/>
      <c r="L136" s="61"/>
      <c r="M136" s="61"/>
      <c r="N136" s="61"/>
      <c r="O136" s="58"/>
      <c r="P136" s="58"/>
      <c r="Q136" s="13">
        <v>30</v>
      </c>
      <c r="R136" s="13">
        <v>4</v>
      </c>
      <c r="S136" s="13"/>
      <c r="T136" s="62"/>
      <c r="U136" s="13"/>
      <c r="V136" s="13"/>
      <c r="W136" s="66"/>
      <c r="X136" s="58"/>
      <c r="Y136" s="51">
        <f ca="1">Table24[[#This Row],[End Date]]+2-TODAY()</f>
        <v>-624</v>
      </c>
      <c r="Z136" s="13">
        <f>IF(ISBLANK(Table24[[#This Row],[Roster Received By]]),1,0)</f>
        <v>1</v>
      </c>
      <c r="AA136" s="13">
        <f ca="1">IF(Table24[[#This Row],[Start Date]]&gt;TODAY(),1,)</f>
        <v>0</v>
      </c>
    </row>
    <row r="137" spans="1:27" s="65" customFormat="1" ht="14.25" customHeight="1" x14ac:dyDescent="0.25">
      <c r="A137" s="46"/>
      <c r="B137" s="58" t="s">
        <v>282</v>
      </c>
      <c r="C137" s="59" t="s">
        <v>283</v>
      </c>
      <c r="D137" s="59" t="s">
        <v>284</v>
      </c>
      <c r="E137" s="58" t="s">
        <v>83</v>
      </c>
      <c r="F137" s="61">
        <v>45636</v>
      </c>
      <c r="G137" s="61">
        <v>45639</v>
      </c>
      <c r="H137" s="61"/>
      <c r="I137" s="60"/>
      <c r="J137" s="125">
        <v>0.33333333333333331</v>
      </c>
      <c r="K137" s="60"/>
      <c r="L137" s="60"/>
      <c r="M137" s="60"/>
      <c r="N137" s="60"/>
      <c r="O137" s="58"/>
      <c r="P137" s="58"/>
      <c r="Q137" s="13">
        <v>30</v>
      </c>
      <c r="R137" s="13">
        <v>4</v>
      </c>
      <c r="S137" s="13"/>
      <c r="T137" s="62"/>
      <c r="U137" s="13"/>
      <c r="V137" s="13"/>
      <c r="W137" s="13"/>
      <c r="X137" s="58"/>
      <c r="Y137" s="51">
        <f ca="1">Table24[[#This Row],[End Date]]+2-TODAY()</f>
        <v>-603</v>
      </c>
      <c r="Z137" s="13">
        <f>IF(ISBLANK(Table24[[#This Row],[Roster Received By]]),1,0)</f>
        <v>1</v>
      </c>
      <c r="AA137" s="13">
        <f ca="1">IF(Table24[[#This Row],[Start Date]]&gt;TODAY(),1,)</f>
        <v>0</v>
      </c>
    </row>
    <row r="138" spans="1:27" s="65" customFormat="1" ht="14.25" customHeight="1" x14ac:dyDescent="0.25">
      <c r="A138" s="46"/>
      <c r="B138" s="58" t="s">
        <v>282</v>
      </c>
      <c r="C138" s="59" t="s">
        <v>283</v>
      </c>
      <c r="D138" s="59" t="s">
        <v>284</v>
      </c>
      <c r="E138" s="58" t="s">
        <v>258</v>
      </c>
      <c r="F138" s="61">
        <v>45685</v>
      </c>
      <c r="G138" s="61">
        <v>45688</v>
      </c>
      <c r="H138" s="61"/>
      <c r="I138" s="125">
        <v>0.33333333333333331</v>
      </c>
      <c r="J138" s="60"/>
      <c r="K138" s="60"/>
      <c r="L138" s="60"/>
      <c r="M138" s="60"/>
      <c r="N138" s="60"/>
      <c r="O138" s="58"/>
      <c r="P138" s="58"/>
      <c r="Q138" s="13">
        <v>30</v>
      </c>
      <c r="R138" s="13">
        <v>4</v>
      </c>
      <c r="S138" s="13"/>
      <c r="T138" s="62"/>
      <c r="U138" s="13"/>
      <c r="V138" s="13"/>
      <c r="W138" s="13"/>
      <c r="X138" s="58"/>
      <c r="Y138" s="51">
        <f ca="1">Table24[[#This Row],[End Date]]+2-TODAY()</f>
        <v>-554</v>
      </c>
      <c r="Z138" s="13">
        <f>IF(ISBLANK(Table24[[#This Row],[Roster Received By]]),1,0)</f>
        <v>1</v>
      </c>
      <c r="AA138" s="13">
        <f ca="1">IF(Table24[[#This Row],[Start Date]]&gt;TODAY(),1,)</f>
        <v>0</v>
      </c>
    </row>
    <row r="139" spans="1:27" s="65" customFormat="1" ht="14.25" customHeight="1" x14ac:dyDescent="0.25">
      <c r="A139" s="46"/>
      <c r="B139" s="58" t="s">
        <v>282</v>
      </c>
      <c r="C139" s="59" t="s">
        <v>283</v>
      </c>
      <c r="D139" s="59" t="s">
        <v>284</v>
      </c>
      <c r="E139" s="58" t="s">
        <v>101</v>
      </c>
      <c r="F139" s="61">
        <v>45713</v>
      </c>
      <c r="G139" s="61">
        <v>45716</v>
      </c>
      <c r="H139" s="61"/>
      <c r="I139" s="60"/>
      <c r="J139" s="125">
        <v>0.33333333333333331</v>
      </c>
      <c r="K139" s="60"/>
      <c r="L139" s="60"/>
      <c r="M139" s="60"/>
      <c r="N139" s="60"/>
      <c r="O139" s="58"/>
      <c r="P139" s="58"/>
      <c r="Q139" s="13">
        <v>30</v>
      </c>
      <c r="R139" s="13">
        <v>4</v>
      </c>
      <c r="S139" s="13"/>
      <c r="T139" s="62"/>
      <c r="U139" s="13"/>
      <c r="V139" s="13"/>
      <c r="W139" s="59"/>
      <c r="X139" s="58"/>
      <c r="Y139" s="51">
        <f ca="1">Table24[[#This Row],[End Date]]+2-TODAY()</f>
        <v>-526</v>
      </c>
      <c r="Z139" s="13">
        <f>IF(ISBLANK(Table24[[#This Row],[Roster Received By]]),1,0)</f>
        <v>1</v>
      </c>
      <c r="AA139" s="13">
        <f ca="1">IF(Table24[[#This Row],[Start Date]]&gt;TODAY(),1,)</f>
        <v>0</v>
      </c>
    </row>
    <row r="140" spans="1:27" s="65" customFormat="1" ht="14.25" customHeight="1" x14ac:dyDescent="0.25">
      <c r="A140" s="58"/>
      <c r="B140" s="58" t="s">
        <v>282</v>
      </c>
      <c r="C140" s="59" t="s">
        <v>283</v>
      </c>
      <c r="D140" s="59" t="s">
        <v>284</v>
      </c>
      <c r="E140" s="58" t="s">
        <v>117</v>
      </c>
      <c r="F140" s="61">
        <v>45719</v>
      </c>
      <c r="G140" s="61">
        <v>45722</v>
      </c>
      <c r="H140" s="67"/>
      <c r="I140" s="67"/>
      <c r="J140" s="125">
        <v>0.33333333333333331</v>
      </c>
      <c r="K140" s="61"/>
      <c r="L140" s="61"/>
      <c r="M140" s="61"/>
      <c r="N140" s="61"/>
      <c r="O140" s="58"/>
      <c r="P140" s="58"/>
      <c r="Q140" s="13">
        <v>30</v>
      </c>
      <c r="R140" s="13">
        <v>4</v>
      </c>
      <c r="S140" s="13"/>
      <c r="T140" s="62"/>
      <c r="U140" s="13"/>
      <c r="V140" s="13"/>
      <c r="W140" s="59"/>
      <c r="X140" s="58"/>
      <c r="Y140" s="51">
        <f ca="1">Table24[[#This Row],[End Date]]+2-TODAY()</f>
        <v>-520</v>
      </c>
      <c r="Z140" s="13">
        <f>IF(ISBLANK(Table24[[#This Row],[Roster Received By]]),1,0)</f>
        <v>1</v>
      </c>
      <c r="AA140" s="13">
        <f ca="1">IF(Table24[[#This Row],[Start Date]]&gt;TODAY(),1,)</f>
        <v>0</v>
      </c>
    </row>
    <row r="141" spans="1:27" s="65" customFormat="1" ht="14.25" customHeight="1" x14ac:dyDescent="0.25">
      <c r="A141" s="46"/>
      <c r="B141" s="58" t="s">
        <v>282</v>
      </c>
      <c r="C141" s="59" t="s">
        <v>283</v>
      </c>
      <c r="D141" s="59" t="s">
        <v>284</v>
      </c>
      <c r="E141" s="58" t="s">
        <v>103</v>
      </c>
      <c r="F141" s="61">
        <v>45741</v>
      </c>
      <c r="G141" s="61">
        <v>45744</v>
      </c>
      <c r="H141" s="61"/>
      <c r="I141" s="125">
        <v>0.33333333333333331</v>
      </c>
      <c r="J141" s="60"/>
      <c r="K141" s="60"/>
      <c r="L141" s="60"/>
      <c r="M141" s="60"/>
      <c r="N141" s="60"/>
      <c r="O141" s="58"/>
      <c r="P141" s="58"/>
      <c r="Q141" s="13">
        <v>30</v>
      </c>
      <c r="R141" s="13">
        <v>4</v>
      </c>
      <c r="S141" s="13"/>
      <c r="T141" s="62"/>
      <c r="U141" s="13"/>
      <c r="V141" s="13"/>
      <c r="W141" s="13"/>
      <c r="X141" s="58"/>
      <c r="Y141" s="51">
        <f ca="1">Table24[[#This Row],[End Date]]+2-TODAY()</f>
        <v>-498</v>
      </c>
      <c r="Z141" s="13">
        <f>IF(ISBLANK(Table24[[#This Row],[Roster Received By]]),1,0)</f>
        <v>1</v>
      </c>
      <c r="AA141" s="13">
        <f ca="1">IF(Table24[[#This Row],[Start Date]]&gt;TODAY(),1,)</f>
        <v>0</v>
      </c>
    </row>
    <row r="142" spans="1:27" s="46" customFormat="1" x14ac:dyDescent="0.25">
      <c r="B142" s="58" t="s">
        <v>282</v>
      </c>
      <c r="C142" s="59" t="s">
        <v>283</v>
      </c>
      <c r="D142" s="59" t="s">
        <v>284</v>
      </c>
      <c r="E142" s="58" t="s">
        <v>279</v>
      </c>
      <c r="F142" s="61">
        <v>45769</v>
      </c>
      <c r="G142" s="61">
        <v>45772</v>
      </c>
      <c r="H142" s="61"/>
      <c r="I142" s="125">
        <v>0.33333333333333331</v>
      </c>
      <c r="J142" s="60"/>
      <c r="K142" s="60"/>
      <c r="L142" s="60"/>
      <c r="M142" s="60"/>
      <c r="N142" s="60"/>
      <c r="O142" s="58"/>
      <c r="P142" s="58"/>
      <c r="Q142" s="13">
        <v>30</v>
      </c>
      <c r="R142" s="13">
        <v>4</v>
      </c>
      <c r="S142" s="13"/>
      <c r="T142" s="62"/>
      <c r="U142" s="13"/>
      <c r="V142" s="13"/>
      <c r="W142" s="62"/>
      <c r="X142" s="58"/>
      <c r="Y142" s="51">
        <f ca="1">Table24[[#This Row],[End Date]]+2-TODAY()</f>
        <v>-470</v>
      </c>
      <c r="Z142" s="13">
        <f>IF(ISBLANK(Table24[[#This Row],[Roster Received By]]),1,0)</f>
        <v>1</v>
      </c>
      <c r="AA142" s="13">
        <f ca="1">IF(Table24[[#This Row],[Start Date]]&gt;TODAY(),1,)</f>
        <v>0</v>
      </c>
    </row>
    <row r="143" spans="1:27" s="94" customFormat="1" ht="14.25" customHeight="1" x14ac:dyDescent="0.25">
      <c r="A143" s="46"/>
      <c r="B143" s="58" t="s">
        <v>282</v>
      </c>
      <c r="C143" s="59" t="s">
        <v>283</v>
      </c>
      <c r="D143" s="59" t="s">
        <v>284</v>
      </c>
      <c r="E143" s="58" t="s">
        <v>51</v>
      </c>
      <c r="F143" s="61">
        <v>45789</v>
      </c>
      <c r="G143" s="61">
        <v>45792</v>
      </c>
      <c r="H143" s="61"/>
      <c r="I143" s="60"/>
      <c r="J143" s="60"/>
      <c r="K143" s="60"/>
      <c r="L143" s="60"/>
      <c r="M143" s="60"/>
      <c r="N143" s="60">
        <v>0.33333333333333331</v>
      </c>
      <c r="O143" s="58"/>
      <c r="P143" s="58"/>
      <c r="Q143" s="13">
        <v>30</v>
      </c>
      <c r="R143" s="13">
        <v>4</v>
      </c>
      <c r="S143" s="13"/>
      <c r="T143" s="62"/>
      <c r="U143" s="13"/>
      <c r="V143" s="13"/>
      <c r="W143" s="13"/>
      <c r="X143" s="58"/>
      <c r="Y143" s="51">
        <f ca="1">Table24[[#This Row],[End Date]]+2-TODAY()</f>
        <v>-450</v>
      </c>
      <c r="Z143" s="13">
        <f>IF(ISBLANK(Table24[[#This Row],[Roster Received By]]),1,0)</f>
        <v>1</v>
      </c>
      <c r="AA143" s="13">
        <f ca="1">IF(Table24[[#This Row],[Start Date]]&gt;TODAY(),1,)</f>
        <v>0</v>
      </c>
    </row>
    <row r="144" spans="1:27" s="94" customFormat="1" ht="14.25" customHeight="1" x14ac:dyDescent="0.25">
      <c r="A144" s="46"/>
      <c r="B144" s="58" t="s">
        <v>282</v>
      </c>
      <c r="C144" s="59" t="s">
        <v>283</v>
      </c>
      <c r="D144" s="59" t="s">
        <v>284</v>
      </c>
      <c r="E144" s="58" t="s">
        <v>51</v>
      </c>
      <c r="F144" s="61">
        <v>45796</v>
      </c>
      <c r="G144" s="61">
        <v>45799</v>
      </c>
      <c r="H144" s="64"/>
      <c r="I144" s="64"/>
      <c r="J144" s="61"/>
      <c r="K144" s="61"/>
      <c r="L144" s="61"/>
      <c r="M144" s="61"/>
      <c r="N144" s="125">
        <v>0.33333333333333331</v>
      </c>
      <c r="O144" s="58"/>
      <c r="P144" s="58"/>
      <c r="Q144" s="13">
        <v>30</v>
      </c>
      <c r="R144" s="13">
        <v>4</v>
      </c>
      <c r="S144" s="13"/>
      <c r="T144" s="62"/>
      <c r="U144" s="13"/>
      <c r="V144" s="13"/>
      <c r="W144" s="59"/>
      <c r="X144" s="58"/>
      <c r="Y144" s="51">
        <f ca="1">Table24[[#This Row],[End Date]]+2-TODAY()</f>
        <v>-443</v>
      </c>
      <c r="Z144" s="13">
        <f>IF(ISBLANK(Table24[[#This Row],[Roster Received By]]),1,0)</f>
        <v>1</v>
      </c>
      <c r="AA144" s="13">
        <f ca="1">IF(Table24[[#This Row],[Start Date]]&gt;TODAY(),1,)</f>
        <v>0</v>
      </c>
    </row>
    <row r="145" spans="1:27" s="94" customFormat="1" ht="16.5" customHeight="1" x14ac:dyDescent="0.25">
      <c r="A145" s="46"/>
      <c r="B145" s="58" t="s">
        <v>282</v>
      </c>
      <c r="C145" s="59" t="s">
        <v>283</v>
      </c>
      <c r="D145" s="59" t="s">
        <v>284</v>
      </c>
      <c r="E145" s="58" t="s">
        <v>41</v>
      </c>
      <c r="F145" s="61">
        <v>45818</v>
      </c>
      <c r="G145" s="61">
        <v>45821</v>
      </c>
      <c r="H145" s="61"/>
      <c r="I145" s="60">
        <v>0.33333333333333331</v>
      </c>
      <c r="J145" s="60"/>
      <c r="K145" s="60"/>
      <c r="L145" s="60"/>
      <c r="M145" s="60"/>
      <c r="N145" s="60"/>
      <c r="O145" s="58"/>
      <c r="P145" s="58"/>
      <c r="Q145" s="13">
        <v>30</v>
      </c>
      <c r="R145" s="13">
        <v>4</v>
      </c>
      <c r="S145" s="13"/>
      <c r="T145" s="62"/>
      <c r="U145" s="13"/>
      <c r="V145" s="13"/>
      <c r="W145" s="13"/>
      <c r="X145" s="58"/>
      <c r="Y145" s="51">
        <f ca="1">Table24[[#This Row],[End Date]]+2-TODAY()</f>
        <v>-421</v>
      </c>
      <c r="Z145" s="13">
        <f>IF(ISBLANK(Table24[[#This Row],[Roster Received By]]),1,0)</f>
        <v>1</v>
      </c>
      <c r="AA145" s="13">
        <f ca="1">IF(Table24[[#This Row],[Start Date]]&gt;TODAY(),1,)</f>
        <v>0</v>
      </c>
    </row>
    <row r="146" spans="1:27" s="65" customFormat="1" ht="16.5" customHeight="1" x14ac:dyDescent="0.25">
      <c r="A146" s="46"/>
      <c r="B146" s="58" t="s">
        <v>282</v>
      </c>
      <c r="C146" s="59" t="s">
        <v>283</v>
      </c>
      <c r="D146" s="59" t="s">
        <v>284</v>
      </c>
      <c r="E146" s="58" t="s">
        <v>279</v>
      </c>
      <c r="F146" s="49">
        <v>45846</v>
      </c>
      <c r="G146" s="61">
        <v>45849</v>
      </c>
      <c r="H146" s="61"/>
      <c r="I146" s="60">
        <v>0.33333333333333331</v>
      </c>
      <c r="J146" s="60"/>
      <c r="K146" s="60"/>
      <c r="L146" s="60"/>
      <c r="M146" s="60"/>
      <c r="N146" s="60"/>
      <c r="O146" s="58"/>
      <c r="P146" s="58"/>
      <c r="Q146" s="13">
        <v>30</v>
      </c>
      <c r="R146" s="13">
        <v>4</v>
      </c>
      <c r="S146" s="13"/>
      <c r="T146" s="62"/>
      <c r="U146" s="13"/>
      <c r="V146" s="13"/>
      <c r="W146" s="13"/>
      <c r="X146" s="58"/>
      <c r="Y146" s="51">
        <f ca="1">Table24[[#This Row],[End Date]]+2-TODAY()</f>
        <v>-393</v>
      </c>
      <c r="Z146" s="13">
        <f>IF(ISBLANK(Table24[[#This Row],[Roster Received By]]),1,0)</f>
        <v>1</v>
      </c>
      <c r="AA146" s="13">
        <f ca="1">IF(Table24[[#This Row],[Start Date]]&gt;TODAY(),1,)</f>
        <v>0</v>
      </c>
    </row>
    <row r="147" spans="1:27" s="65" customFormat="1" ht="16.5" customHeight="1" x14ac:dyDescent="0.25">
      <c r="A147" s="58"/>
      <c r="B147" s="58" t="s">
        <v>282</v>
      </c>
      <c r="C147" s="59" t="s">
        <v>283</v>
      </c>
      <c r="D147" s="59" t="s">
        <v>284</v>
      </c>
      <c r="E147" s="47" t="s">
        <v>101</v>
      </c>
      <c r="F147" s="61">
        <v>45881</v>
      </c>
      <c r="G147" s="61">
        <v>45884</v>
      </c>
      <c r="H147" s="64"/>
      <c r="I147" s="64"/>
      <c r="J147" s="125">
        <v>0.33333333333333331</v>
      </c>
      <c r="K147" s="61"/>
      <c r="L147" s="61"/>
      <c r="M147" s="61"/>
      <c r="N147" s="61"/>
      <c r="O147" s="58"/>
      <c r="P147" s="58"/>
      <c r="Q147" s="13">
        <v>30</v>
      </c>
      <c r="R147" s="13">
        <v>4</v>
      </c>
      <c r="S147" s="13"/>
      <c r="T147" s="62"/>
      <c r="U147" s="13"/>
      <c r="V147" s="13"/>
      <c r="W147" s="13"/>
      <c r="X147" s="58"/>
      <c r="Y147" s="51">
        <f ca="1">Table24[[#This Row],[End Date]]+2-TODAY()</f>
        <v>-358</v>
      </c>
      <c r="Z147" s="13">
        <f>IF(ISBLANK(Table24[[#This Row],[Roster Received By]]),1,0)</f>
        <v>1</v>
      </c>
      <c r="AA147" s="13">
        <f ca="1">IF(Table24[[#This Row],[Start Date]]&gt;TODAY(),1,)</f>
        <v>0</v>
      </c>
    </row>
    <row r="148" spans="1:27" s="65" customFormat="1" ht="14.25" customHeight="1" x14ac:dyDescent="0.25">
      <c r="A148" s="46"/>
      <c r="B148" s="58" t="s">
        <v>282</v>
      </c>
      <c r="C148" s="59" t="s">
        <v>283</v>
      </c>
      <c r="D148" s="59" t="s">
        <v>284</v>
      </c>
      <c r="E148" s="58" t="s">
        <v>81</v>
      </c>
      <c r="F148" s="61">
        <v>45895</v>
      </c>
      <c r="G148" s="61">
        <v>45898</v>
      </c>
      <c r="H148" s="61"/>
      <c r="I148" s="60"/>
      <c r="J148" s="60"/>
      <c r="K148" s="60"/>
      <c r="L148" s="60"/>
      <c r="M148" s="60">
        <v>0.33333333333333331</v>
      </c>
      <c r="N148" s="60"/>
      <c r="O148" s="58"/>
      <c r="P148" s="58"/>
      <c r="Q148" s="13">
        <v>30</v>
      </c>
      <c r="R148" s="13">
        <v>4</v>
      </c>
      <c r="S148" s="13"/>
      <c r="T148" s="62"/>
      <c r="U148" s="13"/>
      <c r="V148" s="13"/>
      <c r="W148" s="13"/>
      <c r="X148" s="58"/>
      <c r="Y148" s="51">
        <f ca="1">Table24[[#This Row],[End Date]]+2-TODAY()</f>
        <v>-344</v>
      </c>
      <c r="Z148" s="13">
        <f>IF(ISBLANK(Table24[[#This Row],[Roster Received By]]),1,0)</f>
        <v>1</v>
      </c>
      <c r="AA148" s="13">
        <f ca="1">IF(Table24[[#This Row],[Start Date]]&gt;TODAY(),1,)</f>
        <v>0</v>
      </c>
    </row>
    <row r="149" spans="1:27" s="65" customFormat="1" ht="14.25" customHeight="1" x14ac:dyDescent="0.25">
      <c r="A149" s="46"/>
      <c r="B149" s="58" t="s">
        <v>282</v>
      </c>
      <c r="C149" s="59" t="s">
        <v>283</v>
      </c>
      <c r="D149" s="59" t="s">
        <v>284</v>
      </c>
      <c r="E149" s="58" t="s">
        <v>279</v>
      </c>
      <c r="F149" s="61">
        <v>45916</v>
      </c>
      <c r="G149" s="61">
        <v>45919</v>
      </c>
      <c r="H149" s="61"/>
      <c r="I149" s="125">
        <v>0.33333333333333331</v>
      </c>
      <c r="J149" s="60"/>
      <c r="K149" s="60"/>
      <c r="L149" s="60"/>
      <c r="M149" s="60"/>
      <c r="N149" s="60"/>
      <c r="O149" s="58"/>
      <c r="P149" s="58"/>
      <c r="Q149" s="13">
        <v>30</v>
      </c>
      <c r="R149" s="13">
        <v>4</v>
      </c>
      <c r="S149" s="13"/>
      <c r="T149" s="62"/>
      <c r="U149" s="13"/>
      <c r="V149" s="13"/>
      <c r="W149" s="13"/>
      <c r="X149" s="58"/>
      <c r="Y149" s="51">
        <f ca="1">Table24[[#This Row],[End Date]]+2-TODAY()</f>
        <v>-323</v>
      </c>
      <c r="Z149" s="13">
        <f>IF(ISBLANK(Table24[[#This Row],[Roster Received By]]),1,0)</f>
        <v>1</v>
      </c>
      <c r="AA149" s="13">
        <f ca="1">IF(Table24[[#This Row],[Start Date]]&gt;TODAY(),1,)</f>
        <v>0</v>
      </c>
    </row>
    <row r="150" spans="1:27" s="65" customFormat="1" ht="14.25" customHeight="1" x14ac:dyDescent="0.25">
      <c r="A150" s="46"/>
      <c r="B150" s="58" t="s">
        <v>157</v>
      </c>
      <c r="C150" s="59" t="s">
        <v>285</v>
      </c>
      <c r="D150" s="59" t="s">
        <v>286</v>
      </c>
      <c r="E150" s="58" t="s">
        <v>101</v>
      </c>
      <c r="F150" s="61">
        <v>45712</v>
      </c>
      <c r="G150" s="61">
        <v>45715</v>
      </c>
      <c r="H150" s="61"/>
      <c r="I150" s="60"/>
      <c r="J150" s="60">
        <v>0.33333333333333331</v>
      </c>
      <c r="K150" s="60"/>
      <c r="L150" s="60"/>
      <c r="M150" s="60"/>
      <c r="N150" s="60"/>
      <c r="O150" s="58"/>
      <c r="P150" s="58"/>
      <c r="Q150" s="13">
        <v>35</v>
      </c>
      <c r="R150" s="13">
        <v>5</v>
      </c>
      <c r="S150" s="13"/>
      <c r="T150" s="62"/>
      <c r="U150" s="13"/>
      <c r="V150" s="13"/>
      <c r="W150" s="13"/>
      <c r="X150" s="58"/>
      <c r="Y150" s="51">
        <f ca="1">Table24[[#This Row],[End Date]]+2-TODAY()</f>
        <v>-527</v>
      </c>
      <c r="Z150" s="13">
        <f>IF(ISBLANK(Table24[[#This Row],[Roster Received By]]),1,0)</f>
        <v>1</v>
      </c>
      <c r="AA150" s="13">
        <f ca="1">IF(Table24[[#This Row],[Start Date]]&gt;TODAY(),1,)</f>
        <v>0</v>
      </c>
    </row>
    <row r="151" spans="1:27" s="65" customFormat="1" ht="16.5" customHeight="1" x14ac:dyDescent="0.25">
      <c r="A151" s="110" t="s">
        <v>270</v>
      </c>
      <c r="B151" s="111" t="s">
        <v>157</v>
      </c>
      <c r="C151" s="113" t="s">
        <v>285</v>
      </c>
      <c r="D151" s="113" t="s">
        <v>286</v>
      </c>
      <c r="E151" s="111" t="s">
        <v>121</v>
      </c>
      <c r="F151" s="126">
        <v>45866</v>
      </c>
      <c r="G151" s="126">
        <v>45870</v>
      </c>
      <c r="H151" s="126"/>
      <c r="I151" s="115"/>
      <c r="J151" s="115">
        <v>0.33333333333333331</v>
      </c>
      <c r="K151" s="115"/>
      <c r="L151" s="115"/>
      <c r="M151" s="115"/>
      <c r="N151" s="115"/>
      <c r="O151" s="111"/>
      <c r="P151" s="111"/>
      <c r="Q151" s="116">
        <v>35</v>
      </c>
      <c r="R151" s="116">
        <v>5</v>
      </c>
      <c r="S151" s="13"/>
      <c r="T151" s="62"/>
      <c r="U151" s="13"/>
      <c r="V151" s="13"/>
      <c r="W151" s="13"/>
      <c r="X151" s="58"/>
      <c r="Y151" s="51">
        <f ca="1">Table24[[#This Row],[End Date]]+2-TODAY()</f>
        <v>-372</v>
      </c>
      <c r="Z151" s="13">
        <f>IF(ISBLANK(Table24[[#This Row],[Roster Received By]]),1,0)</f>
        <v>1</v>
      </c>
      <c r="AA151" s="13">
        <f ca="1">IF(Table24[[#This Row],[Start Date]]&gt;TODAY(),1,)</f>
        <v>0</v>
      </c>
    </row>
    <row r="152" spans="1:27" s="65" customFormat="1" ht="14.25" customHeight="1" x14ac:dyDescent="0.25">
      <c r="A152" s="111" t="s">
        <v>287</v>
      </c>
      <c r="B152" s="111" t="s">
        <v>157</v>
      </c>
      <c r="C152" s="113" t="s">
        <v>285</v>
      </c>
      <c r="D152" s="113" t="s">
        <v>286</v>
      </c>
      <c r="E152" s="111" t="s">
        <v>257</v>
      </c>
      <c r="F152" s="114">
        <v>45789</v>
      </c>
      <c r="G152" s="114">
        <v>45793</v>
      </c>
      <c r="H152" s="114"/>
      <c r="I152" s="115">
        <v>0.33333333333333331</v>
      </c>
      <c r="J152" s="115"/>
      <c r="K152" s="115"/>
      <c r="L152" s="115"/>
      <c r="M152" s="115"/>
      <c r="N152" s="115"/>
      <c r="O152" s="111"/>
      <c r="P152" s="111"/>
      <c r="Q152" s="116">
        <v>35</v>
      </c>
      <c r="R152" s="116">
        <v>5</v>
      </c>
      <c r="S152" s="13"/>
      <c r="T152" s="62"/>
      <c r="U152" s="13"/>
      <c r="V152" s="13"/>
      <c r="W152" s="13"/>
      <c r="X152" s="58"/>
      <c r="Y152" s="51">
        <f ca="1">Table24[[#This Row],[End Date]]+2-TODAY()</f>
        <v>-449</v>
      </c>
      <c r="Z152" s="13">
        <f>IF(ISBLANK(Table24[[#This Row],[Roster Received By]]),1,0)</f>
        <v>1</v>
      </c>
      <c r="AA152" s="13">
        <f ca="1">IF(Table24[[#This Row],[Start Date]]&gt;TODAY(),1,)</f>
        <v>0</v>
      </c>
    </row>
    <row r="153" spans="1:27" s="65" customFormat="1" ht="14.25" customHeight="1" x14ac:dyDescent="0.25">
      <c r="A153" s="46"/>
      <c r="B153" s="58" t="s">
        <v>157</v>
      </c>
      <c r="C153" s="59" t="s">
        <v>285</v>
      </c>
      <c r="D153" s="59" t="s">
        <v>286</v>
      </c>
      <c r="E153" s="58" t="s">
        <v>279</v>
      </c>
      <c r="F153" s="49">
        <v>45733</v>
      </c>
      <c r="G153" s="49">
        <v>45737</v>
      </c>
      <c r="H153" s="64"/>
      <c r="I153" s="60">
        <v>0.33333333333333331</v>
      </c>
      <c r="J153" s="61"/>
      <c r="K153" s="61"/>
      <c r="L153" s="61"/>
      <c r="M153" s="61"/>
      <c r="N153" s="61"/>
      <c r="O153" s="58"/>
      <c r="P153" s="58"/>
      <c r="Q153" s="13">
        <v>35</v>
      </c>
      <c r="R153" s="13">
        <v>5</v>
      </c>
      <c r="S153" s="13"/>
      <c r="T153" s="62"/>
      <c r="U153" s="13"/>
      <c r="V153" s="13"/>
      <c r="W153" s="59"/>
      <c r="X153" s="58"/>
      <c r="Y153" s="68">
        <f ca="1">Table24[[#This Row],[End Date]]+2-TODAY()</f>
        <v>-505</v>
      </c>
      <c r="Z153" s="13">
        <f>IF(ISBLANK(Table24[[#This Row],[Roster Received By]]),1,0)</f>
        <v>1</v>
      </c>
      <c r="AA153" s="59">
        <f ca="1">IF(Table24[[#This Row],[Start Date]]&gt;TODAY(),1,)</f>
        <v>0</v>
      </c>
    </row>
    <row r="154" spans="1:27" s="65" customFormat="1" ht="14.25" customHeight="1" x14ac:dyDescent="0.25">
      <c r="A154" s="46"/>
      <c r="B154" s="58" t="s">
        <v>157</v>
      </c>
      <c r="C154" s="59" t="s">
        <v>285</v>
      </c>
      <c r="D154" s="59" t="s">
        <v>286</v>
      </c>
      <c r="E154" s="95" t="s">
        <v>81</v>
      </c>
      <c r="F154" s="49">
        <v>45810</v>
      </c>
      <c r="G154" s="49">
        <v>45814</v>
      </c>
      <c r="H154" s="61"/>
      <c r="I154" s="60"/>
      <c r="J154" s="60"/>
      <c r="K154" s="60"/>
      <c r="L154" s="60"/>
      <c r="M154" s="60">
        <v>0.33333333333333331</v>
      </c>
      <c r="N154" s="60"/>
      <c r="O154" s="58"/>
      <c r="P154" s="58"/>
      <c r="Q154" s="13">
        <v>35</v>
      </c>
      <c r="R154" s="13">
        <v>5</v>
      </c>
      <c r="S154" s="13"/>
      <c r="T154" s="62"/>
      <c r="U154" s="13"/>
      <c r="V154" s="13"/>
      <c r="W154" s="13"/>
      <c r="X154" s="58"/>
      <c r="Y154" s="51">
        <f ca="1">Table24[[#This Row],[End Date]]+2-TODAY()</f>
        <v>-428</v>
      </c>
      <c r="Z154" s="13">
        <f>IF(ISBLANK(Table24[[#This Row],[Roster Received By]]),1,0)</f>
        <v>1</v>
      </c>
      <c r="AA154" s="13">
        <f ca="1">IF(Table24[[#This Row],[Start Date]]&gt;TODAY(),1,)</f>
        <v>0</v>
      </c>
    </row>
    <row r="155" spans="1:27" s="46" customFormat="1" x14ac:dyDescent="0.25">
      <c r="B155" s="58" t="s">
        <v>288</v>
      </c>
      <c r="C155" s="59" t="s">
        <v>289</v>
      </c>
      <c r="D155" s="59" t="s">
        <v>290</v>
      </c>
      <c r="E155" s="58"/>
      <c r="F155" s="61">
        <v>45621</v>
      </c>
      <c r="G155" s="61">
        <v>45625</v>
      </c>
      <c r="H155" s="64"/>
      <c r="I155" s="125">
        <v>0.33333333333333331</v>
      </c>
      <c r="J155" s="61"/>
      <c r="K155" s="61"/>
      <c r="L155" s="61"/>
      <c r="M155" s="61"/>
      <c r="N155" s="61"/>
      <c r="O155" s="58"/>
      <c r="P155" s="58"/>
      <c r="Q155" s="13">
        <v>30</v>
      </c>
      <c r="R155" s="13">
        <v>4</v>
      </c>
      <c r="S155" s="13"/>
      <c r="T155" s="62"/>
      <c r="U155" s="13"/>
      <c r="V155" s="13"/>
      <c r="W155" s="13"/>
      <c r="X155" s="58"/>
      <c r="Y155" s="51">
        <f ca="1">Table24[[#This Row],[End Date]]+2-TODAY()</f>
        <v>-617</v>
      </c>
      <c r="Z155" s="13">
        <f>IF(ISBLANK(Table24[[#This Row],[Roster Received By]]),1,0)</f>
        <v>1</v>
      </c>
      <c r="AA155" s="13">
        <f ca="1">IF(Table24[[#This Row],[Start Date]]&gt;TODAY(),1,)</f>
        <v>0</v>
      </c>
    </row>
    <row r="156" spans="1:27" s="46" customFormat="1" x14ac:dyDescent="0.25">
      <c r="A156" s="58"/>
      <c r="B156" s="58" t="s">
        <v>288</v>
      </c>
      <c r="C156" s="59" t="s">
        <v>289</v>
      </c>
      <c r="D156" s="59" t="s">
        <v>290</v>
      </c>
      <c r="E156" s="58"/>
      <c r="F156" s="61">
        <v>45670</v>
      </c>
      <c r="G156" s="61">
        <v>45673</v>
      </c>
      <c r="H156" s="64"/>
      <c r="I156" s="64"/>
      <c r="J156" s="125">
        <v>0.33333333333333331</v>
      </c>
      <c r="K156" s="61"/>
      <c r="L156" s="61"/>
      <c r="M156" s="61"/>
      <c r="N156" s="61"/>
      <c r="O156" s="58"/>
      <c r="P156" s="58"/>
      <c r="Q156" s="13">
        <v>30</v>
      </c>
      <c r="R156" s="13">
        <v>4</v>
      </c>
      <c r="S156" s="13"/>
      <c r="T156" s="62"/>
      <c r="U156" s="13"/>
      <c r="V156" s="13"/>
      <c r="W156" s="13"/>
      <c r="X156" s="58"/>
      <c r="Y156" s="51">
        <f ca="1">Table24[[#This Row],[End Date]]+2-TODAY()</f>
        <v>-569</v>
      </c>
      <c r="Z156" s="13">
        <f>IF(ISBLANK(Table24[[#This Row],[Roster Received By]]),1,0)</f>
        <v>1</v>
      </c>
      <c r="AA156" s="13">
        <f ca="1">IF(Table24[[#This Row],[Start Date]]&gt;TODAY(),1,)</f>
        <v>0</v>
      </c>
    </row>
    <row r="157" spans="1:27" s="46" customFormat="1" x14ac:dyDescent="0.25">
      <c r="B157" s="58" t="s">
        <v>288</v>
      </c>
      <c r="C157" s="59" t="s">
        <v>289</v>
      </c>
      <c r="D157" s="59" t="s">
        <v>290</v>
      </c>
      <c r="E157" s="58"/>
      <c r="F157" s="61">
        <v>45698</v>
      </c>
      <c r="G157" s="61">
        <v>45701</v>
      </c>
      <c r="H157" s="61"/>
      <c r="I157" s="60"/>
      <c r="J157" s="60"/>
      <c r="K157" s="60"/>
      <c r="L157" s="125">
        <v>0.33333333333333331</v>
      </c>
      <c r="M157" s="60"/>
      <c r="N157" s="60"/>
      <c r="O157" s="58"/>
      <c r="P157" s="58"/>
      <c r="Q157" s="13">
        <v>30</v>
      </c>
      <c r="R157" s="13">
        <v>4</v>
      </c>
      <c r="S157" s="13"/>
      <c r="T157" s="62"/>
      <c r="U157" s="13"/>
      <c r="V157" s="13"/>
      <c r="W157" s="13"/>
      <c r="X157" s="58"/>
      <c r="Y157" s="51">
        <f ca="1">Table24[[#This Row],[End Date]]+2-TODAY()</f>
        <v>-541</v>
      </c>
      <c r="Z157" s="13">
        <f>IF(ISBLANK(Table24[[#This Row],[Roster Received By]]),1,0)</f>
        <v>1</v>
      </c>
      <c r="AA157" s="13">
        <f ca="1">IF(Table24[[#This Row],[Start Date]]&gt;TODAY(),1,)</f>
        <v>0</v>
      </c>
    </row>
    <row r="158" spans="1:27" s="46" customFormat="1" x14ac:dyDescent="0.25">
      <c r="B158" s="58" t="s">
        <v>288</v>
      </c>
      <c r="C158" s="59" t="s">
        <v>289</v>
      </c>
      <c r="D158" s="59" t="s">
        <v>290</v>
      </c>
      <c r="E158" s="58"/>
      <c r="F158" s="61">
        <v>45733</v>
      </c>
      <c r="G158" s="61">
        <v>45736</v>
      </c>
      <c r="H158" s="61"/>
      <c r="I158" s="60"/>
      <c r="J158" s="60"/>
      <c r="K158" s="60"/>
      <c r="L158" s="60"/>
      <c r="M158" s="125">
        <v>0.33333333333333331</v>
      </c>
      <c r="N158" s="60"/>
      <c r="O158" s="58"/>
      <c r="P158" s="58"/>
      <c r="Q158" s="13">
        <v>30</v>
      </c>
      <c r="R158" s="13">
        <v>4</v>
      </c>
      <c r="S158" s="13"/>
      <c r="T158" s="62"/>
      <c r="U158" s="13"/>
      <c r="V158" s="13"/>
      <c r="W158" s="13"/>
      <c r="X158" s="58"/>
      <c r="Y158" s="51">
        <f ca="1">Table24[[#This Row],[End Date]]+2-TODAY()</f>
        <v>-506</v>
      </c>
      <c r="Z158" s="13">
        <f>IF(ISBLANK(Table24[[#This Row],[Roster Received By]]),1,0)</f>
        <v>1</v>
      </c>
      <c r="AA158" s="13">
        <f ca="1">IF(Table24[[#This Row],[Start Date]]&gt;TODAY(),1,)</f>
        <v>0</v>
      </c>
    </row>
    <row r="159" spans="1:27" s="46" customFormat="1" x14ac:dyDescent="0.25">
      <c r="A159" s="47"/>
      <c r="B159" s="58" t="s">
        <v>288</v>
      </c>
      <c r="C159" s="59" t="s">
        <v>289</v>
      </c>
      <c r="D159" s="59" t="s">
        <v>290</v>
      </c>
      <c r="E159" s="58"/>
      <c r="F159" s="61">
        <v>45754</v>
      </c>
      <c r="G159" s="61">
        <v>45757</v>
      </c>
      <c r="H159" s="64"/>
      <c r="I159" s="64"/>
      <c r="J159" s="61"/>
      <c r="K159" s="61"/>
      <c r="L159" s="61"/>
      <c r="M159" s="61"/>
      <c r="N159" s="125">
        <v>0.33333333333333331</v>
      </c>
      <c r="O159" s="58"/>
      <c r="P159" s="58"/>
      <c r="Q159" s="13">
        <v>30</v>
      </c>
      <c r="R159" s="13">
        <v>4</v>
      </c>
      <c r="S159" s="62"/>
      <c r="T159" s="62"/>
      <c r="U159" s="13"/>
      <c r="V159" s="13"/>
      <c r="W159" s="59"/>
      <c r="X159" s="58"/>
      <c r="Y159" s="68">
        <f ca="1">Table24[[#This Row],[End Date]]+2-TODAY()</f>
        <v>-485</v>
      </c>
      <c r="Z159" s="13">
        <f>IF(ISBLANK(Table24[[#This Row],[Roster Received By]]),1,0)</f>
        <v>1</v>
      </c>
      <c r="AA159" s="59">
        <f ca="1">IF(Table24[[#This Row],[Start Date]]&gt;TODAY(),1,)</f>
        <v>0</v>
      </c>
    </row>
    <row r="160" spans="1:27" s="46" customFormat="1" x14ac:dyDescent="0.25">
      <c r="A160" s="59"/>
      <c r="B160" s="58" t="s">
        <v>288</v>
      </c>
      <c r="C160" s="59" t="s">
        <v>289</v>
      </c>
      <c r="D160" s="59" t="s">
        <v>290</v>
      </c>
      <c r="E160" s="58"/>
      <c r="F160" s="61">
        <v>45796</v>
      </c>
      <c r="G160" s="61">
        <v>45799</v>
      </c>
      <c r="H160" s="67"/>
      <c r="I160" s="125">
        <v>0.33333333333333331</v>
      </c>
      <c r="J160" s="61"/>
      <c r="K160" s="61"/>
      <c r="L160" s="61"/>
      <c r="M160" s="61"/>
      <c r="N160" s="61"/>
      <c r="O160" s="58"/>
      <c r="P160" s="58"/>
      <c r="Q160" s="13">
        <v>30</v>
      </c>
      <c r="R160" s="13">
        <v>4</v>
      </c>
      <c r="S160" s="66"/>
      <c r="T160" s="62"/>
      <c r="U160" s="13"/>
      <c r="V160" s="13"/>
      <c r="W160" s="13"/>
      <c r="X160" s="58"/>
      <c r="Y160" s="51">
        <f ca="1">Table24[[#This Row],[End Date]]+2-TODAY()</f>
        <v>-443</v>
      </c>
      <c r="Z160" s="13">
        <f>IF(ISBLANK(Table24[[#This Row],[Roster Received By]]),1,0)</f>
        <v>1</v>
      </c>
      <c r="AA160" s="13">
        <f ca="1">IF(Table24[[#This Row],[Start Date]]&gt;TODAY(),1,)</f>
        <v>0</v>
      </c>
    </row>
    <row r="161" spans="1:27" s="46" customFormat="1" ht="15" customHeight="1" x14ac:dyDescent="0.25">
      <c r="B161" s="58" t="s">
        <v>288</v>
      </c>
      <c r="C161" s="59" t="s">
        <v>289</v>
      </c>
      <c r="D161" s="59" t="s">
        <v>290</v>
      </c>
      <c r="E161" s="58"/>
      <c r="F161" s="61">
        <v>45810</v>
      </c>
      <c r="G161" s="61">
        <v>45813</v>
      </c>
      <c r="H161" s="67"/>
      <c r="I161" s="67"/>
      <c r="J161" s="125">
        <v>0.33333333333333331</v>
      </c>
      <c r="K161" s="61"/>
      <c r="L161" s="61"/>
      <c r="M161" s="61"/>
      <c r="N161" s="61"/>
      <c r="O161" s="58"/>
      <c r="P161" s="58"/>
      <c r="Q161" s="13">
        <v>30</v>
      </c>
      <c r="R161" s="13">
        <v>4</v>
      </c>
      <c r="S161" s="13"/>
      <c r="T161" s="62"/>
      <c r="U161" s="13"/>
      <c r="V161" s="13"/>
      <c r="W161" s="13"/>
      <c r="X161" s="58"/>
      <c r="Y161" s="51">
        <f ca="1">Table24[[#This Row],[End Date]]+2-TODAY()</f>
        <v>-429</v>
      </c>
      <c r="Z161" s="13">
        <f>IF(ISBLANK(Table24[[#This Row],[Roster Received By]]),1,0)</f>
        <v>1</v>
      </c>
      <c r="AA161" s="13">
        <f ca="1">IF(Table24[[#This Row],[Start Date]]&gt;TODAY(),1,)</f>
        <v>0</v>
      </c>
    </row>
    <row r="162" spans="1:27" s="46" customFormat="1" x14ac:dyDescent="0.25">
      <c r="B162" s="58" t="s">
        <v>288</v>
      </c>
      <c r="C162" s="59" t="s">
        <v>289</v>
      </c>
      <c r="D162" s="59" t="s">
        <v>290</v>
      </c>
      <c r="E162" s="58"/>
      <c r="F162" s="61">
        <v>45859</v>
      </c>
      <c r="G162" s="61">
        <v>45862</v>
      </c>
      <c r="H162" s="64"/>
      <c r="I162" s="64"/>
      <c r="J162" s="61"/>
      <c r="K162" s="61"/>
      <c r="L162" s="61"/>
      <c r="M162" s="125">
        <v>0.33333333333333331</v>
      </c>
      <c r="N162" s="61"/>
      <c r="O162" s="58"/>
      <c r="P162" s="58"/>
      <c r="Q162" s="13">
        <v>30</v>
      </c>
      <c r="R162" s="13">
        <v>4</v>
      </c>
      <c r="S162" s="13"/>
      <c r="T162" s="62"/>
      <c r="U162" s="13"/>
      <c r="V162" s="13"/>
      <c r="W162" s="13"/>
      <c r="X162" s="58"/>
      <c r="Y162" s="51">
        <f ca="1">Table24[[#This Row],[End Date]]+2-TODAY()</f>
        <v>-380</v>
      </c>
      <c r="Z162" s="13">
        <f>IF(ISBLANK(Table24[[#This Row],[Roster Received By]]),1,0)</f>
        <v>1</v>
      </c>
      <c r="AA162" s="13">
        <f ca="1">IF(Table24[[#This Row],[Start Date]]&gt;TODAY(),1,)</f>
        <v>0</v>
      </c>
    </row>
    <row r="163" spans="1:27" s="46" customFormat="1" x14ac:dyDescent="0.25">
      <c r="B163" s="58" t="s">
        <v>288</v>
      </c>
      <c r="C163" s="59" t="s">
        <v>289</v>
      </c>
      <c r="D163" s="59" t="s">
        <v>290</v>
      </c>
      <c r="E163" s="58"/>
      <c r="F163" s="61">
        <v>45887</v>
      </c>
      <c r="G163" s="61">
        <v>45890</v>
      </c>
      <c r="H163" s="64"/>
      <c r="I163" s="125">
        <v>0.33333333333333331</v>
      </c>
      <c r="J163" s="61"/>
      <c r="K163" s="61"/>
      <c r="L163" s="61"/>
      <c r="M163" s="61"/>
      <c r="N163" s="61"/>
      <c r="O163" s="58"/>
      <c r="P163" s="58"/>
      <c r="Q163" s="13">
        <v>30</v>
      </c>
      <c r="R163" s="13">
        <v>4</v>
      </c>
      <c r="S163" s="62"/>
      <c r="T163" s="62"/>
      <c r="U163" s="13"/>
      <c r="V163" s="13"/>
      <c r="W163" s="13"/>
      <c r="X163" s="58"/>
      <c r="Y163" s="51">
        <f ca="1">Table24[[#This Row],[End Date]]+2-TODAY()</f>
        <v>-352</v>
      </c>
      <c r="Z163" s="13">
        <f>IF(ISBLANK(Table24[[#This Row],[Roster Received By]]),1,0)</f>
        <v>1</v>
      </c>
      <c r="AA163" s="13">
        <f ca="1">IF(Table24[[#This Row],[Start Date]]&gt;TODAY(),1,)</f>
        <v>0</v>
      </c>
    </row>
    <row r="164" spans="1:27" s="46" customFormat="1" x14ac:dyDescent="0.25">
      <c r="B164" s="58" t="s">
        <v>288</v>
      </c>
      <c r="C164" s="59" t="s">
        <v>289</v>
      </c>
      <c r="D164" s="59" t="s">
        <v>290</v>
      </c>
      <c r="E164" s="58"/>
      <c r="F164" s="61">
        <v>45915</v>
      </c>
      <c r="G164" s="61">
        <v>45918</v>
      </c>
      <c r="H164" s="64"/>
      <c r="I164" s="64"/>
      <c r="J164" s="61"/>
      <c r="K164" s="61"/>
      <c r="L164" s="125">
        <v>0.33333333333333331</v>
      </c>
      <c r="M164" s="61"/>
      <c r="N164" s="61"/>
      <c r="O164" s="58"/>
      <c r="P164" s="58"/>
      <c r="Q164" s="13">
        <v>30</v>
      </c>
      <c r="R164" s="13">
        <v>4</v>
      </c>
      <c r="S164" s="13"/>
      <c r="T164" s="62"/>
      <c r="U164" s="13"/>
      <c r="V164" s="13"/>
      <c r="W164" s="13"/>
      <c r="X164" s="58"/>
      <c r="Y164" s="51">
        <f ca="1">Table24[[#This Row],[End Date]]+2-TODAY()</f>
        <v>-324</v>
      </c>
      <c r="Z164" s="13">
        <f>IF(ISBLANK(Table24[[#This Row],[Roster Received By]]),1,0)</f>
        <v>1</v>
      </c>
      <c r="AA164" s="13">
        <f ca="1">IF(Table24[[#This Row],[Start Date]]&gt;TODAY(),1,)</f>
        <v>0</v>
      </c>
    </row>
    <row r="165" spans="1:27" s="46" customFormat="1" x14ac:dyDescent="0.25">
      <c r="B165" s="58"/>
      <c r="C165" s="59"/>
      <c r="D165" s="59"/>
      <c r="E165" s="100"/>
      <c r="F165" s="61"/>
      <c r="G165" s="61"/>
      <c r="H165" s="64"/>
      <c r="I165" s="60"/>
      <c r="J165" s="60"/>
      <c r="K165" s="60"/>
      <c r="L165" s="60"/>
      <c r="M165" s="60"/>
      <c r="N165" s="60"/>
      <c r="O165" s="58"/>
      <c r="P165" s="58"/>
      <c r="Q165" s="13" t="e">
        <v>#N/A</v>
      </c>
      <c r="R165" s="13" t="e">
        <v>#N/A</v>
      </c>
      <c r="S165" s="13"/>
      <c r="T165" s="62"/>
      <c r="U165" s="13"/>
      <c r="V165" s="13"/>
      <c r="W165" s="13"/>
      <c r="X165" s="58"/>
      <c r="Y165" s="51">
        <f ca="1">Table24[[#This Row],[End Date]]+2-TODAY()</f>
        <v>-46242</v>
      </c>
      <c r="Z165" s="13">
        <f>IF(ISBLANK(Table24[[#This Row],[Roster Received By]]),1,0)</f>
        <v>1</v>
      </c>
      <c r="AA165" s="13">
        <f ca="1">IF(Table24[[#This Row],[Start Date]]&gt;TODAY(),1,)</f>
        <v>0</v>
      </c>
    </row>
    <row r="166" spans="1:27" s="46" customFormat="1" x14ac:dyDescent="0.25">
      <c r="A166" s="58"/>
      <c r="B166" s="58"/>
      <c r="C166" s="59"/>
      <c r="D166" s="59"/>
      <c r="E166" s="47"/>
      <c r="F166" s="49"/>
      <c r="G166" s="49"/>
      <c r="H166" s="64"/>
      <c r="I166" s="64"/>
      <c r="J166" s="61"/>
      <c r="K166" s="61"/>
      <c r="L166" s="61"/>
      <c r="M166" s="61"/>
      <c r="N166" s="61"/>
      <c r="O166" s="58"/>
      <c r="P166" s="58"/>
      <c r="Q166" s="13" t="e">
        <v>#N/A</v>
      </c>
      <c r="R166" s="13" t="e">
        <v>#N/A</v>
      </c>
      <c r="S166" s="13"/>
      <c r="T166" s="62"/>
      <c r="U166" s="13"/>
      <c r="V166" s="13"/>
      <c r="W166" s="13"/>
      <c r="X166" s="58"/>
      <c r="Y166" s="51">
        <f ca="1">Table24[[#This Row],[End Date]]+2-TODAY()</f>
        <v>-46242</v>
      </c>
      <c r="Z166" s="13">
        <f>IF(ISBLANK(Table24[[#This Row],[Roster Received By]]),1,0)</f>
        <v>1</v>
      </c>
      <c r="AA166" s="13">
        <f ca="1">IF(Table24[[#This Row],[Start Date]]&gt;TODAY(),1,)</f>
        <v>0</v>
      </c>
    </row>
    <row r="167" spans="1:27" s="46" customFormat="1" x14ac:dyDescent="0.25">
      <c r="B167" s="58"/>
      <c r="C167" s="59"/>
      <c r="D167" s="59"/>
      <c r="E167" s="58"/>
      <c r="F167" s="61"/>
      <c r="G167" s="61"/>
      <c r="H167" s="61"/>
      <c r="I167" s="60"/>
      <c r="J167" s="60"/>
      <c r="K167" s="60"/>
      <c r="L167" s="60"/>
      <c r="M167" s="60"/>
      <c r="N167" s="60"/>
      <c r="O167" s="58"/>
      <c r="P167" s="58"/>
      <c r="Q167" s="13" t="e">
        <v>#N/A</v>
      </c>
      <c r="R167" s="13" t="e">
        <v>#N/A</v>
      </c>
      <c r="S167" s="13"/>
      <c r="T167" s="62"/>
      <c r="U167" s="13"/>
      <c r="V167" s="13"/>
      <c r="W167" s="13"/>
      <c r="X167" s="58"/>
      <c r="Y167" s="51">
        <f ca="1">Table24[[#This Row],[End Date]]+2-TODAY()</f>
        <v>-46242</v>
      </c>
      <c r="Z167" s="13">
        <f>IF(ISBLANK(Table24[[#This Row],[Roster Received By]]),1,0)</f>
        <v>1</v>
      </c>
      <c r="AA167" s="13">
        <f ca="1">IF(Table24[[#This Row],[Start Date]]&gt;TODAY(),1,)</f>
        <v>0</v>
      </c>
    </row>
    <row r="168" spans="1:27" s="46" customFormat="1" x14ac:dyDescent="0.25">
      <c r="B168" s="58"/>
      <c r="C168" s="59"/>
      <c r="D168" s="59"/>
      <c r="E168" s="58"/>
      <c r="F168" s="61"/>
      <c r="G168" s="61"/>
      <c r="H168" s="61"/>
      <c r="I168" s="60"/>
      <c r="J168" s="60"/>
      <c r="K168" s="60"/>
      <c r="L168" s="60"/>
      <c r="M168" s="60"/>
      <c r="N168" s="60"/>
      <c r="O168" s="58"/>
      <c r="P168" s="58"/>
      <c r="Q168" s="13" t="e">
        <v>#N/A</v>
      </c>
      <c r="R168" s="13" t="e">
        <v>#N/A</v>
      </c>
      <c r="S168" s="13"/>
      <c r="T168" s="62"/>
      <c r="U168" s="13"/>
      <c r="V168" s="13"/>
      <c r="W168" s="59"/>
      <c r="X168" s="58"/>
      <c r="Y168" s="51">
        <f ca="1">Table24[[#This Row],[End Date]]+2-TODAY()</f>
        <v>-46242</v>
      </c>
      <c r="Z168" s="13">
        <f>IF(ISBLANK(Table24[[#This Row],[Roster Received By]]),1,0)</f>
        <v>1</v>
      </c>
      <c r="AA168" s="13">
        <f ca="1">IF(Table24[[#This Row],[Start Date]]&gt;TODAY(),1,)</f>
        <v>0</v>
      </c>
    </row>
    <row r="169" spans="1:27" s="46" customFormat="1" x14ac:dyDescent="0.25">
      <c r="B169" s="58"/>
      <c r="C169" s="59"/>
      <c r="D169" s="59"/>
      <c r="E169" s="58"/>
      <c r="F169" s="69"/>
      <c r="G169" s="69"/>
      <c r="H169" s="64"/>
      <c r="I169" s="60"/>
      <c r="J169" s="60"/>
      <c r="K169" s="60"/>
      <c r="L169" s="60"/>
      <c r="M169" s="60"/>
      <c r="N169" s="60"/>
      <c r="O169" s="58"/>
      <c r="P169" s="58"/>
      <c r="Q169" s="13" t="e">
        <v>#N/A</v>
      </c>
      <c r="R169" s="13" t="e">
        <v>#N/A</v>
      </c>
      <c r="S169" s="62"/>
      <c r="T169" s="62"/>
      <c r="U169" s="13"/>
      <c r="V169" s="13"/>
      <c r="W169" s="59"/>
      <c r="X169" s="58"/>
      <c r="Y169" s="51">
        <f ca="1">Table24[[#This Row],[End Date]]+2-TODAY()</f>
        <v>-46242</v>
      </c>
      <c r="Z169" s="13">
        <f>IF(ISBLANK(Table24[[#This Row],[Roster Received By]]),1,0)</f>
        <v>1</v>
      </c>
      <c r="AA169" s="13">
        <f ca="1">IF(Table24[[#This Row],[Start Date]]&gt;TODAY(),1,)</f>
        <v>0</v>
      </c>
    </row>
    <row r="170" spans="1:27" s="46" customFormat="1" x14ac:dyDescent="0.25">
      <c r="B170" s="58"/>
      <c r="C170" s="59"/>
      <c r="D170" s="59"/>
      <c r="E170" s="83"/>
      <c r="F170" s="57"/>
      <c r="G170" s="57"/>
      <c r="H170" s="60"/>
      <c r="I170" s="60"/>
      <c r="J170" s="60"/>
      <c r="K170" s="60"/>
      <c r="L170" s="60"/>
      <c r="M170" s="60"/>
      <c r="N170" s="60"/>
      <c r="O170" s="58"/>
      <c r="P170" s="58"/>
      <c r="Q170" s="13" t="e">
        <v>#N/A</v>
      </c>
      <c r="R170" s="13" t="e">
        <v>#N/A</v>
      </c>
      <c r="S170" s="13"/>
      <c r="T170" s="62"/>
      <c r="U170" s="13"/>
      <c r="V170" s="13"/>
      <c r="W170" s="13"/>
      <c r="X170" s="58"/>
      <c r="Y170" s="51">
        <f ca="1">Table24[[#This Row],[End Date]]+2-TODAY()</f>
        <v>-46242</v>
      </c>
      <c r="Z170" s="13">
        <f>IF(ISBLANK(Table24[[#This Row],[Roster Received By]]),1,0)</f>
        <v>1</v>
      </c>
      <c r="AA170" s="13">
        <f ca="1">IF(Table24[[#This Row],[Start Date]]&gt;TODAY(),1,)</f>
        <v>0</v>
      </c>
    </row>
    <row r="171" spans="1:27" s="46" customFormat="1" x14ac:dyDescent="0.25">
      <c r="B171" s="58"/>
      <c r="C171" s="59"/>
      <c r="D171" s="59"/>
      <c r="E171"/>
      <c r="F171" s="69"/>
      <c r="G171" s="69"/>
      <c r="H171" s="64"/>
      <c r="I171" s="64"/>
      <c r="J171" s="61"/>
      <c r="K171" s="61"/>
      <c r="L171" s="61"/>
      <c r="M171" s="61"/>
      <c r="N171" s="61"/>
      <c r="O171" s="58"/>
      <c r="P171" s="58"/>
      <c r="Q171" s="13" t="e">
        <v>#N/A</v>
      </c>
      <c r="R171" s="13" t="e">
        <v>#N/A</v>
      </c>
      <c r="S171" s="13"/>
      <c r="T171" s="62"/>
      <c r="U171" s="13"/>
      <c r="V171" s="13"/>
      <c r="W171" s="13"/>
      <c r="X171" s="58"/>
      <c r="Y171" s="51">
        <f ca="1">Table24[[#This Row],[End Date]]+2-TODAY()</f>
        <v>-46242</v>
      </c>
      <c r="Z171" s="13">
        <f>IF(ISBLANK(Table24[[#This Row],[Roster Received By]]),1,0)</f>
        <v>1</v>
      </c>
      <c r="AA171" s="13">
        <f ca="1">IF(Table24[[#This Row],[Start Date]]&gt;TODAY(),1,)</f>
        <v>0</v>
      </c>
    </row>
    <row r="172" spans="1:27" s="46" customFormat="1" x14ac:dyDescent="0.25">
      <c r="B172" s="58"/>
      <c r="C172" s="59"/>
      <c r="D172" s="59"/>
      <c r="E172" s="58"/>
      <c r="F172" s="69"/>
      <c r="G172" s="69"/>
      <c r="H172" s="61"/>
      <c r="I172" s="60"/>
      <c r="J172" s="60"/>
      <c r="K172" s="60"/>
      <c r="L172" s="60"/>
      <c r="M172" s="60"/>
      <c r="N172" s="60"/>
      <c r="O172" s="58"/>
      <c r="P172" s="58"/>
      <c r="Q172" s="13" t="e">
        <v>#N/A</v>
      </c>
      <c r="R172" s="13" t="e">
        <v>#N/A</v>
      </c>
      <c r="S172" s="13"/>
      <c r="T172" s="62"/>
      <c r="U172" s="13"/>
      <c r="V172" s="13"/>
      <c r="W172" s="13"/>
      <c r="X172" s="58"/>
      <c r="Y172" s="51">
        <f ca="1">Table24[[#This Row],[End Date]]+2-TODAY()</f>
        <v>-46242</v>
      </c>
      <c r="Z172" s="13">
        <f>IF(ISBLANK(Table24[[#This Row],[Roster Received By]]),1,0)</f>
        <v>1</v>
      </c>
      <c r="AA172" s="13">
        <f ca="1">IF(Table24[[#This Row],[Start Date]]&gt;TODAY(),1,)</f>
        <v>0</v>
      </c>
    </row>
    <row r="173" spans="1:27" s="46" customFormat="1" x14ac:dyDescent="0.25">
      <c r="B173" s="58"/>
      <c r="C173" s="59"/>
      <c r="D173" s="59"/>
      <c r="E173" s="58"/>
      <c r="F173" s="61"/>
      <c r="G173" s="61"/>
      <c r="H173" s="61"/>
      <c r="I173" s="60"/>
      <c r="J173" s="60"/>
      <c r="K173" s="60"/>
      <c r="L173" s="60"/>
      <c r="M173" s="60"/>
      <c r="N173" s="60"/>
      <c r="O173" s="58"/>
      <c r="P173" s="58"/>
      <c r="Q173" s="13" t="e">
        <v>#N/A</v>
      </c>
      <c r="R173" s="13" t="e">
        <v>#N/A</v>
      </c>
      <c r="S173" s="13"/>
      <c r="T173" s="62"/>
      <c r="U173" s="13"/>
      <c r="V173" s="13"/>
      <c r="W173" s="13"/>
      <c r="X173" s="58"/>
      <c r="Y173" s="51">
        <f ca="1">Table24[[#This Row],[End Date]]+2-TODAY()</f>
        <v>-46242</v>
      </c>
      <c r="Z173" s="13">
        <f>IF(ISBLANK(Table24[[#This Row],[Roster Received By]]),1,0)</f>
        <v>1</v>
      </c>
      <c r="AA173" s="13">
        <f ca="1">IF(Table24[[#This Row],[Start Date]]&gt;TODAY(),1,)</f>
        <v>0</v>
      </c>
    </row>
    <row r="174" spans="1:27" s="46" customFormat="1" x14ac:dyDescent="0.25">
      <c r="B174" s="58"/>
      <c r="C174" s="59"/>
      <c r="D174" s="59"/>
      <c r="E174" s="58"/>
      <c r="F174" s="69"/>
      <c r="G174" s="69"/>
      <c r="H174" s="61"/>
      <c r="I174" s="60"/>
      <c r="J174" s="60"/>
      <c r="K174" s="60"/>
      <c r="L174" s="60"/>
      <c r="M174" s="60"/>
      <c r="N174" s="60"/>
      <c r="O174" s="58"/>
      <c r="P174" s="58"/>
      <c r="Q174" s="13" t="e">
        <v>#N/A</v>
      </c>
      <c r="R174" s="13" t="e">
        <v>#N/A</v>
      </c>
      <c r="S174" s="13"/>
      <c r="T174" s="62"/>
      <c r="U174" s="13"/>
      <c r="V174" s="13"/>
      <c r="W174" s="13"/>
      <c r="X174" s="58"/>
      <c r="Y174" s="51">
        <f ca="1">Table24[[#This Row],[End Date]]+2-TODAY()</f>
        <v>-46242</v>
      </c>
      <c r="Z174" s="13">
        <f>IF(ISBLANK(Table24[[#This Row],[Roster Received By]]),1,0)</f>
        <v>1</v>
      </c>
      <c r="AA174" s="13">
        <f ca="1">IF(Table24[[#This Row],[Start Date]]&gt;TODAY(),1,)</f>
        <v>0</v>
      </c>
    </row>
    <row r="175" spans="1:27" s="46" customFormat="1" x14ac:dyDescent="0.25">
      <c r="B175" s="58"/>
      <c r="C175" s="59"/>
      <c r="D175" s="59"/>
      <c r="E175" s="58"/>
      <c r="F175" s="69"/>
      <c r="G175" s="69"/>
      <c r="H175" s="61"/>
      <c r="I175" s="60"/>
      <c r="J175" s="60"/>
      <c r="K175" s="60"/>
      <c r="L175" s="60"/>
      <c r="M175" s="60"/>
      <c r="N175" s="60"/>
      <c r="O175" s="58"/>
      <c r="P175" s="58"/>
      <c r="Q175" s="13" t="e">
        <v>#N/A</v>
      </c>
      <c r="R175" s="13" t="e">
        <v>#N/A</v>
      </c>
      <c r="S175" s="13"/>
      <c r="T175" s="62"/>
      <c r="U175" s="13"/>
      <c r="V175" s="13"/>
      <c r="W175" s="13"/>
      <c r="X175" s="58"/>
      <c r="Y175" s="51">
        <f ca="1">Table24[[#This Row],[End Date]]+2-TODAY()</f>
        <v>-46242</v>
      </c>
      <c r="Z175" s="13">
        <f>IF(ISBLANK(Table24[[#This Row],[Roster Received By]]),1,0)</f>
        <v>1</v>
      </c>
      <c r="AA175" s="13">
        <f ca="1">IF(Table24[[#This Row],[Start Date]]&gt;TODAY(),1,)</f>
        <v>0</v>
      </c>
    </row>
    <row r="176" spans="1:27" s="46" customFormat="1" x14ac:dyDescent="0.25">
      <c r="B176" s="58"/>
      <c r="C176" s="59"/>
      <c r="D176" s="59"/>
      <c r="E176" s="58"/>
      <c r="F176" s="69"/>
      <c r="G176" s="69"/>
      <c r="H176" s="61"/>
      <c r="I176" s="60"/>
      <c r="J176" s="60"/>
      <c r="K176" s="60"/>
      <c r="L176" s="60"/>
      <c r="M176" s="60"/>
      <c r="N176" s="60"/>
      <c r="O176" s="58"/>
      <c r="P176" s="58"/>
      <c r="Q176" s="13" t="e">
        <v>#N/A</v>
      </c>
      <c r="R176" s="13" t="e">
        <v>#N/A</v>
      </c>
      <c r="S176" s="13"/>
      <c r="T176" s="62"/>
      <c r="U176" s="13"/>
      <c r="V176" s="13"/>
      <c r="W176" s="13"/>
      <c r="X176" s="58"/>
      <c r="Y176" s="51">
        <f ca="1">Table24[[#This Row],[End Date]]+2-TODAY()</f>
        <v>-46242</v>
      </c>
      <c r="Z176" s="13">
        <f>IF(ISBLANK(Table24[[#This Row],[Roster Received By]]),1,0)</f>
        <v>1</v>
      </c>
      <c r="AA176" s="13">
        <f ca="1">IF(Table24[[#This Row],[Start Date]]&gt;TODAY(),1,)</f>
        <v>0</v>
      </c>
    </row>
    <row r="177" spans="1:27" s="46" customFormat="1" x14ac:dyDescent="0.25">
      <c r="B177" s="58"/>
      <c r="C177" s="59"/>
      <c r="D177" s="59"/>
      <c r="E177" s="58"/>
      <c r="F177" s="69"/>
      <c r="G177" s="69"/>
      <c r="H177" s="61"/>
      <c r="I177" s="60"/>
      <c r="J177" s="60"/>
      <c r="K177" s="60"/>
      <c r="L177" s="60"/>
      <c r="M177" s="60"/>
      <c r="N177" s="60"/>
      <c r="O177" s="58"/>
      <c r="P177" s="58"/>
      <c r="Q177" s="13" t="e">
        <v>#N/A</v>
      </c>
      <c r="R177" s="13" t="e">
        <v>#N/A</v>
      </c>
      <c r="S177" s="13"/>
      <c r="T177" s="62"/>
      <c r="U177" s="13"/>
      <c r="V177" s="13"/>
      <c r="W177" s="59"/>
      <c r="X177" s="58"/>
      <c r="Y177" s="51">
        <f ca="1">Table24[[#This Row],[End Date]]+2-TODAY()</f>
        <v>-46242</v>
      </c>
      <c r="Z177" s="13">
        <f>IF(ISBLANK(Table24[[#This Row],[Roster Received By]]),1,0)</f>
        <v>1</v>
      </c>
      <c r="AA177" s="13">
        <f ca="1">IF(Table24[[#This Row],[Start Date]]&gt;TODAY(),1,)</f>
        <v>0</v>
      </c>
    </row>
    <row r="178" spans="1:27" s="46" customFormat="1" x14ac:dyDescent="0.25">
      <c r="B178" s="58"/>
      <c r="C178" s="59"/>
      <c r="D178" s="59"/>
      <c r="E178" s="58"/>
      <c r="F178" s="69"/>
      <c r="G178" s="69"/>
      <c r="H178" s="61"/>
      <c r="I178" s="60"/>
      <c r="J178" s="60"/>
      <c r="K178" s="60"/>
      <c r="L178" s="60"/>
      <c r="M178" s="60"/>
      <c r="N178" s="60"/>
      <c r="O178" s="58"/>
      <c r="P178" s="58"/>
      <c r="Q178" s="13" t="e">
        <v>#N/A</v>
      </c>
      <c r="R178" s="13" t="e">
        <v>#N/A</v>
      </c>
      <c r="S178" s="13"/>
      <c r="T178" s="62"/>
      <c r="U178" s="13"/>
      <c r="V178" s="13"/>
      <c r="W178" s="13"/>
      <c r="X178" s="58"/>
      <c r="Y178" s="51">
        <f ca="1">Table24[[#This Row],[End Date]]+2-TODAY()</f>
        <v>-46242</v>
      </c>
      <c r="Z178" s="13">
        <f>IF(ISBLANK(Table24[[#This Row],[Roster Received By]]),1,0)</f>
        <v>1</v>
      </c>
      <c r="AA178" s="13">
        <f ca="1">IF(Table24[[#This Row],[Start Date]]&gt;TODAY(),1,)</f>
        <v>0</v>
      </c>
    </row>
    <row r="179" spans="1:27" s="46" customFormat="1" x14ac:dyDescent="0.25">
      <c r="B179" s="58"/>
      <c r="C179" s="59"/>
      <c r="D179" s="59"/>
      <c r="E179" s="58"/>
      <c r="F179" s="69"/>
      <c r="G179" s="69"/>
      <c r="H179" s="61"/>
      <c r="I179" s="60"/>
      <c r="J179" s="60"/>
      <c r="K179" s="60"/>
      <c r="L179" s="60"/>
      <c r="M179" s="60"/>
      <c r="N179" s="60"/>
      <c r="O179" s="58"/>
      <c r="P179" s="58"/>
      <c r="Q179" s="13" t="e">
        <v>#N/A</v>
      </c>
      <c r="R179" s="13" t="e">
        <v>#N/A</v>
      </c>
      <c r="S179" s="13"/>
      <c r="T179" s="62"/>
      <c r="U179" s="13"/>
      <c r="V179" s="13"/>
      <c r="W179" s="13"/>
      <c r="X179" s="58"/>
      <c r="Y179" s="51">
        <f ca="1">Table24[[#This Row],[End Date]]+2-TODAY()</f>
        <v>-46242</v>
      </c>
      <c r="Z179" s="13">
        <f>IF(ISBLANK(Table24[[#This Row],[Roster Received By]]),1,0)</f>
        <v>1</v>
      </c>
      <c r="AA179" s="13">
        <f ca="1">IF(Table24[[#This Row],[Start Date]]&gt;TODAY(),1,)</f>
        <v>0</v>
      </c>
    </row>
    <row r="180" spans="1:27" s="46" customFormat="1" x14ac:dyDescent="0.25">
      <c r="B180" s="58"/>
      <c r="C180" s="59"/>
      <c r="D180" s="59"/>
      <c r="E180" s="58"/>
      <c r="F180" s="69"/>
      <c r="G180" s="69"/>
      <c r="H180" s="64"/>
      <c r="I180" s="64"/>
      <c r="J180" s="64"/>
      <c r="K180" s="64"/>
      <c r="L180" s="64"/>
      <c r="M180" s="64"/>
      <c r="N180" s="61"/>
      <c r="O180" s="58"/>
      <c r="P180" s="58"/>
      <c r="Q180" s="13" t="e">
        <v>#N/A</v>
      </c>
      <c r="R180" s="13" t="e">
        <v>#N/A</v>
      </c>
      <c r="S180" s="13"/>
      <c r="T180" s="62"/>
      <c r="U180" s="13"/>
      <c r="V180" s="13"/>
      <c r="W180" s="13"/>
      <c r="X180" s="58"/>
      <c r="Y180" s="51">
        <f ca="1">Table24[[#This Row],[End Date]]+2-TODAY()</f>
        <v>-46242</v>
      </c>
      <c r="Z180" s="13">
        <f>IF(ISBLANK(Table24[[#This Row],[Roster Received By]]),1,0)</f>
        <v>1</v>
      </c>
      <c r="AA180" s="13">
        <f ca="1">IF(Table24[[#This Row],[Start Date]]&gt;TODAY(),1,)</f>
        <v>0</v>
      </c>
    </row>
    <row r="181" spans="1:27" s="46" customFormat="1" x14ac:dyDescent="0.25">
      <c r="B181" s="58"/>
      <c r="C181" s="59"/>
      <c r="D181" s="59"/>
      <c r="E181" s="58"/>
      <c r="F181" s="61"/>
      <c r="G181" s="61"/>
      <c r="H181" s="61"/>
      <c r="I181" s="60"/>
      <c r="J181" s="60"/>
      <c r="K181" s="60"/>
      <c r="L181" s="60"/>
      <c r="M181" s="60"/>
      <c r="N181" s="60"/>
      <c r="O181" s="58"/>
      <c r="P181" s="58"/>
      <c r="Q181" s="13" t="e">
        <v>#N/A</v>
      </c>
      <c r="R181" s="13" t="e">
        <v>#N/A</v>
      </c>
      <c r="S181" s="13"/>
      <c r="T181" s="62"/>
      <c r="U181" s="13"/>
      <c r="V181" s="13"/>
      <c r="W181" s="13"/>
      <c r="X181" s="58"/>
      <c r="Y181" s="51">
        <f ca="1">Table24[[#This Row],[End Date]]+2-TODAY()</f>
        <v>-46242</v>
      </c>
      <c r="Z181" s="13">
        <f>IF(ISBLANK(Table24[[#This Row],[Roster Received By]]),1,0)</f>
        <v>1</v>
      </c>
      <c r="AA181" s="13">
        <f ca="1">IF(Table24[[#This Row],[Start Date]]&gt;TODAY(),1,)</f>
        <v>0</v>
      </c>
    </row>
    <row r="182" spans="1:27" s="14" customFormat="1" ht="14.25" customHeight="1" x14ac:dyDescent="0.25">
      <c r="A182" s="46"/>
      <c r="B182" s="58"/>
      <c r="C182" s="59"/>
      <c r="D182" s="59"/>
      <c r="E182" s="58"/>
      <c r="F182" s="61"/>
      <c r="G182" s="61"/>
      <c r="H182" s="64"/>
      <c r="I182" s="64"/>
      <c r="J182" s="61"/>
      <c r="K182" s="61"/>
      <c r="L182" s="61"/>
      <c r="M182" s="61"/>
      <c r="N182" s="61"/>
      <c r="O182" s="58"/>
      <c r="P182" s="58"/>
      <c r="Q182" s="13" t="e">
        <v>#N/A</v>
      </c>
      <c r="R182" s="13" t="e">
        <v>#N/A</v>
      </c>
      <c r="S182" s="13"/>
      <c r="T182" s="62"/>
      <c r="U182" s="13"/>
      <c r="V182" s="13"/>
      <c r="W182" s="13"/>
      <c r="X182" s="58"/>
      <c r="Y182" s="51">
        <f ca="1">Table24[[#This Row],[End Date]]+2-TODAY()</f>
        <v>-46242</v>
      </c>
      <c r="Z182" s="13">
        <f>IF(ISBLANK(Table24[[#This Row],[Roster Received By]]),1,0)</f>
        <v>1</v>
      </c>
      <c r="AA182" s="13">
        <f ca="1">IF(Table24[[#This Row],[Start Date]]&gt;TODAY(),1,)</f>
        <v>0</v>
      </c>
    </row>
    <row r="183" spans="1:27" s="46" customFormat="1" ht="15" customHeight="1" x14ac:dyDescent="0.25">
      <c r="B183" s="58"/>
      <c r="C183" s="59"/>
      <c r="D183" s="59"/>
      <c r="E183" s="58"/>
      <c r="F183" s="69"/>
      <c r="G183" s="69"/>
      <c r="H183" s="64"/>
      <c r="I183" s="64"/>
      <c r="J183" s="61"/>
      <c r="K183" s="61"/>
      <c r="L183" s="61"/>
      <c r="M183" s="61"/>
      <c r="N183" s="61"/>
      <c r="O183" s="58"/>
      <c r="P183" s="58"/>
      <c r="Q183" s="13" t="e">
        <v>#N/A</v>
      </c>
      <c r="R183" s="13" t="e">
        <v>#N/A</v>
      </c>
      <c r="S183" s="13"/>
      <c r="T183" s="62"/>
      <c r="U183" s="13"/>
      <c r="V183" s="13"/>
      <c r="W183" s="13"/>
      <c r="X183" s="58"/>
      <c r="Y183" s="51">
        <f ca="1">Table24[[#This Row],[End Date]]+2-TODAY()</f>
        <v>-46242</v>
      </c>
      <c r="Z183" s="13">
        <f>IF(ISBLANK(Table24[[#This Row],[Roster Received By]]),1,0)</f>
        <v>1</v>
      </c>
      <c r="AA183" s="13">
        <f ca="1">IF(Table24[[#This Row],[Start Date]]&gt;TODAY(),1,)</f>
        <v>0</v>
      </c>
    </row>
    <row r="184" spans="1:27" s="46" customFormat="1" x14ac:dyDescent="0.25">
      <c r="B184" s="58"/>
      <c r="C184" s="59"/>
      <c r="D184" s="59"/>
      <c r="E184" s="58"/>
      <c r="F184" s="69"/>
      <c r="G184" s="69"/>
      <c r="H184" s="61"/>
      <c r="I184" s="60"/>
      <c r="J184" s="60"/>
      <c r="K184" s="60"/>
      <c r="L184" s="60"/>
      <c r="M184" s="60"/>
      <c r="N184" s="60"/>
      <c r="O184" s="58"/>
      <c r="P184" s="58"/>
      <c r="Q184" s="13" t="e">
        <v>#N/A</v>
      </c>
      <c r="R184" s="13" t="e">
        <v>#N/A</v>
      </c>
      <c r="S184" s="13"/>
      <c r="T184" s="62"/>
      <c r="U184" s="13"/>
      <c r="V184" s="13"/>
      <c r="W184" s="13"/>
      <c r="X184" s="58"/>
      <c r="Y184" s="51">
        <f ca="1">Table24[[#This Row],[End Date]]+2-TODAY()</f>
        <v>-46242</v>
      </c>
      <c r="Z184" s="13">
        <f>IF(ISBLANK(Table24[[#This Row],[Roster Received By]]),1,0)</f>
        <v>1</v>
      </c>
      <c r="AA184" s="13">
        <f ca="1">IF(Table24[[#This Row],[Start Date]]&gt;TODAY(),1,)</f>
        <v>0</v>
      </c>
    </row>
    <row r="185" spans="1:27" s="46" customFormat="1" x14ac:dyDescent="0.25">
      <c r="B185" s="58"/>
      <c r="C185" s="59"/>
      <c r="D185" s="59"/>
      <c r="E185" s="58"/>
      <c r="F185" s="61"/>
      <c r="G185" s="61"/>
      <c r="H185" s="64"/>
      <c r="I185" s="64"/>
      <c r="J185" s="61"/>
      <c r="K185" s="61"/>
      <c r="L185" s="61"/>
      <c r="M185" s="61"/>
      <c r="N185" s="61"/>
      <c r="O185" s="58"/>
      <c r="P185" s="58"/>
      <c r="Q185" s="13" t="e">
        <v>#N/A</v>
      </c>
      <c r="R185" s="13" t="e">
        <v>#N/A</v>
      </c>
      <c r="S185" s="62"/>
      <c r="T185" s="62"/>
      <c r="U185" s="13"/>
      <c r="V185" s="13"/>
      <c r="W185" s="13"/>
      <c r="X185" s="58"/>
      <c r="Y185" s="51">
        <f ca="1">Table24[[#This Row],[End Date]]+2-TODAY()</f>
        <v>-46242</v>
      </c>
      <c r="Z185" s="13">
        <f>IF(ISBLANK(Table24[[#This Row],[Roster Received By]]),1,0)</f>
        <v>1</v>
      </c>
      <c r="AA185" s="13">
        <f ca="1">IF(Table24[[#This Row],[Start Date]]&gt;TODAY(),1,)</f>
        <v>0</v>
      </c>
    </row>
    <row r="186" spans="1:27" s="46" customFormat="1" x14ac:dyDescent="0.25">
      <c r="B186" s="58"/>
      <c r="C186" s="59"/>
      <c r="D186" s="59"/>
      <c r="E186" s="58"/>
      <c r="F186" s="61"/>
      <c r="G186" s="61"/>
      <c r="H186" s="61"/>
      <c r="I186" s="60"/>
      <c r="J186" s="60"/>
      <c r="K186" s="60"/>
      <c r="L186" s="60"/>
      <c r="M186" s="60"/>
      <c r="N186" s="60"/>
      <c r="O186" s="58"/>
      <c r="P186" s="58"/>
      <c r="Q186" s="13" t="e">
        <v>#N/A</v>
      </c>
      <c r="R186" s="13" t="e">
        <v>#N/A</v>
      </c>
      <c r="S186" s="13"/>
      <c r="T186" s="62"/>
      <c r="U186" s="13"/>
      <c r="V186" s="13"/>
      <c r="W186" s="66"/>
      <c r="X186" s="58"/>
      <c r="Y186" s="51">
        <f ca="1">Table24[[#This Row],[End Date]]+2-TODAY()</f>
        <v>-46242</v>
      </c>
      <c r="Z186" s="13">
        <f>IF(ISBLANK(Table24[[#This Row],[Roster Received By]]),1,0)</f>
        <v>1</v>
      </c>
      <c r="AA186" s="13">
        <f ca="1">IF(Table24[[#This Row],[Start Date]]&gt;TODAY(),1,)</f>
        <v>0</v>
      </c>
    </row>
    <row r="187" spans="1:27" s="46" customFormat="1" x14ac:dyDescent="0.25">
      <c r="B187" s="58"/>
      <c r="C187" s="59"/>
      <c r="D187" s="59"/>
      <c r="E187" s="58"/>
      <c r="F187" s="61"/>
      <c r="G187" s="61"/>
      <c r="H187" s="61"/>
      <c r="I187" s="60"/>
      <c r="J187" s="60"/>
      <c r="K187" s="60"/>
      <c r="L187" s="60"/>
      <c r="M187" s="60"/>
      <c r="N187" s="60"/>
      <c r="O187" s="58"/>
      <c r="P187" s="58"/>
      <c r="Q187" s="13" t="e">
        <v>#N/A</v>
      </c>
      <c r="R187" s="13" t="e">
        <v>#N/A</v>
      </c>
      <c r="S187" s="13"/>
      <c r="T187" s="62"/>
      <c r="U187" s="13"/>
      <c r="V187" s="13"/>
      <c r="W187" s="62"/>
      <c r="X187" s="58"/>
      <c r="Y187" s="51">
        <f ca="1">Table24[[#This Row],[End Date]]+2-TODAY()</f>
        <v>-46242</v>
      </c>
      <c r="Z187" s="13">
        <f>IF(ISBLANK(Table24[[#This Row],[Roster Received By]]),1,0)</f>
        <v>1</v>
      </c>
      <c r="AA187" s="13">
        <f ca="1">IF(Table24[[#This Row],[Start Date]]&gt;TODAY(),1,)</f>
        <v>0</v>
      </c>
    </row>
    <row r="188" spans="1:27" s="46" customFormat="1" x14ac:dyDescent="0.25">
      <c r="A188" s="47"/>
      <c r="B188" s="58"/>
      <c r="C188" s="59"/>
      <c r="D188" s="59"/>
      <c r="E188" s="58"/>
      <c r="F188" s="61"/>
      <c r="G188" s="61"/>
      <c r="H188" s="67"/>
      <c r="I188" s="67"/>
      <c r="J188" s="61"/>
      <c r="K188" s="61"/>
      <c r="L188" s="61"/>
      <c r="M188" s="61"/>
      <c r="N188" s="61"/>
      <c r="O188" s="58"/>
      <c r="P188" s="58"/>
      <c r="Q188" s="13" t="e">
        <v>#N/A</v>
      </c>
      <c r="R188" s="13" t="e">
        <v>#N/A</v>
      </c>
      <c r="S188" s="13"/>
      <c r="T188" s="62"/>
      <c r="U188" s="13"/>
      <c r="V188" s="13"/>
      <c r="W188" s="13"/>
      <c r="X188" s="58"/>
      <c r="Y188" s="51">
        <f ca="1">Table24[[#This Row],[End Date]]+2-TODAY()</f>
        <v>-46242</v>
      </c>
      <c r="Z188" s="13">
        <f>IF(ISBLANK(Table24[[#This Row],[Roster Received By]]),1,0)</f>
        <v>1</v>
      </c>
      <c r="AA188" s="13">
        <f ca="1">IF(Table24[[#This Row],[Start Date]]&gt;TODAY(),1,)</f>
        <v>0</v>
      </c>
    </row>
    <row r="189" spans="1:27" s="46" customFormat="1" x14ac:dyDescent="0.25">
      <c r="B189" s="58"/>
      <c r="C189" s="59"/>
      <c r="D189" s="59"/>
      <c r="E189" s="58"/>
      <c r="F189" s="61"/>
      <c r="G189" s="61"/>
      <c r="H189" s="64"/>
      <c r="I189" s="67"/>
      <c r="J189" s="61"/>
      <c r="K189" s="61"/>
      <c r="L189" s="61"/>
      <c r="M189" s="61"/>
      <c r="N189" s="61"/>
      <c r="O189" s="58"/>
      <c r="P189" s="58"/>
      <c r="Q189" s="13" t="e">
        <v>#N/A</v>
      </c>
      <c r="R189" s="13" t="e">
        <v>#N/A</v>
      </c>
      <c r="S189" s="62"/>
      <c r="T189" s="62"/>
      <c r="U189" s="13"/>
      <c r="V189" s="13"/>
      <c r="W189" s="13"/>
      <c r="X189" s="58"/>
      <c r="Y189" s="51">
        <f ca="1">Table24[[#This Row],[End Date]]+2-TODAY()</f>
        <v>-46242</v>
      </c>
      <c r="Z189" s="13">
        <f>IF(ISBLANK(Table24[[#This Row],[Roster Received By]]),1,0)</f>
        <v>1</v>
      </c>
      <c r="AA189" s="13">
        <f ca="1">IF(Table24[[#This Row],[Start Date]]&gt;TODAY(),1,)</f>
        <v>0</v>
      </c>
    </row>
    <row r="190" spans="1:27" s="46" customFormat="1" x14ac:dyDescent="0.25">
      <c r="B190" s="58"/>
      <c r="C190" s="59"/>
      <c r="D190" s="59"/>
      <c r="E190" s="83"/>
      <c r="F190" s="49"/>
      <c r="G190" s="49"/>
      <c r="H190" s="60"/>
      <c r="I190" s="60"/>
      <c r="J190" s="60"/>
      <c r="K190" s="60"/>
      <c r="L190" s="60"/>
      <c r="M190" s="60"/>
      <c r="N190" s="60"/>
      <c r="O190" s="58"/>
      <c r="P190" s="58"/>
      <c r="Q190" s="13" t="e">
        <v>#N/A</v>
      </c>
      <c r="R190" s="13" t="e">
        <v>#N/A</v>
      </c>
      <c r="S190" s="13"/>
      <c r="T190" s="62"/>
      <c r="U190" s="13"/>
      <c r="V190" s="13"/>
      <c r="W190" s="13"/>
      <c r="X190" s="58"/>
      <c r="Y190" s="51">
        <f ca="1">Table24[[#This Row],[End Date]]+2-TODAY()</f>
        <v>-46242</v>
      </c>
      <c r="Z190" s="13">
        <f>IF(ISBLANK(Table24[[#This Row],[Roster Received By]]),1,0)</f>
        <v>1</v>
      </c>
      <c r="AA190" s="13">
        <f ca="1">IF(Table24[[#This Row],[Start Date]]&gt;TODAY(),1,)</f>
        <v>0</v>
      </c>
    </row>
    <row r="191" spans="1:27" s="46" customFormat="1" x14ac:dyDescent="0.25">
      <c r="A191" s="58"/>
      <c r="B191" s="58"/>
      <c r="C191" s="59"/>
      <c r="D191" s="59"/>
      <c r="E191" s="58"/>
      <c r="F191" s="61"/>
      <c r="G191" s="61"/>
      <c r="H191" s="64"/>
      <c r="I191" s="64"/>
      <c r="J191" s="61"/>
      <c r="K191" s="61"/>
      <c r="L191" s="61"/>
      <c r="M191" s="61"/>
      <c r="N191" s="61"/>
      <c r="O191" s="58"/>
      <c r="P191" s="58"/>
      <c r="Q191" s="13" t="e">
        <v>#N/A</v>
      </c>
      <c r="R191" s="13" t="e">
        <v>#N/A</v>
      </c>
      <c r="S191" s="13"/>
      <c r="T191" s="62"/>
      <c r="U191" s="13"/>
      <c r="V191" s="13"/>
      <c r="W191" s="13"/>
      <c r="X191" s="58"/>
      <c r="Y191" s="51">
        <f ca="1">Table24[[#This Row],[End Date]]+2-TODAY()</f>
        <v>-46242</v>
      </c>
      <c r="Z191" s="13">
        <f>IF(ISBLANK(Table24[[#This Row],[Roster Received By]]),1,0)</f>
        <v>1</v>
      </c>
      <c r="AA191" s="13">
        <f ca="1">IF(Table24[[#This Row],[Start Date]]&gt;TODAY(),1,)</f>
        <v>0</v>
      </c>
    </row>
    <row r="192" spans="1:27" s="46" customFormat="1" x14ac:dyDescent="0.25">
      <c r="A192" s="59"/>
      <c r="B192" s="58"/>
      <c r="C192" s="59"/>
      <c r="D192" s="59"/>
      <c r="E192" s="58"/>
      <c r="F192" s="61"/>
      <c r="G192" s="61"/>
      <c r="H192" s="64"/>
      <c r="I192" s="64"/>
      <c r="J192" s="61"/>
      <c r="K192" s="61"/>
      <c r="L192" s="61"/>
      <c r="M192" s="61"/>
      <c r="N192" s="61"/>
      <c r="O192" s="58"/>
      <c r="P192" s="58"/>
      <c r="Q192" s="13" t="e">
        <v>#N/A</v>
      </c>
      <c r="R192" s="13" t="e">
        <v>#N/A</v>
      </c>
      <c r="S192" s="66"/>
      <c r="T192" s="62"/>
      <c r="U192" s="13"/>
      <c r="V192" s="13"/>
      <c r="W192" s="13"/>
      <c r="X192" s="58"/>
      <c r="Y192" s="51">
        <f ca="1">Table24[[#This Row],[End Date]]+2-TODAY()</f>
        <v>-46242</v>
      </c>
      <c r="Z192" s="13">
        <f>IF(ISBLANK(Table24[[#This Row],[Roster Received By]]),1,0)</f>
        <v>1</v>
      </c>
      <c r="AA192" s="13">
        <f ca="1">IF(Table24[[#This Row],[Start Date]]&gt;TODAY(),1,)</f>
        <v>0</v>
      </c>
    </row>
    <row r="193" spans="1:27" s="46" customFormat="1" x14ac:dyDescent="0.25">
      <c r="B193" s="58"/>
      <c r="C193" s="59"/>
      <c r="D193" s="59"/>
      <c r="E193" s="58"/>
      <c r="F193" s="61"/>
      <c r="G193" s="61"/>
      <c r="H193" s="64"/>
      <c r="I193" s="64"/>
      <c r="J193" s="61"/>
      <c r="K193" s="61"/>
      <c r="L193" s="61"/>
      <c r="M193" s="61"/>
      <c r="N193" s="61"/>
      <c r="O193" s="58"/>
      <c r="P193" s="58"/>
      <c r="Q193" s="13" t="e">
        <v>#N/A</v>
      </c>
      <c r="R193" s="13" t="e">
        <v>#N/A</v>
      </c>
      <c r="S193" s="13"/>
      <c r="T193" s="62"/>
      <c r="U193" s="13"/>
      <c r="V193" s="13"/>
      <c r="W193" s="13"/>
      <c r="X193" s="58"/>
      <c r="Y193" s="51">
        <f ca="1">Table24[[#This Row],[End Date]]+2-TODAY()</f>
        <v>-46242</v>
      </c>
      <c r="Z193" s="13">
        <f>IF(ISBLANK(Table24[[#This Row],[Roster Received By]]),1,0)</f>
        <v>1</v>
      </c>
      <c r="AA193" s="13">
        <f ca="1">IF(Table24[[#This Row],[Start Date]]&gt;TODAY(),1,)</f>
        <v>0</v>
      </c>
    </row>
    <row r="194" spans="1:27" s="46" customFormat="1" x14ac:dyDescent="0.25">
      <c r="B194" s="58"/>
      <c r="C194" s="59"/>
      <c r="D194" s="59"/>
      <c r="E194" s="58"/>
      <c r="F194" s="61"/>
      <c r="G194" s="61"/>
      <c r="H194" s="61"/>
      <c r="I194" s="60"/>
      <c r="J194" s="60"/>
      <c r="K194" s="60"/>
      <c r="L194" s="60"/>
      <c r="M194" s="60"/>
      <c r="N194" s="60"/>
      <c r="O194" s="58"/>
      <c r="P194" s="58"/>
      <c r="Q194" s="13" t="e">
        <v>#N/A</v>
      </c>
      <c r="R194" s="13" t="e">
        <v>#N/A</v>
      </c>
      <c r="S194" s="13"/>
      <c r="T194" s="62"/>
      <c r="U194" s="13"/>
      <c r="V194" s="13"/>
      <c r="W194" s="13"/>
      <c r="X194" s="58"/>
      <c r="Y194" s="51">
        <f ca="1">Table24[[#This Row],[End Date]]+2-TODAY()</f>
        <v>-46242</v>
      </c>
      <c r="Z194" s="13">
        <f>IF(ISBLANK(Table24[[#This Row],[Roster Received By]]),1,0)</f>
        <v>1</v>
      </c>
      <c r="AA194" s="13">
        <f ca="1">IF(Table24[[#This Row],[Start Date]]&gt;TODAY(),1,)</f>
        <v>0</v>
      </c>
    </row>
    <row r="195" spans="1:27" s="46" customFormat="1" x14ac:dyDescent="0.25">
      <c r="B195" s="47"/>
      <c r="C195" s="59"/>
      <c r="D195" s="59"/>
      <c r="E195" s="47"/>
      <c r="F195" s="49"/>
      <c r="G195" s="49"/>
      <c r="H195" s="60"/>
      <c r="I195" s="60"/>
      <c r="J195" s="61"/>
      <c r="K195" s="61"/>
      <c r="L195" s="61"/>
      <c r="M195" s="61"/>
      <c r="N195" s="61"/>
      <c r="O195" s="58"/>
      <c r="P195" s="58"/>
      <c r="Q195" s="13" t="e">
        <v>#N/A</v>
      </c>
      <c r="R195" s="13" t="e">
        <v>#N/A</v>
      </c>
      <c r="S195" s="13"/>
      <c r="T195" s="62"/>
      <c r="U195" s="13"/>
      <c r="V195" s="13"/>
      <c r="W195" s="13"/>
      <c r="X195" s="58"/>
      <c r="Y195" s="51">
        <f ca="1">Table24[[#This Row],[End Date]]+2-TODAY()</f>
        <v>-46242</v>
      </c>
      <c r="Z195" s="13">
        <f>IF(ISBLANK(Table24[[#This Row],[Roster Received By]]),1,0)</f>
        <v>1</v>
      </c>
      <c r="AA195" s="13">
        <f ca="1">IF(Table24[[#This Row],[Start Date]]&gt;TODAY(),1,)</f>
        <v>0</v>
      </c>
    </row>
    <row r="196" spans="1:27" s="46" customFormat="1" x14ac:dyDescent="0.25">
      <c r="B196" s="58"/>
      <c r="C196" s="59"/>
      <c r="D196" s="59"/>
      <c r="E196" s="58"/>
      <c r="F196" s="61"/>
      <c r="G196" s="61"/>
      <c r="H196" s="61"/>
      <c r="I196" s="60"/>
      <c r="J196" s="60"/>
      <c r="K196" s="60"/>
      <c r="L196" s="60"/>
      <c r="M196" s="60"/>
      <c r="N196" s="60"/>
      <c r="O196" s="58"/>
      <c r="P196" s="58"/>
      <c r="Q196" s="13" t="e">
        <v>#N/A</v>
      </c>
      <c r="R196" s="13" t="e">
        <v>#N/A</v>
      </c>
      <c r="S196" s="13"/>
      <c r="T196" s="62"/>
      <c r="U196" s="13"/>
      <c r="V196" s="13"/>
      <c r="W196" s="13"/>
      <c r="X196" s="58"/>
      <c r="Y196" s="51">
        <f ca="1">Table24[[#This Row],[End Date]]+2-TODAY()</f>
        <v>-46242</v>
      </c>
      <c r="Z196" s="13">
        <f>IF(ISBLANK(Table24[[#This Row],[Roster Received By]]),1,0)</f>
        <v>1</v>
      </c>
      <c r="AA196" s="13">
        <f ca="1">IF(Table24[[#This Row],[Start Date]]&gt;TODAY(),1,)</f>
        <v>0</v>
      </c>
    </row>
    <row r="197" spans="1:27" s="46" customFormat="1" x14ac:dyDescent="0.25">
      <c r="B197" s="58"/>
      <c r="C197" s="59"/>
      <c r="D197" s="59"/>
      <c r="E197" s="58"/>
      <c r="F197" s="61"/>
      <c r="G197" s="61"/>
      <c r="H197" s="61"/>
      <c r="I197" s="60"/>
      <c r="J197" s="60"/>
      <c r="K197" s="60"/>
      <c r="L197" s="60"/>
      <c r="M197" s="60"/>
      <c r="N197" s="60"/>
      <c r="O197" s="58"/>
      <c r="P197" s="58"/>
      <c r="Q197" s="13" t="e">
        <v>#N/A</v>
      </c>
      <c r="R197" s="13" t="e">
        <v>#N/A</v>
      </c>
      <c r="S197" s="13"/>
      <c r="T197" s="62"/>
      <c r="U197" s="13"/>
      <c r="V197" s="13"/>
      <c r="W197" s="13"/>
      <c r="X197" s="58"/>
      <c r="Y197" s="51">
        <f ca="1">Table24[[#This Row],[End Date]]+2-TODAY()</f>
        <v>-46242</v>
      </c>
      <c r="Z197" s="13">
        <f>IF(ISBLANK(Table24[[#This Row],[Roster Received By]]),1,0)</f>
        <v>1</v>
      </c>
      <c r="AA197" s="13">
        <f ca="1">IF(Table24[[#This Row],[Start Date]]&gt;TODAY(),1,)</f>
        <v>0</v>
      </c>
    </row>
    <row r="198" spans="1:27" s="46" customFormat="1" x14ac:dyDescent="0.25">
      <c r="B198" s="58"/>
      <c r="C198" s="59"/>
      <c r="D198" s="59"/>
      <c r="E198" s="58"/>
      <c r="F198" s="61"/>
      <c r="G198" s="61"/>
      <c r="H198" s="61"/>
      <c r="I198" s="60"/>
      <c r="J198" s="60"/>
      <c r="K198" s="60"/>
      <c r="L198" s="60"/>
      <c r="M198" s="60"/>
      <c r="N198" s="60"/>
      <c r="O198" s="58"/>
      <c r="P198" s="58"/>
      <c r="Q198" s="13" t="e">
        <v>#N/A</v>
      </c>
      <c r="R198" s="13" t="e">
        <v>#N/A</v>
      </c>
      <c r="S198" s="13"/>
      <c r="T198" s="62"/>
      <c r="U198" s="13"/>
      <c r="V198" s="13"/>
      <c r="W198" s="13"/>
      <c r="X198" s="58"/>
      <c r="Y198" s="51">
        <f ca="1">Table24[[#This Row],[End Date]]+2-TODAY()</f>
        <v>-46242</v>
      </c>
      <c r="Z198" s="13">
        <f>IF(ISBLANK(Table24[[#This Row],[Roster Received By]]),1,0)</f>
        <v>1</v>
      </c>
      <c r="AA198" s="13">
        <f ca="1">IF(Table24[[#This Row],[Start Date]]&gt;TODAY(),1,)</f>
        <v>0</v>
      </c>
    </row>
    <row r="199" spans="1:27" s="46" customFormat="1" x14ac:dyDescent="0.25">
      <c r="A199" s="58"/>
      <c r="B199" s="58"/>
      <c r="C199" s="59"/>
      <c r="D199" s="59"/>
      <c r="E199" s="47"/>
      <c r="F199" s="61"/>
      <c r="G199" s="61"/>
      <c r="H199" s="64"/>
      <c r="I199" s="64"/>
      <c r="J199" s="61"/>
      <c r="K199" s="61"/>
      <c r="L199" s="61"/>
      <c r="M199" s="61"/>
      <c r="N199" s="61"/>
      <c r="O199" s="58"/>
      <c r="P199" s="58"/>
      <c r="Q199" s="13" t="e">
        <v>#N/A</v>
      </c>
      <c r="R199" s="13" t="e">
        <v>#N/A</v>
      </c>
      <c r="S199" s="13"/>
      <c r="T199" s="62"/>
      <c r="U199" s="13"/>
      <c r="V199" s="13"/>
      <c r="W199" s="13"/>
      <c r="X199" s="58"/>
      <c r="Y199" s="51">
        <f ca="1">Table24[[#This Row],[End Date]]+2-TODAY()</f>
        <v>-46242</v>
      </c>
      <c r="Z199" s="13">
        <f>IF(ISBLANK(Table24[[#This Row],[Roster Received By]]),1,0)</f>
        <v>1</v>
      </c>
      <c r="AA199" s="13">
        <f ca="1">IF(Table24[[#This Row],[Start Date]]&gt;TODAY(),1,)</f>
        <v>0</v>
      </c>
    </row>
    <row r="200" spans="1:27" s="46" customFormat="1" x14ac:dyDescent="0.25">
      <c r="B200" s="58"/>
      <c r="C200" s="59"/>
      <c r="D200" s="59"/>
      <c r="E200" s="58"/>
      <c r="F200" s="69"/>
      <c r="G200" s="69"/>
      <c r="H200" s="61"/>
      <c r="I200" s="60"/>
      <c r="J200" s="60"/>
      <c r="K200" s="60"/>
      <c r="L200" s="60"/>
      <c r="M200" s="60"/>
      <c r="N200" s="60"/>
      <c r="O200" s="58"/>
      <c r="P200" s="58"/>
      <c r="Q200" s="13" t="e">
        <v>#N/A</v>
      </c>
      <c r="R200" s="13" t="e">
        <v>#N/A</v>
      </c>
      <c r="S200" s="13"/>
      <c r="T200" s="62"/>
      <c r="U200" s="13"/>
      <c r="V200" s="13"/>
      <c r="W200" s="13"/>
      <c r="X200" s="58"/>
      <c r="Y200" s="51">
        <f ca="1">Table24[[#This Row],[End Date]]+2-TODAY()</f>
        <v>-46242</v>
      </c>
      <c r="Z200" s="13">
        <f>IF(ISBLANK(Table24[[#This Row],[Roster Received By]]),1,0)</f>
        <v>1</v>
      </c>
      <c r="AA200" s="13">
        <f ca="1">IF(Table24[[#This Row],[Start Date]]&gt;TODAY(),1,)</f>
        <v>0</v>
      </c>
    </row>
    <row r="201" spans="1:27" s="46" customFormat="1" x14ac:dyDescent="0.25">
      <c r="B201" s="58"/>
      <c r="C201" s="59"/>
      <c r="D201" s="59"/>
      <c r="E201" s="47"/>
      <c r="F201" s="49"/>
      <c r="G201" s="49"/>
      <c r="H201" s="60"/>
      <c r="I201" s="60"/>
      <c r="J201" s="61"/>
      <c r="K201" s="61"/>
      <c r="L201" s="61"/>
      <c r="M201" s="61"/>
      <c r="N201" s="61"/>
      <c r="O201" s="58"/>
      <c r="P201" s="58"/>
      <c r="Q201" s="13" t="e">
        <v>#N/A</v>
      </c>
      <c r="R201" s="13" t="e">
        <v>#N/A</v>
      </c>
      <c r="S201" s="13"/>
      <c r="T201" s="62"/>
      <c r="U201" s="13"/>
      <c r="V201" s="13"/>
      <c r="W201" s="13"/>
      <c r="X201" s="58"/>
      <c r="Y201" s="51">
        <f ca="1">Table24[[#This Row],[End Date]]+2-TODAY()</f>
        <v>-46242</v>
      </c>
      <c r="Z201" s="13">
        <f>IF(ISBLANK(Table24[[#This Row],[Roster Received By]]),1,0)</f>
        <v>1</v>
      </c>
      <c r="AA201" s="13">
        <f ca="1">IF(Table24[[#This Row],[Start Date]]&gt;TODAY(),1,)</f>
        <v>0</v>
      </c>
    </row>
    <row r="202" spans="1:27" s="46" customFormat="1" x14ac:dyDescent="0.25">
      <c r="B202" s="58"/>
      <c r="C202" s="59"/>
      <c r="D202" s="59"/>
      <c r="E202" s="58"/>
      <c r="F202" s="49"/>
      <c r="G202" s="61"/>
      <c r="H202" s="61"/>
      <c r="I202" s="60"/>
      <c r="J202" s="60"/>
      <c r="K202" s="60"/>
      <c r="L202" s="60"/>
      <c r="M202" s="60"/>
      <c r="N202" s="60"/>
      <c r="O202" s="58"/>
      <c r="P202" s="58"/>
      <c r="Q202" s="13" t="e">
        <v>#N/A</v>
      </c>
      <c r="R202" s="13" t="e">
        <v>#N/A</v>
      </c>
      <c r="S202" s="13"/>
      <c r="T202" s="62"/>
      <c r="U202" s="13"/>
      <c r="V202" s="13"/>
      <c r="W202" s="13"/>
      <c r="X202" s="58"/>
      <c r="Y202" s="51">
        <f ca="1">Table24[[#This Row],[End Date]]+2-TODAY()</f>
        <v>-46242</v>
      </c>
      <c r="Z202" s="13">
        <f>IF(ISBLANK(Table24[[#This Row],[Roster Received By]]),1,0)</f>
        <v>1</v>
      </c>
      <c r="AA202" s="13">
        <f ca="1">IF(Table24[[#This Row],[Start Date]]&gt;TODAY(),1,)</f>
        <v>0</v>
      </c>
    </row>
    <row r="203" spans="1:27" s="46" customFormat="1" x14ac:dyDescent="0.25">
      <c r="B203" s="58"/>
      <c r="C203" s="59"/>
      <c r="D203" s="59"/>
      <c r="E203" s="58"/>
      <c r="F203" s="61"/>
      <c r="G203" s="61"/>
      <c r="H203" s="64"/>
      <c r="I203" s="64"/>
      <c r="J203" s="61"/>
      <c r="K203" s="61"/>
      <c r="L203" s="61"/>
      <c r="M203" s="61"/>
      <c r="N203" s="61"/>
      <c r="O203" s="58"/>
      <c r="P203" s="58"/>
      <c r="Q203" s="13" t="e">
        <v>#N/A</v>
      </c>
      <c r="R203" s="13" t="e">
        <v>#N/A</v>
      </c>
      <c r="S203" s="13"/>
      <c r="T203" s="62"/>
      <c r="U203" s="13"/>
      <c r="V203" s="13"/>
      <c r="W203" s="13"/>
      <c r="X203" s="58"/>
      <c r="Y203" s="51">
        <f ca="1">Table24[[#This Row],[End Date]]+2-TODAY()</f>
        <v>-46242</v>
      </c>
      <c r="Z203" s="13">
        <f>IF(ISBLANK(Table24[[#This Row],[Roster Received By]]),1,0)</f>
        <v>1</v>
      </c>
      <c r="AA203" s="13">
        <f ca="1">IF(Table24[[#This Row],[Start Date]]&gt;TODAY(),1,)</f>
        <v>0</v>
      </c>
    </row>
    <row r="204" spans="1:27" s="46" customFormat="1" x14ac:dyDescent="0.25">
      <c r="B204" s="58"/>
      <c r="C204" s="59"/>
      <c r="D204" s="59"/>
      <c r="E204" s="47"/>
      <c r="F204" s="49"/>
      <c r="G204" s="61"/>
      <c r="H204" s="64"/>
      <c r="I204" s="64"/>
      <c r="J204" s="61"/>
      <c r="K204" s="61"/>
      <c r="L204" s="61"/>
      <c r="M204" s="61"/>
      <c r="N204" s="61"/>
      <c r="O204" s="58"/>
      <c r="P204" s="58"/>
      <c r="Q204" s="13" t="e">
        <v>#N/A</v>
      </c>
      <c r="R204" s="13" t="e">
        <v>#N/A</v>
      </c>
      <c r="S204" s="13"/>
      <c r="T204" s="62"/>
      <c r="U204" s="13"/>
      <c r="V204" s="13"/>
      <c r="W204" s="13"/>
      <c r="X204" s="58"/>
      <c r="Y204" s="51">
        <f ca="1">Table24[[#This Row],[End Date]]+2-TODAY()</f>
        <v>-46242</v>
      </c>
      <c r="Z204" s="13">
        <f>IF(ISBLANK(Table24[[#This Row],[Roster Received By]]),1,0)</f>
        <v>1</v>
      </c>
      <c r="AA204" s="13">
        <f ca="1">IF(Table24[[#This Row],[Start Date]]&gt;TODAY(),1,)</f>
        <v>0</v>
      </c>
    </row>
    <row r="205" spans="1:27" s="46" customFormat="1" x14ac:dyDescent="0.25">
      <c r="B205" s="58"/>
      <c r="C205" s="59"/>
      <c r="D205" s="59"/>
      <c r="E205" s="58"/>
      <c r="F205" s="49"/>
      <c r="G205" s="49"/>
      <c r="H205" s="49"/>
      <c r="I205" s="60"/>
      <c r="J205" s="60"/>
      <c r="K205" s="60"/>
      <c r="L205" s="60"/>
      <c r="M205" s="60"/>
      <c r="N205" s="60"/>
      <c r="O205" s="58"/>
      <c r="P205" s="58"/>
      <c r="Q205" s="13" t="e">
        <v>#N/A</v>
      </c>
      <c r="R205" s="13" t="e">
        <v>#N/A</v>
      </c>
      <c r="S205" s="13"/>
      <c r="T205" s="62"/>
      <c r="U205" s="13"/>
      <c r="V205" s="13"/>
      <c r="W205" s="13"/>
      <c r="X205" s="58"/>
      <c r="Y205" s="51">
        <f ca="1">Table24[[#This Row],[End Date]]+2-TODAY()</f>
        <v>-46242</v>
      </c>
      <c r="Z205" s="13">
        <f>IF(ISBLANK(Table24[[#This Row],[Roster Received By]]),1,0)</f>
        <v>1</v>
      </c>
      <c r="AA205" s="13">
        <f ca="1">IF(Table24[[#This Row],[Start Date]]&gt;TODAY(),1,)</f>
        <v>0</v>
      </c>
    </row>
    <row r="206" spans="1:27" s="46" customFormat="1" x14ac:dyDescent="0.25">
      <c r="B206" s="58"/>
      <c r="C206" s="59"/>
      <c r="D206" s="59"/>
      <c r="E206" s="58"/>
      <c r="F206" s="61"/>
      <c r="G206" s="61"/>
      <c r="H206" s="64"/>
      <c r="I206" s="64"/>
      <c r="J206" s="64"/>
      <c r="K206" s="64"/>
      <c r="L206" s="64"/>
      <c r="M206" s="64"/>
      <c r="N206" s="64"/>
      <c r="O206" s="58"/>
      <c r="P206" s="58"/>
      <c r="Q206" s="13" t="e">
        <v>#N/A</v>
      </c>
      <c r="R206" s="13" t="e">
        <v>#N/A</v>
      </c>
      <c r="S206" s="13"/>
      <c r="T206" s="62"/>
      <c r="U206" s="13"/>
      <c r="V206" s="13"/>
      <c r="W206" s="13"/>
      <c r="X206" s="58"/>
      <c r="Y206" s="51">
        <f ca="1">Table24[[#This Row],[End Date]]+2-TODAY()</f>
        <v>-46242</v>
      </c>
      <c r="Z206" s="13">
        <f>IF(ISBLANK(Table24[[#This Row],[Roster Received By]]),1,0)</f>
        <v>1</v>
      </c>
      <c r="AA206" s="13">
        <f ca="1">IF(Table24[[#This Row],[Start Date]]&gt;TODAY(),1,)</f>
        <v>0</v>
      </c>
    </row>
    <row r="207" spans="1:27" s="46" customFormat="1" x14ac:dyDescent="0.25">
      <c r="B207" s="58"/>
      <c r="C207" s="59"/>
      <c r="D207" s="59"/>
      <c r="E207" s="58"/>
      <c r="F207" s="61"/>
      <c r="G207" s="61"/>
      <c r="H207" s="64"/>
      <c r="I207" s="64"/>
      <c r="J207" s="61"/>
      <c r="K207" s="61"/>
      <c r="L207" s="61"/>
      <c r="M207" s="61"/>
      <c r="N207" s="61"/>
      <c r="O207" s="58"/>
      <c r="P207" s="58"/>
      <c r="Q207" s="13" t="e">
        <v>#N/A</v>
      </c>
      <c r="R207" s="13" t="e">
        <v>#N/A</v>
      </c>
      <c r="S207" s="13"/>
      <c r="T207" s="62"/>
      <c r="U207" s="13"/>
      <c r="V207" s="13"/>
      <c r="W207" s="13"/>
      <c r="X207" s="58"/>
      <c r="Y207" s="51">
        <f ca="1">Table24[[#This Row],[End Date]]+2-TODAY()</f>
        <v>-46242</v>
      </c>
      <c r="Z207" s="13">
        <f>IF(ISBLANK(Table24[[#This Row],[Roster Received By]]),1,0)</f>
        <v>1</v>
      </c>
      <c r="AA207" s="13">
        <f ca="1">IF(Table24[[#This Row],[Start Date]]&gt;TODAY(),1,)</f>
        <v>0</v>
      </c>
    </row>
    <row r="208" spans="1:27" s="46" customFormat="1" x14ac:dyDescent="0.25">
      <c r="B208" s="58"/>
      <c r="C208" s="59"/>
      <c r="D208" s="59"/>
      <c r="E208" s="47"/>
      <c r="F208" s="61"/>
      <c r="G208" s="61"/>
      <c r="H208" s="64"/>
      <c r="I208" s="64"/>
      <c r="J208" s="61"/>
      <c r="K208" s="61"/>
      <c r="L208" s="61"/>
      <c r="M208" s="61"/>
      <c r="N208" s="61"/>
      <c r="O208" s="58"/>
      <c r="P208" s="58"/>
      <c r="Q208" s="13" t="e">
        <v>#N/A</v>
      </c>
      <c r="R208" s="13" t="e">
        <v>#N/A</v>
      </c>
      <c r="S208" s="13"/>
      <c r="T208" s="62"/>
      <c r="U208" s="13"/>
      <c r="V208" s="13"/>
      <c r="W208" s="59"/>
      <c r="X208" s="58"/>
      <c r="Y208" s="51">
        <f ca="1">Table24[[#This Row],[End Date]]+2-TODAY()</f>
        <v>-46242</v>
      </c>
      <c r="Z208" s="13">
        <f>IF(ISBLANK(Table24[[#This Row],[Roster Received By]]),1,0)</f>
        <v>1</v>
      </c>
      <c r="AA208" s="13">
        <f ca="1">IF(Table24[[#This Row],[Start Date]]&gt;TODAY(),1,)</f>
        <v>0</v>
      </c>
    </row>
    <row r="209" spans="2:27" s="46" customFormat="1" x14ac:dyDescent="0.25">
      <c r="B209" s="58"/>
      <c r="C209" s="59"/>
      <c r="D209" s="59"/>
      <c r="E209" s="47"/>
      <c r="F209" s="61"/>
      <c r="G209" s="61"/>
      <c r="H209" s="64"/>
      <c r="I209" s="64"/>
      <c r="J209" s="61"/>
      <c r="K209" s="61"/>
      <c r="L209" s="61"/>
      <c r="M209" s="61"/>
      <c r="N209" s="61"/>
      <c r="O209" s="58"/>
      <c r="P209" s="58"/>
      <c r="Q209" s="13" t="e">
        <v>#N/A</v>
      </c>
      <c r="R209" s="13" t="e">
        <v>#N/A</v>
      </c>
      <c r="S209" s="13"/>
      <c r="T209" s="62"/>
      <c r="U209" s="13"/>
      <c r="V209" s="13"/>
      <c r="W209" s="13"/>
      <c r="X209" s="58"/>
      <c r="Y209" s="51">
        <f ca="1">Table24[[#This Row],[End Date]]+2-TODAY()</f>
        <v>-46242</v>
      </c>
      <c r="Z209" s="13">
        <f>IF(ISBLANK(Table24[[#This Row],[Roster Received By]]),1,0)</f>
        <v>1</v>
      </c>
      <c r="AA209" s="13">
        <f ca="1">IF(Table24[[#This Row],[Start Date]]&gt;TODAY(),1,)</f>
        <v>0</v>
      </c>
    </row>
    <row r="210" spans="2:27" s="46" customFormat="1" x14ac:dyDescent="0.25">
      <c r="B210" s="58"/>
      <c r="C210" s="59" t="e">
        <v>#N/A</v>
      </c>
      <c r="D210" s="59" t="e">
        <v>#N/A</v>
      </c>
      <c r="E210" s="47"/>
      <c r="F210" s="61"/>
      <c r="G210" s="61"/>
      <c r="H210" s="64"/>
      <c r="I210" s="64"/>
      <c r="J210" s="61"/>
      <c r="K210" s="61"/>
      <c r="L210" s="61"/>
      <c r="M210" s="61"/>
      <c r="N210" s="61"/>
      <c r="O210" s="58"/>
      <c r="P210" s="58"/>
      <c r="Q210" s="13" t="e">
        <v>#N/A</v>
      </c>
      <c r="R210" s="13" t="e">
        <v>#N/A</v>
      </c>
      <c r="S210" s="13"/>
      <c r="T210" s="62"/>
      <c r="U210" s="13"/>
      <c r="V210" s="13"/>
      <c r="W210" s="13"/>
      <c r="X210" s="58"/>
      <c r="Y210" s="51">
        <f ca="1">Table24[[#This Row],[End Date]]+2-TODAY()</f>
        <v>-46242</v>
      </c>
      <c r="Z210" s="13">
        <f>IF(ISBLANK(Table24[[#This Row],[Roster Received By]]),1,0)</f>
        <v>1</v>
      </c>
      <c r="AA210" s="13">
        <f ca="1">IF(Table24[[#This Row],[Start Date]]&gt;TODAY(),1,)</f>
        <v>0</v>
      </c>
    </row>
    <row r="211" spans="2:27" s="46" customFormat="1" x14ac:dyDescent="0.25">
      <c r="B211" s="58"/>
      <c r="C211" s="59" t="e">
        <v>#N/A</v>
      </c>
      <c r="D211" s="59" t="e">
        <v>#N/A</v>
      </c>
      <c r="E211" s="58"/>
      <c r="F211" s="61"/>
      <c r="G211" s="61"/>
      <c r="H211" s="64"/>
      <c r="I211" s="64"/>
      <c r="J211" s="61"/>
      <c r="K211" s="61"/>
      <c r="L211" s="61"/>
      <c r="M211" s="61"/>
      <c r="N211" s="61"/>
      <c r="O211" s="58"/>
      <c r="P211" s="58"/>
      <c r="Q211" s="13" t="e">
        <v>#N/A</v>
      </c>
      <c r="R211" s="13" t="e">
        <v>#N/A</v>
      </c>
      <c r="S211" s="13"/>
      <c r="T211" s="62"/>
      <c r="U211" s="13"/>
      <c r="V211" s="13"/>
      <c r="W211" s="13"/>
      <c r="X211" s="58"/>
      <c r="Y211" s="51">
        <f ca="1">Table24[[#This Row],[End Date]]+2-TODAY()</f>
        <v>-46242</v>
      </c>
      <c r="Z211" s="13">
        <f>IF(ISBLANK(Table24[[#This Row],[Roster Received By]]),1,0)</f>
        <v>1</v>
      </c>
      <c r="AA211" s="13">
        <f ca="1">IF(Table24[[#This Row],[Start Date]]&gt;TODAY(),1,)</f>
        <v>0</v>
      </c>
    </row>
    <row r="212" spans="2:27" s="46" customFormat="1" x14ac:dyDescent="0.25">
      <c r="B212" s="58"/>
      <c r="C212" s="59" t="e">
        <v>#N/A</v>
      </c>
      <c r="D212" s="59" t="e">
        <v>#N/A</v>
      </c>
      <c r="E212" s="58"/>
      <c r="F212" s="61"/>
      <c r="G212" s="61"/>
      <c r="H212" s="64"/>
      <c r="I212" s="64"/>
      <c r="J212" s="61"/>
      <c r="K212" s="61"/>
      <c r="L212" s="61"/>
      <c r="M212" s="61"/>
      <c r="N212" s="61"/>
      <c r="O212" s="58"/>
      <c r="P212" s="58"/>
      <c r="Q212" s="13" t="e">
        <v>#N/A</v>
      </c>
      <c r="R212" s="13" t="e">
        <v>#N/A</v>
      </c>
      <c r="S212" s="13"/>
      <c r="T212" s="62"/>
      <c r="U212" s="13"/>
      <c r="V212" s="13"/>
      <c r="W212" s="13"/>
      <c r="X212" s="58"/>
      <c r="Y212" s="51">
        <f ca="1">Table24[[#This Row],[End Date]]+2-TODAY()</f>
        <v>-46242</v>
      </c>
      <c r="Z212" s="13">
        <f>IF(ISBLANK(Table24[[#This Row],[Roster Received By]]),1,0)</f>
        <v>1</v>
      </c>
      <c r="AA212" s="13">
        <f ca="1">IF(Table24[[#This Row],[Start Date]]&gt;TODAY(),1,)</f>
        <v>0</v>
      </c>
    </row>
    <row r="213" spans="2:27" s="46" customFormat="1" x14ac:dyDescent="0.25">
      <c r="B213" s="58"/>
      <c r="C213" s="59" t="e">
        <v>#N/A</v>
      </c>
      <c r="D213" s="59" t="e">
        <v>#N/A</v>
      </c>
      <c r="E213" s="58"/>
      <c r="F213" s="61"/>
      <c r="G213" s="61"/>
      <c r="H213" s="64"/>
      <c r="I213" s="64"/>
      <c r="J213" s="61"/>
      <c r="K213" s="61"/>
      <c r="L213" s="61"/>
      <c r="M213" s="61"/>
      <c r="N213" s="61"/>
      <c r="O213" s="58"/>
      <c r="P213" s="58"/>
      <c r="Q213" s="13" t="e">
        <v>#N/A</v>
      </c>
      <c r="R213" s="13" t="e">
        <v>#N/A</v>
      </c>
      <c r="S213" s="62"/>
      <c r="T213" s="62"/>
      <c r="U213" s="13"/>
      <c r="V213" s="13"/>
      <c r="W213" s="13"/>
      <c r="X213" s="58"/>
      <c r="Y213" s="51">
        <f ca="1">Table24[[#This Row],[End Date]]+2-TODAY()</f>
        <v>-46242</v>
      </c>
      <c r="Z213" s="13">
        <f>IF(ISBLANK(Table24[[#This Row],[Roster Received By]]),1,0)</f>
        <v>1</v>
      </c>
      <c r="AA213" s="13">
        <f ca="1">IF(Table24[[#This Row],[Start Date]]&gt;TODAY(),1,)</f>
        <v>0</v>
      </c>
    </row>
    <row r="214" spans="2:27" s="46" customFormat="1" x14ac:dyDescent="0.25">
      <c r="B214" s="58"/>
      <c r="C214" s="59" t="e">
        <v>#N/A</v>
      </c>
      <c r="D214" s="59" t="e">
        <v>#N/A</v>
      </c>
      <c r="E214" s="58"/>
      <c r="F214" s="61"/>
      <c r="G214" s="61"/>
      <c r="H214" s="64"/>
      <c r="I214" s="64"/>
      <c r="J214" s="64"/>
      <c r="K214" s="64"/>
      <c r="L214" s="64"/>
      <c r="M214" s="64"/>
      <c r="N214" s="61"/>
      <c r="O214" s="58"/>
      <c r="P214" s="58"/>
      <c r="Q214" s="13" t="e">
        <v>#N/A</v>
      </c>
      <c r="R214" s="13" t="e">
        <v>#N/A</v>
      </c>
      <c r="S214" s="13"/>
      <c r="T214" s="62"/>
      <c r="U214" s="13"/>
      <c r="V214" s="13"/>
      <c r="W214" s="13"/>
      <c r="X214" s="58"/>
      <c r="Y214" s="51">
        <f ca="1">Table24[[#This Row],[End Date]]+2-TODAY()</f>
        <v>-46242</v>
      </c>
      <c r="Z214" s="13">
        <f>IF(ISBLANK(Table24[[#This Row],[Roster Received By]]),1,0)</f>
        <v>1</v>
      </c>
      <c r="AA214" s="13">
        <f ca="1">IF(Table24[[#This Row],[Start Date]]&gt;TODAY(),1,)</f>
        <v>0</v>
      </c>
    </row>
    <row r="215" spans="2:27" s="46" customFormat="1" x14ac:dyDescent="0.25">
      <c r="B215" s="58"/>
      <c r="C215" s="59" t="e">
        <v>#N/A</v>
      </c>
      <c r="D215" s="59" t="e">
        <v>#N/A</v>
      </c>
      <c r="E215" s="58"/>
      <c r="F215" s="61"/>
      <c r="G215" s="61"/>
      <c r="H215" s="61"/>
      <c r="I215" s="60"/>
      <c r="J215" s="60"/>
      <c r="K215" s="60"/>
      <c r="L215" s="60"/>
      <c r="M215" s="60"/>
      <c r="N215" s="60"/>
      <c r="O215" s="58"/>
      <c r="P215" s="58"/>
      <c r="Q215" s="13" t="e">
        <v>#N/A</v>
      </c>
      <c r="R215" s="13" t="e">
        <v>#N/A</v>
      </c>
      <c r="S215" s="13"/>
      <c r="T215" s="62"/>
      <c r="U215" s="13"/>
      <c r="V215" s="13"/>
      <c r="W215" s="13"/>
      <c r="X215" s="58"/>
      <c r="Y215" s="51">
        <f ca="1">Table24[[#This Row],[End Date]]+2-TODAY()</f>
        <v>-46242</v>
      </c>
      <c r="Z215" s="13">
        <f>IF(ISBLANK(Table24[[#This Row],[Roster Received By]]),1,0)</f>
        <v>1</v>
      </c>
      <c r="AA215" s="13">
        <f ca="1">IF(Table24[[#This Row],[Start Date]]&gt;TODAY(),1,)</f>
        <v>0</v>
      </c>
    </row>
    <row r="216" spans="2:27" s="46" customFormat="1" x14ac:dyDescent="0.25">
      <c r="B216" s="58"/>
      <c r="C216" s="59" t="e">
        <v>#N/A</v>
      </c>
      <c r="D216" s="59" t="e">
        <v>#N/A</v>
      </c>
      <c r="E216" s="47"/>
      <c r="F216" s="61"/>
      <c r="G216" s="61"/>
      <c r="H216" s="64"/>
      <c r="I216" s="64"/>
      <c r="J216" s="61"/>
      <c r="K216" s="61"/>
      <c r="L216" s="61"/>
      <c r="M216" s="61"/>
      <c r="N216" s="61"/>
      <c r="O216" s="58"/>
      <c r="P216" s="58"/>
      <c r="Q216" s="13" t="e">
        <v>#N/A</v>
      </c>
      <c r="R216" s="13" t="e">
        <v>#N/A</v>
      </c>
      <c r="S216" s="13"/>
      <c r="T216" s="62"/>
      <c r="U216" s="13"/>
      <c r="V216" s="13"/>
      <c r="W216" s="13"/>
      <c r="X216" s="58"/>
      <c r="Y216" s="51">
        <f ca="1">Table24[[#This Row],[End Date]]+2-TODAY()</f>
        <v>-46242</v>
      </c>
      <c r="Z216" s="13">
        <f>IF(ISBLANK(Table24[[#This Row],[Roster Received By]]),1,0)</f>
        <v>1</v>
      </c>
      <c r="AA216" s="13">
        <f ca="1">IF(Table24[[#This Row],[Start Date]]&gt;TODAY(),1,)</f>
        <v>0</v>
      </c>
    </row>
    <row r="217" spans="2:27" s="46" customFormat="1" x14ac:dyDescent="0.25">
      <c r="B217" s="58"/>
      <c r="C217" s="59" t="e">
        <v>#N/A</v>
      </c>
      <c r="D217" s="59" t="e">
        <v>#N/A</v>
      </c>
      <c r="E217" s="58"/>
      <c r="F217" s="61"/>
      <c r="G217" s="61"/>
      <c r="H217" s="64"/>
      <c r="I217" s="64"/>
      <c r="J217" s="93"/>
      <c r="K217" s="93"/>
      <c r="L217" s="93"/>
      <c r="M217" s="93"/>
      <c r="N217" s="61"/>
      <c r="O217" s="58"/>
      <c r="P217" s="58"/>
      <c r="Q217" s="13" t="e">
        <v>#N/A</v>
      </c>
      <c r="R217" s="13" t="e">
        <v>#N/A</v>
      </c>
      <c r="S217" s="13"/>
      <c r="T217" s="62"/>
      <c r="U217" s="13"/>
      <c r="V217" s="13"/>
      <c r="W217" s="66"/>
      <c r="X217" s="58"/>
      <c r="Y217" s="51">
        <f ca="1">Table24[[#This Row],[End Date]]+2-TODAY()</f>
        <v>-46242</v>
      </c>
      <c r="Z217" s="13">
        <f>IF(ISBLANK(Table24[[#This Row],[Roster Received By]]),1,0)</f>
        <v>1</v>
      </c>
      <c r="AA217" s="13">
        <f ca="1">IF(Table24[[#This Row],[Start Date]]&gt;TODAY(),1,)</f>
        <v>0</v>
      </c>
    </row>
    <row r="218" spans="2:27" s="46" customFormat="1" x14ac:dyDescent="0.25">
      <c r="B218" s="58"/>
      <c r="C218" s="59" t="e">
        <v>#N/A</v>
      </c>
      <c r="D218" s="59" t="e">
        <v>#N/A</v>
      </c>
      <c r="E218" s="58"/>
      <c r="F218" s="61"/>
      <c r="G218" s="61"/>
      <c r="H218" s="61"/>
      <c r="I218" s="60"/>
      <c r="J218" s="60"/>
      <c r="K218" s="60"/>
      <c r="L218" s="60"/>
      <c r="M218" s="60"/>
      <c r="N218" s="60"/>
      <c r="O218" s="58"/>
      <c r="P218" s="58"/>
      <c r="Q218" s="13" t="e">
        <v>#N/A</v>
      </c>
      <c r="R218" s="13" t="e">
        <v>#N/A</v>
      </c>
      <c r="S218" s="13"/>
      <c r="T218" s="62"/>
      <c r="U218" s="13"/>
      <c r="V218" s="13"/>
      <c r="W218" s="13"/>
      <c r="X218" s="58"/>
      <c r="Y218" s="51">
        <f ca="1">Table24[[#This Row],[End Date]]+2-TODAY()</f>
        <v>-46242</v>
      </c>
      <c r="Z218" s="13">
        <f>IF(ISBLANK(Table24[[#This Row],[Roster Received By]]),1,0)</f>
        <v>1</v>
      </c>
      <c r="AA218" s="13">
        <f ca="1">IF(Table24[[#This Row],[Start Date]]&gt;TODAY(),1,)</f>
        <v>0</v>
      </c>
    </row>
    <row r="219" spans="2:27" s="46" customFormat="1" x14ac:dyDescent="0.25">
      <c r="B219" s="58"/>
      <c r="C219" s="59" t="e">
        <v>#N/A</v>
      </c>
      <c r="D219" s="59" t="e">
        <v>#N/A</v>
      </c>
      <c r="E219" s="58"/>
      <c r="F219" s="61"/>
      <c r="G219" s="61"/>
      <c r="H219" s="61"/>
      <c r="I219" s="60"/>
      <c r="J219" s="60"/>
      <c r="K219" s="60"/>
      <c r="L219" s="60"/>
      <c r="M219" s="60"/>
      <c r="N219" s="60"/>
      <c r="O219" s="58"/>
      <c r="P219" s="58"/>
      <c r="Q219" s="13" t="e">
        <v>#N/A</v>
      </c>
      <c r="R219" s="13" t="e">
        <v>#N/A</v>
      </c>
      <c r="S219" s="13"/>
      <c r="T219" s="62"/>
      <c r="U219" s="13"/>
      <c r="V219" s="13"/>
      <c r="W219" s="13"/>
      <c r="X219" s="58"/>
      <c r="Y219" s="51">
        <f ca="1">Table24[[#This Row],[End Date]]+2-TODAY()</f>
        <v>-46242</v>
      </c>
      <c r="Z219" s="13">
        <f>IF(ISBLANK(Table24[[#This Row],[Roster Received By]]),1,0)</f>
        <v>1</v>
      </c>
      <c r="AA219" s="13">
        <f ca="1">IF(Table24[[#This Row],[Start Date]]&gt;TODAY(),1,)</f>
        <v>0</v>
      </c>
    </row>
    <row r="220" spans="2:27" s="46" customFormat="1" x14ac:dyDescent="0.25">
      <c r="B220" s="58"/>
      <c r="C220" s="59" t="e">
        <v>#N/A</v>
      </c>
      <c r="D220" s="59" t="e">
        <v>#N/A</v>
      </c>
      <c r="E220" s="58"/>
      <c r="F220" s="61"/>
      <c r="G220" s="61"/>
      <c r="H220" s="61"/>
      <c r="I220" s="60"/>
      <c r="J220" s="60"/>
      <c r="K220" s="60"/>
      <c r="L220" s="60"/>
      <c r="M220" s="60"/>
      <c r="N220" s="60"/>
      <c r="O220" s="58"/>
      <c r="P220" s="58"/>
      <c r="Q220" s="13" t="e">
        <v>#N/A</v>
      </c>
      <c r="R220" s="13" t="e">
        <v>#N/A</v>
      </c>
      <c r="S220" s="13"/>
      <c r="T220" s="62"/>
      <c r="U220" s="13"/>
      <c r="V220" s="13"/>
      <c r="W220" s="13"/>
      <c r="X220" s="58"/>
      <c r="Y220" s="51">
        <f ca="1">Table24[[#This Row],[End Date]]+2-TODAY()</f>
        <v>-46242</v>
      </c>
      <c r="Z220" s="13">
        <f>IF(ISBLANK(Table24[[#This Row],[Roster Received By]]),1,0)</f>
        <v>1</v>
      </c>
      <c r="AA220" s="13">
        <f ca="1">IF(Table24[[#This Row],[Start Date]]&gt;TODAY(),1,)</f>
        <v>0</v>
      </c>
    </row>
    <row r="221" spans="2:27" s="46" customFormat="1" x14ac:dyDescent="0.25">
      <c r="B221" s="58"/>
      <c r="C221" s="59" t="e">
        <v>#N/A</v>
      </c>
      <c r="D221" s="59" t="e">
        <v>#N/A</v>
      </c>
      <c r="E221" s="47"/>
      <c r="F221" s="61"/>
      <c r="G221" s="61"/>
      <c r="H221" s="67"/>
      <c r="I221" s="67"/>
      <c r="J221" s="61"/>
      <c r="K221" s="61"/>
      <c r="L221" s="61"/>
      <c r="M221" s="61"/>
      <c r="N221" s="61"/>
      <c r="O221" s="58"/>
      <c r="P221" s="58"/>
      <c r="Q221" s="13" t="e">
        <v>#N/A</v>
      </c>
      <c r="R221" s="13" t="e">
        <v>#N/A</v>
      </c>
      <c r="S221" s="13"/>
      <c r="T221" s="62"/>
      <c r="U221" s="13"/>
      <c r="V221" s="13"/>
      <c r="W221" s="62"/>
      <c r="X221" s="58"/>
      <c r="Y221" s="51">
        <f ca="1">Table24[[#This Row],[End Date]]+2-TODAY()</f>
        <v>-46242</v>
      </c>
      <c r="Z221" s="13">
        <f>IF(ISBLANK(Table24[[#This Row],[Roster Received By]]),1,0)</f>
        <v>1</v>
      </c>
      <c r="AA221" s="13">
        <f ca="1">IF(Table24[[#This Row],[Start Date]]&gt;TODAY(),1,)</f>
        <v>0</v>
      </c>
    </row>
    <row r="222" spans="2:27" s="46" customFormat="1" x14ac:dyDescent="0.25">
      <c r="B222" s="58"/>
      <c r="C222" s="59" t="e">
        <v>#N/A</v>
      </c>
      <c r="D222" s="59" t="e">
        <v>#N/A</v>
      </c>
      <c r="E222" s="58"/>
      <c r="F222" s="61"/>
      <c r="G222" s="61"/>
      <c r="H222" s="61"/>
      <c r="I222" s="60"/>
      <c r="J222" s="60"/>
      <c r="K222" s="60"/>
      <c r="L222" s="60"/>
      <c r="M222" s="60"/>
      <c r="N222" s="60"/>
      <c r="O222" s="58"/>
      <c r="P222" s="58"/>
      <c r="Q222" s="13" t="e">
        <v>#N/A</v>
      </c>
      <c r="R222" s="13" t="e">
        <v>#N/A</v>
      </c>
      <c r="S222" s="13"/>
      <c r="T222" s="62"/>
      <c r="U222" s="13"/>
      <c r="V222" s="13"/>
      <c r="W222" s="13"/>
      <c r="X222" s="58"/>
      <c r="Y222" s="51">
        <f ca="1">Table24[[#This Row],[End Date]]+2-TODAY()</f>
        <v>-46242</v>
      </c>
      <c r="Z222" s="13">
        <f>IF(ISBLANK(Table24[[#This Row],[Roster Received By]]),1,0)</f>
        <v>1</v>
      </c>
      <c r="AA222" s="13">
        <f ca="1">IF(Table24[[#This Row],[Start Date]]&gt;TODAY(),1,)</f>
        <v>0</v>
      </c>
    </row>
    <row r="223" spans="2:27" s="46" customFormat="1" x14ac:dyDescent="0.25">
      <c r="B223" s="58"/>
      <c r="C223" s="59" t="e">
        <v>#N/A</v>
      </c>
      <c r="D223" s="59" t="e">
        <v>#N/A</v>
      </c>
      <c r="E223" s="58"/>
      <c r="F223" s="61"/>
      <c r="G223" s="61"/>
      <c r="H223" s="61"/>
      <c r="I223" s="60"/>
      <c r="J223" s="60"/>
      <c r="K223" s="60"/>
      <c r="L223" s="60"/>
      <c r="M223" s="60"/>
      <c r="N223" s="60"/>
      <c r="O223" s="58"/>
      <c r="P223" s="58"/>
      <c r="Q223" s="13" t="e">
        <v>#N/A</v>
      </c>
      <c r="R223" s="13" t="e">
        <v>#N/A</v>
      </c>
      <c r="S223" s="13"/>
      <c r="T223" s="62"/>
      <c r="U223" s="13"/>
      <c r="V223" s="13"/>
      <c r="W223" s="63"/>
      <c r="X223" s="58"/>
      <c r="Y223" s="51">
        <f ca="1">Table24[[#This Row],[End Date]]+2-TODAY()</f>
        <v>-46242</v>
      </c>
      <c r="Z223" s="13">
        <f>IF(ISBLANK(Table24[[#This Row],[Roster Received By]]),1,0)</f>
        <v>1</v>
      </c>
      <c r="AA223" s="13">
        <f ca="1">IF(Table24[[#This Row],[Start Date]]&gt;TODAY(),1,)</f>
        <v>0</v>
      </c>
    </row>
    <row r="224" spans="2:27" s="46" customFormat="1" x14ac:dyDescent="0.25">
      <c r="B224" s="58"/>
      <c r="C224" s="59" t="e">
        <v>#N/A</v>
      </c>
      <c r="D224" s="59" t="e">
        <v>#N/A</v>
      </c>
      <c r="E224" s="47"/>
      <c r="F224" s="61"/>
      <c r="G224" s="61"/>
      <c r="H224" s="64"/>
      <c r="I224" s="64"/>
      <c r="J224" s="61"/>
      <c r="K224" s="61"/>
      <c r="L224" s="61"/>
      <c r="M224" s="61"/>
      <c r="N224" s="61"/>
      <c r="O224" s="58"/>
      <c r="P224" s="58"/>
      <c r="Q224" s="13" t="e">
        <v>#N/A</v>
      </c>
      <c r="R224" s="13" t="e">
        <v>#N/A</v>
      </c>
      <c r="S224" s="13"/>
      <c r="T224" s="62"/>
      <c r="U224" s="13"/>
      <c r="V224" s="13"/>
      <c r="W224" s="59"/>
      <c r="X224" s="58"/>
      <c r="Y224" s="51">
        <f ca="1">Table24[[#This Row],[End Date]]+2-TODAY()</f>
        <v>-46242</v>
      </c>
      <c r="Z224" s="13">
        <f>IF(ISBLANK(Table24[[#This Row],[Roster Received By]]),1,0)</f>
        <v>1</v>
      </c>
      <c r="AA224" s="13">
        <f ca="1">IF(Table24[[#This Row],[Start Date]]&gt;TODAY(),1,)</f>
        <v>0</v>
      </c>
    </row>
    <row r="225" spans="1:27" s="72" customFormat="1" x14ac:dyDescent="0.25">
      <c r="A225" s="46"/>
      <c r="B225" s="58"/>
      <c r="C225" s="59" t="e">
        <v>#N/A</v>
      </c>
      <c r="D225" s="59" t="e">
        <v>#N/A</v>
      </c>
      <c r="E225" s="58"/>
      <c r="F225" s="61"/>
      <c r="G225" s="61"/>
      <c r="H225" s="61"/>
      <c r="I225" s="60"/>
      <c r="J225" s="60"/>
      <c r="K225" s="60"/>
      <c r="L225" s="60"/>
      <c r="M225" s="60"/>
      <c r="N225" s="60"/>
      <c r="O225" s="58"/>
      <c r="P225" s="58"/>
      <c r="Q225" s="13" t="e">
        <v>#N/A</v>
      </c>
      <c r="R225" s="13" t="e">
        <v>#N/A</v>
      </c>
      <c r="S225" s="13"/>
      <c r="T225" s="62"/>
      <c r="U225" s="13"/>
      <c r="V225" s="13"/>
      <c r="W225" s="13"/>
      <c r="X225" s="58"/>
      <c r="Y225" s="51">
        <f ca="1">Table24[[#This Row],[End Date]]+2-TODAY()</f>
        <v>-46242</v>
      </c>
      <c r="Z225" s="13">
        <f>IF(ISBLANK(Table24[[#This Row],[Roster Received By]]),1,0)</f>
        <v>1</v>
      </c>
      <c r="AA225" s="13">
        <f ca="1">IF(Table24[[#This Row],[Start Date]]&gt;TODAY(),1,)</f>
        <v>0</v>
      </c>
    </row>
    <row r="226" spans="1:27" s="46" customFormat="1" x14ac:dyDescent="0.25">
      <c r="A226" s="58"/>
      <c r="B226" s="58"/>
      <c r="C226" s="59" t="e">
        <v>#N/A</v>
      </c>
      <c r="D226" s="59" t="e">
        <v>#N/A</v>
      </c>
      <c r="E226" s="47"/>
      <c r="F226" s="61"/>
      <c r="G226" s="61"/>
      <c r="H226" s="64"/>
      <c r="I226" s="64"/>
      <c r="J226" s="61"/>
      <c r="K226" s="61"/>
      <c r="L226" s="61"/>
      <c r="M226" s="61"/>
      <c r="N226" s="61"/>
      <c r="O226" s="58"/>
      <c r="P226" s="58"/>
      <c r="Q226" s="13" t="e">
        <v>#N/A</v>
      </c>
      <c r="R226" s="13" t="e">
        <v>#N/A</v>
      </c>
      <c r="S226" s="13"/>
      <c r="T226" s="62"/>
      <c r="U226" s="13"/>
      <c r="V226" s="13"/>
      <c r="W226" s="59"/>
      <c r="X226" s="58"/>
      <c r="Y226" s="51">
        <f ca="1">Table24[[#This Row],[End Date]]+2-TODAY()</f>
        <v>-46242</v>
      </c>
      <c r="Z226" s="13">
        <f>IF(ISBLANK(Table24[[#This Row],[Roster Received By]]),1,0)</f>
        <v>1</v>
      </c>
      <c r="AA226" s="13">
        <f ca="1">IF(Table24[[#This Row],[Start Date]]&gt;TODAY(),1,)</f>
        <v>0</v>
      </c>
    </row>
    <row r="227" spans="1:27" s="46" customFormat="1" x14ac:dyDescent="0.25">
      <c r="B227" s="58"/>
      <c r="C227" s="59" t="e">
        <v>#N/A</v>
      </c>
      <c r="D227" s="59" t="e">
        <v>#N/A</v>
      </c>
      <c r="E227" s="58"/>
      <c r="F227" s="61"/>
      <c r="G227" s="61"/>
      <c r="H227" s="64"/>
      <c r="I227" s="64"/>
      <c r="J227" s="61"/>
      <c r="K227" s="61"/>
      <c r="L227" s="61"/>
      <c r="M227" s="61"/>
      <c r="N227" s="61"/>
      <c r="O227" s="58"/>
      <c r="P227" s="58"/>
      <c r="Q227" s="13" t="e">
        <v>#N/A</v>
      </c>
      <c r="R227" s="13" t="e">
        <v>#N/A</v>
      </c>
      <c r="S227" s="13"/>
      <c r="T227" s="62"/>
      <c r="U227" s="13"/>
      <c r="V227" s="13"/>
      <c r="W227" s="59"/>
      <c r="X227" s="58"/>
      <c r="Y227" s="51">
        <f ca="1">Table24[[#This Row],[End Date]]+2-TODAY()</f>
        <v>-46242</v>
      </c>
      <c r="Z227" s="13">
        <f>IF(ISBLANK(Table24[[#This Row],[Roster Received By]]),1,0)</f>
        <v>1</v>
      </c>
      <c r="AA227" s="13">
        <f ca="1">IF(Table24[[#This Row],[Start Date]]&gt;TODAY(),1,)</f>
        <v>0</v>
      </c>
    </row>
    <row r="228" spans="1:27" s="46" customFormat="1" x14ac:dyDescent="0.25">
      <c r="B228" s="58"/>
      <c r="C228" s="59" t="e">
        <v>#N/A</v>
      </c>
      <c r="D228" s="59" t="e">
        <v>#N/A</v>
      </c>
      <c r="E228" s="58"/>
      <c r="F228" s="61"/>
      <c r="G228" s="61"/>
      <c r="H228" s="61"/>
      <c r="I228" s="60"/>
      <c r="J228" s="60"/>
      <c r="K228" s="60"/>
      <c r="L228" s="60"/>
      <c r="M228" s="60"/>
      <c r="N228" s="60"/>
      <c r="O228" s="58"/>
      <c r="P228" s="58"/>
      <c r="Q228" s="13" t="e">
        <v>#N/A</v>
      </c>
      <c r="R228" s="13" t="e">
        <v>#N/A</v>
      </c>
      <c r="S228" s="13"/>
      <c r="T228" s="62"/>
      <c r="U228" s="13"/>
      <c r="V228" s="13"/>
      <c r="W228" s="13"/>
      <c r="X228" s="58"/>
      <c r="Y228" s="51">
        <f ca="1">Table24[[#This Row],[End Date]]+2-TODAY()</f>
        <v>-46242</v>
      </c>
      <c r="Z228" s="13">
        <f>IF(ISBLANK(Table24[[#This Row],[Roster Received By]]),1,0)</f>
        <v>1</v>
      </c>
      <c r="AA228" s="13">
        <f ca="1">IF(Table24[[#This Row],[Start Date]]&gt;TODAY(),1,)</f>
        <v>0</v>
      </c>
    </row>
    <row r="229" spans="1:27" s="46" customFormat="1" x14ac:dyDescent="0.25">
      <c r="B229" s="58"/>
      <c r="C229" s="59" t="e">
        <v>#N/A</v>
      </c>
      <c r="D229" s="59" t="e">
        <v>#N/A</v>
      </c>
      <c r="E229" s="58"/>
      <c r="F229" s="61"/>
      <c r="G229" s="61"/>
      <c r="H229" s="64"/>
      <c r="I229" s="64"/>
      <c r="J229" s="64"/>
      <c r="K229" s="64"/>
      <c r="L229" s="64"/>
      <c r="M229" s="64"/>
      <c r="N229" s="61"/>
      <c r="O229" s="58"/>
      <c r="P229" s="58"/>
      <c r="Q229" s="13" t="e">
        <v>#N/A</v>
      </c>
      <c r="R229" s="13" t="e">
        <v>#N/A</v>
      </c>
      <c r="S229" s="13"/>
      <c r="T229" s="62"/>
      <c r="U229" s="13"/>
      <c r="V229" s="13"/>
      <c r="W229" s="13"/>
      <c r="X229" s="58"/>
      <c r="Y229" s="51">
        <f ca="1">Table24[[#This Row],[End Date]]+2-TODAY()</f>
        <v>-46242</v>
      </c>
      <c r="Z229" s="13">
        <f>IF(ISBLANK(Table24[[#This Row],[Roster Received By]]),1,0)</f>
        <v>1</v>
      </c>
      <c r="AA229" s="13">
        <f ca="1">IF(Table24[[#This Row],[Start Date]]&gt;TODAY(),1,)</f>
        <v>0</v>
      </c>
    </row>
    <row r="230" spans="1:27" s="46" customFormat="1" x14ac:dyDescent="0.25">
      <c r="B230" s="58"/>
      <c r="C230" s="59" t="e">
        <v>#N/A</v>
      </c>
      <c r="D230" s="59" t="e">
        <v>#N/A</v>
      </c>
      <c r="E230" s="58"/>
      <c r="F230" s="61"/>
      <c r="G230" s="61"/>
      <c r="H230" s="64"/>
      <c r="I230" s="64"/>
      <c r="J230" s="64"/>
      <c r="K230" s="64"/>
      <c r="L230" s="64"/>
      <c r="M230" s="64"/>
      <c r="N230" s="61"/>
      <c r="O230" s="58"/>
      <c r="P230" s="58"/>
      <c r="Q230" s="13" t="e">
        <v>#N/A</v>
      </c>
      <c r="R230" s="13" t="e">
        <v>#N/A</v>
      </c>
      <c r="S230" s="13"/>
      <c r="T230" s="62"/>
      <c r="U230" s="13"/>
      <c r="V230" s="13"/>
      <c r="W230" s="13"/>
      <c r="X230" s="58"/>
      <c r="Y230" s="51">
        <f ca="1">Table24[[#This Row],[End Date]]+2-TODAY()</f>
        <v>-46242</v>
      </c>
      <c r="Z230" s="13">
        <f>IF(ISBLANK(Table24[[#This Row],[Roster Received By]]),1,0)</f>
        <v>1</v>
      </c>
      <c r="AA230" s="13">
        <f ca="1">IF(Table24[[#This Row],[Start Date]]&gt;TODAY(),1,)</f>
        <v>0</v>
      </c>
    </row>
    <row r="231" spans="1:27" s="46" customFormat="1" x14ac:dyDescent="0.25">
      <c r="B231" s="58"/>
      <c r="C231" s="59" t="e">
        <v>#N/A</v>
      </c>
      <c r="D231" s="59" t="e">
        <v>#N/A</v>
      </c>
      <c r="E231" s="58"/>
      <c r="F231" s="61"/>
      <c r="G231" s="61"/>
      <c r="H231" s="61"/>
      <c r="I231" s="60"/>
      <c r="J231" s="60"/>
      <c r="K231" s="60"/>
      <c r="L231" s="60"/>
      <c r="M231" s="60"/>
      <c r="N231" s="60"/>
      <c r="O231" s="58"/>
      <c r="P231" s="58"/>
      <c r="Q231" s="13" t="e">
        <v>#N/A</v>
      </c>
      <c r="R231" s="13" t="e">
        <v>#N/A</v>
      </c>
      <c r="S231" s="13"/>
      <c r="T231" s="62"/>
      <c r="U231" s="13"/>
      <c r="V231" s="13"/>
      <c r="W231" s="13"/>
      <c r="X231" s="58"/>
      <c r="Y231" s="51">
        <f ca="1">Table24[[#This Row],[End Date]]+2-TODAY()</f>
        <v>-46242</v>
      </c>
      <c r="Z231" s="13">
        <f>IF(ISBLANK(Table24[[#This Row],[Roster Received By]]),1,0)</f>
        <v>1</v>
      </c>
      <c r="AA231" s="13">
        <f ca="1">IF(Table24[[#This Row],[Start Date]]&gt;TODAY(),1,)</f>
        <v>0</v>
      </c>
    </row>
    <row r="232" spans="1:27" s="46" customFormat="1" x14ac:dyDescent="0.25">
      <c r="B232" s="58"/>
      <c r="C232" s="59" t="e">
        <v>#N/A</v>
      </c>
      <c r="D232" s="59" t="e">
        <v>#N/A</v>
      </c>
      <c r="E232" s="58"/>
      <c r="F232" s="61"/>
      <c r="G232" s="61"/>
      <c r="H232" s="61"/>
      <c r="I232" s="60"/>
      <c r="J232" s="60"/>
      <c r="K232" s="60"/>
      <c r="L232" s="60"/>
      <c r="M232" s="60"/>
      <c r="N232" s="60"/>
      <c r="O232" s="58"/>
      <c r="P232" s="58"/>
      <c r="Q232" s="13" t="e">
        <v>#N/A</v>
      </c>
      <c r="R232" s="13" t="e">
        <v>#N/A</v>
      </c>
      <c r="S232" s="13"/>
      <c r="T232" s="62"/>
      <c r="U232" s="13"/>
      <c r="V232" s="13"/>
      <c r="W232" s="13"/>
      <c r="X232" s="58"/>
      <c r="Y232" s="51">
        <f ca="1">Table24[[#This Row],[End Date]]+2-TODAY()</f>
        <v>-46242</v>
      </c>
      <c r="Z232" s="13">
        <f>IF(ISBLANK(Table24[[#This Row],[Roster Received By]]),1,0)</f>
        <v>1</v>
      </c>
      <c r="AA232" s="13">
        <f ca="1">IF(Table24[[#This Row],[Start Date]]&gt;TODAY(),1,)</f>
        <v>0</v>
      </c>
    </row>
    <row r="233" spans="1:27" s="46" customFormat="1" x14ac:dyDescent="0.25">
      <c r="B233" s="58"/>
      <c r="C233" s="59" t="e">
        <v>#N/A</v>
      </c>
      <c r="D233" s="59" t="e">
        <v>#N/A</v>
      </c>
      <c r="E233" s="58"/>
      <c r="F233" s="61"/>
      <c r="G233" s="61"/>
      <c r="H233" s="61"/>
      <c r="I233" s="60"/>
      <c r="J233" s="60"/>
      <c r="K233" s="60"/>
      <c r="L233" s="60"/>
      <c r="M233" s="60"/>
      <c r="N233" s="60"/>
      <c r="O233" s="58"/>
      <c r="P233" s="58"/>
      <c r="Q233" s="13" t="e">
        <v>#N/A</v>
      </c>
      <c r="R233" s="13" t="e">
        <v>#N/A</v>
      </c>
      <c r="S233" s="13"/>
      <c r="T233" s="62"/>
      <c r="U233" s="13"/>
      <c r="V233" s="13"/>
      <c r="W233" s="13"/>
      <c r="X233" s="58"/>
      <c r="Y233" s="51">
        <f ca="1">Table24[[#This Row],[End Date]]+2-TODAY()</f>
        <v>-46242</v>
      </c>
      <c r="Z233" s="13">
        <f>IF(ISBLANK(Table24[[#This Row],[Roster Received By]]),1,0)</f>
        <v>1</v>
      </c>
      <c r="AA233" s="13">
        <f ca="1">IF(Table24[[#This Row],[Start Date]]&gt;TODAY(),1,)</f>
        <v>0</v>
      </c>
    </row>
    <row r="234" spans="1:27" s="46" customFormat="1" x14ac:dyDescent="0.25">
      <c r="B234" s="58"/>
      <c r="C234" s="59" t="e">
        <v>#N/A</v>
      </c>
      <c r="D234" s="59" t="e">
        <v>#N/A</v>
      </c>
      <c r="E234" s="58"/>
      <c r="F234" s="61"/>
      <c r="G234" s="61"/>
      <c r="H234" s="61"/>
      <c r="I234" s="60"/>
      <c r="J234" s="60"/>
      <c r="K234" s="60"/>
      <c r="L234" s="60"/>
      <c r="M234" s="60"/>
      <c r="N234" s="60"/>
      <c r="O234" s="58"/>
      <c r="P234" s="58"/>
      <c r="Q234" s="13" t="e">
        <v>#N/A</v>
      </c>
      <c r="R234" s="13" t="e">
        <v>#N/A</v>
      </c>
      <c r="S234" s="13"/>
      <c r="T234" s="62"/>
      <c r="U234" s="13"/>
      <c r="V234" s="13"/>
      <c r="W234" s="13"/>
      <c r="X234" s="58"/>
      <c r="Y234" s="51">
        <f ca="1">Table24[[#This Row],[End Date]]+2-TODAY()</f>
        <v>-46242</v>
      </c>
      <c r="Z234" s="13">
        <f>IF(ISBLANK(Table24[[#This Row],[Roster Received By]]),1,0)</f>
        <v>1</v>
      </c>
      <c r="AA234" s="13">
        <f ca="1">IF(Table24[[#This Row],[Start Date]]&gt;TODAY(),1,)</f>
        <v>0</v>
      </c>
    </row>
    <row r="235" spans="1:27" s="46" customFormat="1" x14ac:dyDescent="0.25">
      <c r="B235" s="58"/>
      <c r="C235" s="59" t="e">
        <v>#N/A</v>
      </c>
      <c r="D235" s="59" t="e">
        <v>#N/A</v>
      </c>
      <c r="E235" s="58"/>
      <c r="F235" s="61"/>
      <c r="G235" s="61"/>
      <c r="H235" s="61"/>
      <c r="I235" s="60"/>
      <c r="J235" s="60"/>
      <c r="K235" s="60"/>
      <c r="L235" s="60"/>
      <c r="M235" s="60"/>
      <c r="N235" s="60"/>
      <c r="O235" s="58"/>
      <c r="P235" s="58"/>
      <c r="Q235" s="13" t="e">
        <v>#N/A</v>
      </c>
      <c r="R235" s="13" t="e">
        <v>#N/A</v>
      </c>
      <c r="S235" s="13"/>
      <c r="T235" s="62"/>
      <c r="U235" s="13"/>
      <c r="V235" s="13"/>
      <c r="W235" s="13"/>
      <c r="X235" s="58"/>
      <c r="Y235" s="51">
        <f ca="1">Table24[[#This Row],[End Date]]+2-TODAY()</f>
        <v>-46242</v>
      </c>
      <c r="Z235" s="13">
        <f>IF(ISBLANK(Table24[[#This Row],[Roster Received By]]),1,0)</f>
        <v>1</v>
      </c>
      <c r="AA235" s="13">
        <f ca="1">IF(Table24[[#This Row],[Start Date]]&gt;TODAY(),1,)</f>
        <v>0</v>
      </c>
    </row>
    <row r="236" spans="1:27" s="46" customFormat="1" x14ac:dyDescent="0.25">
      <c r="B236" s="58"/>
      <c r="C236" s="59" t="e">
        <v>#N/A</v>
      </c>
      <c r="D236" s="59" t="e">
        <v>#N/A</v>
      </c>
      <c r="E236" s="58"/>
      <c r="F236" s="61"/>
      <c r="G236" s="61"/>
      <c r="H236" s="67"/>
      <c r="I236" s="64"/>
      <c r="J236" s="61"/>
      <c r="K236" s="61"/>
      <c r="L236" s="61"/>
      <c r="M236" s="61"/>
      <c r="N236" s="61"/>
      <c r="O236" s="58"/>
      <c r="P236" s="58"/>
      <c r="Q236" s="13" t="e">
        <v>#N/A</v>
      </c>
      <c r="R236" s="13" t="e">
        <v>#N/A</v>
      </c>
      <c r="S236" s="62"/>
      <c r="T236" s="62"/>
      <c r="U236" s="13"/>
      <c r="V236" s="13"/>
      <c r="W236" s="13"/>
      <c r="X236" s="58"/>
      <c r="Y236" s="51">
        <f ca="1">Table24[[#This Row],[End Date]]+2-TODAY()</f>
        <v>-46242</v>
      </c>
      <c r="Z236" s="13">
        <f>IF(ISBLANK(Table24[[#This Row],[Roster Received By]]),1,0)</f>
        <v>1</v>
      </c>
      <c r="AA236" s="13">
        <f ca="1">IF(Table24[[#This Row],[Start Date]]&gt;TODAY(),1,)</f>
        <v>0</v>
      </c>
    </row>
    <row r="237" spans="1:27" s="46" customFormat="1" x14ac:dyDescent="0.25">
      <c r="B237" s="75"/>
      <c r="C237" s="59" t="e">
        <v>#N/A</v>
      </c>
      <c r="D237" s="59" t="e">
        <v>#N/A</v>
      </c>
      <c r="E237" s="58"/>
      <c r="F237" s="61"/>
      <c r="G237" s="61"/>
      <c r="H237" s="61"/>
      <c r="I237" s="60"/>
      <c r="J237" s="60"/>
      <c r="K237" s="60"/>
      <c r="L237" s="60"/>
      <c r="M237" s="60"/>
      <c r="N237" s="60"/>
      <c r="O237" s="58"/>
      <c r="P237" s="58"/>
      <c r="Q237" s="13" t="e">
        <v>#N/A</v>
      </c>
      <c r="R237" s="13" t="e">
        <v>#N/A</v>
      </c>
      <c r="S237" s="13"/>
      <c r="T237" s="62"/>
      <c r="U237" s="13"/>
      <c r="V237" s="13"/>
      <c r="W237" s="13"/>
      <c r="X237" s="58"/>
      <c r="Y237" s="51">
        <f ca="1">Table24[[#This Row],[End Date]]+2-TODAY()</f>
        <v>-46242</v>
      </c>
      <c r="Z237" s="13">
        <f>IF(ISBLANK(Table24[[#This Row],[Roster Received By]]),1,0)</f>
        <v>1</v>
      </c>
      <c r="AA237" s="13">
        <f ca="1">IF(Table24[[#This Row],[Start Date]]&gt;TODAY(),1,)</f>
        <v>0</v>
      </c>
    </row>
    <row r="238" spans="1:27" s="46" customFormat="1" x14ac:dyDescent="0.25">
      <c r="B238" s="58"/>
      <c r="C238" s="59" t="e">
        <v>#N/A</v>
      </c>
      <c r="D238" s="59" t="e">
        <v>#N/A</v>
      </c>
      <c r="E238" s="58"/>
      <c r="F238" s="61"/>
      <c r="G238" s="61"/>
      <c r="H238" s="64"/>
      <c r="I238" s="64"/>
      <c r="J238" s="61"/>
      <c r="K238" s="61"/>
      <c r="L238" s="61"/>
      <c r="M238" s="61"/>
      <c r="N238" s="61"/>
      <c r="O238" s="58"/>
      <c r="P238" s="58"/>
      <c r="Q238" s="13" t="e">
        <v>#N/A</v>
      </c>
      <c r="R238" s="13" t="e">
        <v>#N/A</v>
      </c>
      <c r="S238" s="13"/>
      <c r="T238" s="62"/>
      <c r="U238" s="13"/>
      <c r="V238" s="13"/>
      <c r="W238" s="63"/>
      <c r="X238" s="58"/>
      <c r="Y238" s="51">
        <f ca="1">Table24[[#This Row],[End Date]]+2-TODAY()</f>
        <v>-46242</v>
      </c>
      <c r="Z238" s="13">
        <f>IF(ISBLANK(Table24[[#This Row],[Roster Received By]]),1,0)</f>
        <v>1</v>
      </c>
      <c r="AA238" s="13">
        <f ca="1">IF(Table24[[#This Row],[Start Date]]&gt;TODAY(),1,)</f>
        <v>0</v>
      </c>
    </row>
    <row r="239" spans="1:27" s="46" customFormat="1" x14ac:dyDescent="0.25">
      <c r="B239" s="75"/>
      <c r="C239" s="59" t="e">
        <v>#N/A</v>
      </c>
      <c r="D239" s="59" t="e">
        <v>#N/A</v>
      </c>
      <c r="E239" s="58"/>
      <c r="F239" s="61"/>
      <c r="G239" s="61"/>
      <c r="H239" s="64"/>
      <c r="I239" s="64"/>
      <c r="J239" s="64"/>
      <c r="K239" s="64"/>
      <c r="L239" s="64"/>
      <c r="M239" s="64"/>
      <c r="N239" s="61"/>
      <c r="O239" s="58"/>
      <c r="P239" s="58"/>
      <c r="Q239" s="13" t="e">
        <v>#N/A</v>
      </c>
      <c r="R239" s="13" t="e">
        <v>#N/A</v>
      </c>
      <c r="S239" s="13"/>
      <c r="T239" s="62"/>
      <c r="U239" s="13"/>
      <c r="V239" s="13"/>
      <c r="W239" s="13"/>
      <c r="X239" s="58"/>
      <c r="Y239" s="51">
        <f ca="1">Table24[[#This Row],[End Date]]+2-TODAY()</f>
        <v>-46242</v>
      </c>
      <c r="Z239" s="13">
        <f>IF(ISBLANK(Table24[[#This Row],[Roster Received By]]),1,0)</f>
        <v>1</v>
      </c>
      <c r="AA239" s="13">
        <f ca="1">IF(Table24[[#This Row],[Start Date]]&gt;TODAY(),1,)</f>
        <v>0</v>
      </c>
    </row>
    <row r="240" spans="1:27" s="46" customFormat="1" x14ac:dyDescent="0.25">
      <c r="B240" s="75"/>
      <c r="C240" s="59" t="e">
        <v>#N/A</v>
      </c>
      <c r="D240" s="59" t="e">
        <v>#N/A</v>
      </c>
      <c r="E240" s="58"/>
      <c r="F240" s="61"/>
      <c r="G240" s="61"/>
      <c r="H240" s="64"/>
      <c r="I240" s="64"/>
      <c r="J240" s="61"/>
      <c r="K240" s="61"/>
      <c r="L240" s="61"/>
      <c r="M240" s="61"/>
      <c r="N240" s="61"/>
      <c r="O240" s="58"/>
      <c r="P240" s="58"/>
      <c r="Q240" s="13" t="e">
        <v>#N/A</v>
      </c>
      <c r="R240" s="13" t="e">
        <v>#N/A</v>
      </c>
      <c r="S240" s="13"/>
      <c r="T240" s="62"/>
      <c r="U240" s="13"/>
      <c r="V240" s="13"/>
      <c r="W240" s="13"/>
      <c r="X240" s="58"/>
      <c r="Y240" s="51">
        <f ca="1">Table24[[#This Row],[End Date]]+2-TODAY()</f>
        <v>-46242</v>
      </c>
      <c r="Z240" s="13">
        <f>IF(ISBLANK(Table24[[#This Row],[Roster Received By]]),1,0)</f>
        <v>1</v>
      </c>
      <c r="AA240" s="13">
        <f ca="1">IF(Table24[[#This Row],[Start Date]]&gt;TODAY(),1,)</f>
        <v>0</v>
      </c>
    </row>
    <row r="241" spans="1:27" s="46" customFormat="1" x14ac:dyDescent="0.25">
      <c r="B241" s="75"/>
      <c r="C241" s="59" t="e">
        <v>#N/A</v>
      </c>
      <c r="D241" s="59" t="e">
        <v>#N/A</v>
      </c>
      <c r="E241" s="58"/>
      <c r="F241" s="61"/>
      <c r="G241" s="61"/>
      <c r="H241" s="61"/>
      <c r="I241" s="60"/>
      <c r="J241" s="60"/>
      <c r="K241" s="60"/>
      <c r="L241" s="60"/>
      <c r="M241" s="60"/>
      <c r="N241" s="60"/>
      <c r="O241" s="58"/>
      <c r="P241" s="58"/>
      <c r="Q241" s="13" t="e">
        <v>#N/A</v>
      </c>
      <c r="R241" s="13" t="e">
        <v>#N/A</v>
      </c>
      <c r="S241" s="13"/>
      <c r="T241" s="62"/>
      <c r="U241" s="13"/>
      <c r="V241" s="13"/>
      <c r="W241" s="13"/>
      <c r="X241" s="58"/>
      <c r="Y241" s="51">
        <f ca="1">Table24[[#This Row],[End Date]]+2-TODAY()</f>
        <v>-46242</v>
      </c>
      <c r="Z241" s="13">
        <f>IF(ISBLANK(Table24[[#This Row],[Roster Received By]]),1,0)</f>
        <v>1</v>
      </c>
      <c r="AA241" s="13">
        <f ca="1">IF(Table24[[#This Row],[Start Date]]&gt;TODAY(),1,)</f>
        <v>0</v>
      </c>
    </row>
    <row r="242" spans="1:27" s="46" customFormat="1" x14ac:dyDescent="0.25">
      <c r="B242" s="58"/>
      <c r="C242" s="59" t="e">
        <v>#N/A</v>
      </c>
      <c r="D242" s="59" t="e">
        <v>#N/A</v>
      </c>
      <c r="E242" s="58"/>
      <c r="F242" s="61"/>
      <c r="G242" s="61"/>
      <c r="H242" s="67"/>
      <c r="I242" s="67"/>
      <c r="J242" s="61"/>
      <c r="K242" s="61"/>
      <c r="L242" s="61"/>
      <c r="M242" s="61"/>
      <c r="N242" s="61"/>
      <c r="O242" s="58"/>
      <c r="P242" s="58"/>
      <c r="Q242" s="13" t="e">
        <v>#N/A</v>
      </c>
      <c r="R242" s="13" t="e">
        <v>#N/A</v>
      </c>
      <c r="S242" s="13"/>
      <c r="T242" s="62"/>
      <c r="U242" s="13"/>
      <c r="V242" s="13"/>
      <c r="W242" s="13"/>
      <c r="X242" s="58"/>
      <c r="Y242" s="51">
        <f ca="1">Table24[[#This Row],[End Date]]+2-TODAY()</f>
        <v>-46242</v>
      </c>
      <c r="Z242" s="13">
        <f>IF(ISBLANK(Table24[[#This Row],[Roster Received By]]),1,0)</f>
        <v>1</v>
      </c>
      <c r="AA242" s="13">
        <f ca="1">IF(Table24[[#This Row],[Start Date]]&gt;TODAY(),1,)</f>
        <v>0</v>
      </c>
    </row>
    <row r="243" spans="1:27" s="46" customFormat="1" x14ac:dyDescent="0.25">
      <c r="B243" s="58"/>
      <c r="C243" s="59" t="e">
        <v>#N/A</v>
      </c>
      <c r="D243" s="59" t="e">
        <v>#N/A</v>
      </c>
      <c r="E243" s="58"/>
      <c r="F243" s="61"/>
      <c r="G243" s="61"/>
      <c r="H243" s="61"/>
      <c r="I243" s="60"/>
      <c r="J243" s="60"/>
      <c r="K243" s="60"/>
      <c r="L243" s="60"/>
      <c r="M243" s="60"/>
      <c r="N243" s="60"/>
      <c r="O243" s="58"/>
      <c r="P243" s="58"/>
      <c r="Q243" s="13" t="e">
        <v>#N/A</v>
      </c>
      <c r="R243" s="13" t="e">
        <v>#N/A</v>
      </c>
      <c r="S243" s="13"/>
      <c r="T243" s="62"/>
      <c r="U243" s="13"/>
      <c r="V243" s="13"/>
      <c r="W243" s="13"/>
      <c r="X243" s="58"/>
      <c r="Y243" s="51">
        <f ca="1">Table24[[#This Row],[End Date]]+2-TODAY()</f>
        <v>-46242</v>
      </c>
      <c r="Z243" s="13">
        <f>IF(ISBLANK(Table24[[#This Row],[Roster Received By]]),1,0)</f>
        <v>1</v>
      </c>
      <c r="AA243" s="13">
        <f ca="1">IF(Table24[[#This Row],[Start Date]]&gt;TODAY(),1,)</f>
        <v>0</v>
      </c>
    </row>
    <row r="244" spans="1:27" s="46" customFormat="1" x14ac:dyDescent="0.25">
      <c r="B244" s="85"/>
      <c r="C244" s="59" t="e">
        <v>#N/A</v>
      </c>
      <c r="D244" s="59" t="e">
        <v>#N/A</v>
      </c>
      <c r="E244" s="58"/>
      <c r="F244" s="61"/>
      <c r="G244" s="61"/>
      <c r="H244" s="61"/>
      <c r="I244" s="60"/>
      <c r="J244" s="60"/>
      <c r="K244" s="60"/>
      <c r="L244" s="60"/>
      <c r="M244" s="60"/>
      <c r="N244" s="60"/>
      <c r="O244" s="58"/>
      <c r="P244" s="58"/>
      <c r="Q244" s="13" t="e">
        <v>#N/A</v>
      </c>
      <c r="R244" s="13" t="e">
        <v>#N/A</v>
      </c>
      <c r="S244" s="13"/>
      <c r="T244" s="62"/>
      <c r="U244" s="13"/>
      <c r="V244" s="13"/>
      <c r="W244" s="59"/>
      <c r="X244" s="58"/>
      <c r="Y244" s="51">
        <f ca="1">Table24[[#This Row],[End Date]]+2-TODAY()</f>
        <v>-46242</v>
      </c>
      <c r="Z244" s="13">
        <f>IF(ISBLANK(Table24[[#This Row],[Roster Received By]]),1,0)</f>
        <v>1</v>
      </c>
      <c r="AA244" s="13">
        <f ca="1">IF(Table24[[#This Row],[Start Date]]&gt;TODAY(),1,)</f>
        <v>0</v>
      </c>
    </row>
    <row r="245" spans="1:27" s="46" customFormat="1" x14ac:dyDescent="0.25">
      <c r="B245" s="75"/>
      <c r="C245" s="59" t="e">
        <v>#N/A</v>
      </c>
      <c r="D245" s="59" t="e">
        <v>#N/A</v>
      </c>
      <c r="E245" s="58"/>
      <c r="F245" s="61"/>
      <c r="G245" s="61"/>
      <c r="H245" s="61"/>
      <c r="I245" s="60"/>
      <c r="J245" s="60"/>
      <c r="K245" s="60"/>
      <c r="L245" s="60"/>
      <c r="M245" s="60"/>
      <c r="N245" s="60"/>
      <c r="O245" s="58"/>
      <c r="P245" s="58"/>
      <c r="Q245" s="13" t="e">
        <v>#N/A</v>
      </c>
      <c r="R245" s="13" t="e">
        <v>#N/A</v>
      </c>
      <c r="S245" s="13"/>
      <c r="T245" s="62"/>
      <c r="U245" s="13"/>
      <c r="V245" s="13"/>
      <c r="W245" s="13"/>
      <c r="X245" s="58"/>
      <c r="Y245" s="51">
        <f ca="1">Table24[[#This Row],[End Date]]+2-TODAY()</f>
        <v>-46242</v>
      </c>
      <c r="Z245" s="13">
        <f>IF(ISBLANK(Table24[[#This Row],[Roster Received By]]),1,0)</f>
        <v>1</v>
      </c>
      <c r="AA245" s="13">
        <f ca="1">IF(Table24[[#This Row],[Start Date]]&gt;TODAY(),1,)</f>
        <v>0</v>
      </c>
    </row>
    <row r="246" spans="1:27" s="46" customFormat="1" x14ac:dyDescent="0.25">
      <c r="B246" s="75"/>
      <c r="C246" s="59" t="e">
        <v>#N/A</v>
      </c>
      <c r="D246" s="59" t="e">
        <v>#N/A</v>
      </c>
      <c r="E246" s="58"/>
      <c r="F246" s="61"/>
      <c r="G246" s="61"/>
      <c r="H246" s="64"/>
      <c r="I246" s="64"/>
      <c r="J246" s="64"/>
      <c r="K246" s="64"/>
      <c r="L246" s="64"/>
      <c r="M246" s="64"/>
      <c r="N246" s="61"/>
      <c r="O246" s="58"/>
      <c r="P246" s="58"/>
      <c r="Q246" s="13" t="e">
        <v>#N/A</v>
      </c>
      <c r="R246" s="13" t="e">
        <v>#N/A</v>
      </c>
      <c r="S246" s="13"/>
      <c r="T246" s="62"/>
      <c r="U246" s="13"/>
      <c r="V246" s="13"/>
      <c r="W246" s="13"/>
      <c r="X246" s="58"/>
      <c r="Y246" s="51">
        <f ca="1">Table24[[#This Row],[End Date]]+2-TODAY()</f>
        <v>-46242</v>
      </c>
      <c r="Z246" s="13">
        <f>IF(ISBLANK(Table24[[#This Row],[Roster Received By]]),1,0)</f>
        <v>1</v>
      </c>
      <c r="AA246" s="13">
        <f ca="1">IF(Table24[[#This Row],[Start Date]]&gt;TODAY(),1,)</f>
        <v>0</v>
      </c>
    </row>
    <row r="247" spans="1:27" s="46" customFormat="1" x14ac:dyDescent="0.25">
      <c r="B247" s="75"/>
      <c r="C247" s="59" t="e">
        <v>#N/A</v>
      </c>
      <c r="D247" s="59" t="e">
        <v>#N/A</v>
      </c>
      <c r="E247" s="75"/>
      <c r="F247" s="57"/>
      <c r="G247" s="69"/>
      <c r="H247" s="61"/>
      <c r="I247" s="60"/>
      <c r="J247" s="60"/>
      <c r="K247" s="60"/>
      <c r="L247" s="60"/>
      <c r="M247" s="60"/>
      <c r="N247" s="60"/>
      <c r="O247" s="58"/>
      <c r="P247" s="58"/>
      <c r="Q247" s="13" t="e">
        <v>#N/A</v>
      </c>
      <c r="R247" s="13" t="e">
        <v>#N/A</v>
      </c>
      <c r="S247" s="13"/>
      <c r="T247" s="62"/>
      <c r="U247" s="13"/>
      <c r="V247" s="13"/>
      <c r="W247" s="13"/>
      <c r="X247" s="58"/>
      <c r="Y247" s="51">
        <f ca="1">Table24[[#This Row],[End Date]]+2-TODAY()</f>
        <v>-46242</v>
      </c>
      <c r="Z247" s="13">
        <f>IF(ISBLANK(Table24[[#This Row],[Roster Received By]]),1,0)</f>
        <v>1</v>
      </c>
      <c r="AA247" s="13">
        <f ca="1">IF(Table24[[#This Row],[Start Date]]&gt;TODAY(),1,)</f>
        <v>0</v>
      </c>
    </row>
    <row r="248" spans="1:27" s="46" customFormat="1" x14ac:dyDescent="0.25">
      <c r="B248" s="58"/>
      <c r="C248" s="59" t="e">
        <v>#N/A</v>
      </c>
      <c r="D248" s="59" t="e">
        <v>#N/A</v>
      </c>
      <c r="E248" s="58"/>
      <c r="F248" s="61"/>
      <c r="G248" s="61"/>
      <c r="H248" s="64"/>
      <c r="I248" s="64"/>
      <c r="J248" s="61"/>
      <c r="K248" s="61"/>
      <c r="L248" s="61"/>
      <c r="M248" s="61"/>
      <c r="N248" s="61"/>
      <c r="O248" s="58"/>
      <c r="P248" s="58"/>
      <c r="Q248" s="13" t="e">
        <v>#N/A</v>
      </c>
      <c r="R248" s="13" t="e">
        <v>#N/A</v>
      </c>
      <c r="S248" s="13"/>
      <c r="T248" s="62"/>
      <c r="U248" s="13"/>
      <c r="V248" s="13"/>
      <c r="W248" s="13"/>
      <c r="X248" s="58"/>
      <c r="Y248" s="51">
        <f ca="1">Table24[[#This Row],[End Date]]+2-TODAY()</f>
        <v>-46242</v>
      </c>
      <c r="Z248" s="13">
        <f>IF(ISBLANK(Table24[[#This Row],[Roster Received By]]),1,0)</f>
        <v>1</v>
      </c>
      <c r="AA248" s="13">
        <f ca="1">IF(Table24[[#This Row],[Start Date]]&gt;TODAY(),1,)</f>
        <v>0</v>
      </c>
    </row>
    <row r="249" spans="1:27" s="46" customFormat="1" x14ac:dyDescent="0.25">
      <c r="B249" s="75"/>
      <c r="C249" s="59" t="e">
        <v>#N/A</v>
      </c>
      <c r="D249" s="59" t="e">
        <v>#N/A</v>
      </c>
      <c r="E249" s="48"/>
      <c r="F249" s="57"/>
      <c r="G249" s="69"/>
      <c r="H249" s="64"/>
      <c r="I249" s="64"/>
      <c r="J249" s="61"/>
      <c r="K249" s="61"/>
      <c r="L249" s="61"/>
      <c r="M249" s="61"/>
      <c r="N249" s="61"/>
      <c r="O249" s="58"/>
      <c r="P249" s="58"/>
      <c r="Q249" s="13" t="e">
        <v>#N/A</v>
      </c>
      <c r="R249" s="13" t="e">
        <v>#N/A</v>
      </c>
      <c r="S249" s="13"/>
      <c r="T249" s="62"/>
      <c r="U249" s="13"/>
      <c r="V249" s="13"/>
      <c r="W249" s="59"/>
      <c r="X249" s="58"/>
      <c r="Y249" s="51">
        <f ca="1">Table24[[#This Row],[End Date]]+2-TODAY()</f>
        <v>-46242</v>
      </c>
      <c r="Z249" s="13">
        <f>IF(ISBLANK(Table24[[#This Row],[Roster Received By]]),1,0)</f>
        <v>1</v>
      </c>
      <c r="AA249" s="13">
        <f ca="1">IF(Table24[[#This Row],[Start Date]]&gt;TODAY(),1,)</f>
        <v>0</v>
      </c>
    </row>
    <row r="250" spans="1:27" s="46" customFormat="1" x14ac:dyDescent="0.25">
      <c r="B250" s="48"/>
      <c r="C250" s="59" t="e">
        <v>#N/A</v>
      </c>
      <c r="D250" s="59" t="e">
        <v>#N/A</v>
      </c>
      <c r="E250" s="89"/>
      <c r="F250" s="57"/>
      <c r="G250" s="57"/>
      <c r="H250" s="60"/>
      <c r="I250" s="60"/>
      <c r="J250" s="61"/>
      <c r="K250" s="61"/>
      <c r="L250" s="61"/>
      <c r="M250" s="61"/>
      <c r="N250" s="61"/>
      <c r="O250" s="58"/>
      <c r="P250" s="58"/>
      <c r="Q250" s="13" t="e">
        <v>#N/A</v>
      </c>
      <c r="R250" s="13" t="e">
        <v>#N/A</v>
      </c>
      <c r="S250" s="13"/>
      <c r="T250" s="62"/>
      <c r="U250" s="13"/>
      <c r="V250" s="13"/>
      <c r="W250" s="13"/>
      <c r="X250" s="58"/>
      <c r="Y250" s="51">
        <f ca="1">Table24[[#This Row],[End Date]]+2-TODAY()</f>
        <v>-46242</v>
      </c>
      <c r="Z250" s="13">
        <f>IF(ISBLANK(Table24[[#This Row],[Roster Received By]]),1,0)</f>
        <v>1</v>
      </c>
      <c r="AA250" s="13">
        <f ca="1">IF(Table24[[#This Row],[Start Date]]&gt;TODAY(),1,)</f>
        <v>0</v>
      </c>
    </row>
    <row r="251" spans="1:27" s="46" customFormat="1" x14ac:dyDescent="0.25">
      <c r="B251" s="75"/>
      <c r="C251" s="59" t="e">
        <v>#N/A</v>
      </c>
      <c r="D251" s="59" t="e">
        <v>#N/A</v>
      </c>
      <c r="E251" s="75"/>
      <c r="F251" s="69"/>
      <c r="G251" s="69"/>
      <c r="H251" s="61"/>
      <c r="I251" s="60"/>
      <c r="J251" s="60"/>
      <c r="K251" s="60"/>
      <c r="L251" s="60"/>
      <c r="M251" s="60"/>
      <c r="N251" s="60"/>
      <c r="O251" s="58"/>
      <c r="P251" s="58"/>
      <c r="Q251" s="13" t="e">
        <v>#N/A</v>
      </c>
      <c r="R251" s="13" t="e">
        <v>#N/A</v>
      </c>
      <c r="S251" s="13"/>
      <c r="T251" s="62"/>
      <c r="U251" s="13"/>
      <c r="V251" s="13"/>
      <c r="W251" s="13"/>
      <c r="X251" s="58"/>
      <c r="Y251" s="51">
        <f ca="1">Table24[[#This Row],[End Date]]+2-TODAY()</f>
        <v>-46242</v>
      </c>
      <c r="Z251" s="13">
        <f>IF(ISBLANK(Table24[[#This Row],[Roster Received By]]),1,0)</f>
        <v>1</v>
      </c>
      <c r="AA251" s="13">
        <f ca="1">IF(Table24[[#This Row],[Start Date]]&gt;TODAY(),1,)</f>
        <v>0</v>
      </c>
    </row>
    <row r="252" spans="1:27" s="46" customFormat="1" x14ac:dyDescent="0.25">
      <c r="B252" s="75"/>
      <c r="C252" s="59" t="e">
        <v>#N/A</v>
      </c>
      <c r="D252" s="59" t="e">
        <v>#N/A</v>
      </c>
      <c r="E252" s="75"/>
      <c r="F252" s="69"/>
      <c r="G252" s="69"/>
      <c r="H252" s="61"/>
      <c r="I252" s="60"/>
      <c r="J252" s="60"/>
      <c r="K252" s="60"/>
      <c r="L252" s="60"/>
      <c r="M252" s="60"/>
      <c r="N252" s="60"/>
      <c r="O252" s="58"/>
      <c r="P252" s="58"/>
      <c r="Q252" s="13" t="e">
        <v>#N/A</v>
      </c>
      <c r="R252" s="13" t="e">
        <v>#N/A</v>
      </c>
      <c r="S252" s="13"/>
      <c r="T252" s="62"/>
      <c r="U252" s="13"/>
      <c r="V252" s="13"/>
      <c r="W252" s="59"/>
      <c r="X252" s="58"/>
      <c r="Y252" s="51">
        <f ca="1">Table24[[#This Row],[End Date]]+2-TODAY()</f>
        <v>-46242</v>
      </c>
      <c r="Z252" s="13">
        <f>IF(ISBLANK(Table24[[#This Row],[Roster Received By]]),1,0)</f>
        <v>1</v>
      </c>
      <c r="AA252" s="13">
        <f ca="1">IF(Table24[[#This Row],[Start Date]]&gt;TODAY(),1,)</f>
        <v>0</v>
      </c>
    </row>
    <row r="253" spans="1:27" s="46" customFormat="1" x14ac:dyDescent="0.25">
      <c r="B253" s="75"/>
      <c r="C253" s="59" t="e">
        <v>#N/A</v>
      </c>
      <c r="D253" s="59" t="e">
        <v>#N/A</v>
      </c>
      <c r="E253" s="75"/>
      <c r="F253" s="69"/>
      <c r="G253" s="69"/>
      <c r="H253" s="61"/>
      <c r="I253" s="60"/>
      <c r="J253" s="60"/>
      <c r="K253" s="60"/>
      <c r="L253" s="60"/>
      <c r="M253" s="60"/>
      <c r="N253" s="60"/>
      <c r="O253" s="58"/>
      <c r="P253" s="58"/>
      <c r="Q253" s="13" t="e">
        <v>#N/A</v>
      </c>
      <c r="R253" s="13" t="e">
        <v>#N/A</v>
      </c>
      <c r="S253" s="13"/>
      <c r="T253" s="62"/>
      <c r="U253" s="13"/>
      <c r="V253" s="13"/>
      <c r="W253" s="13"/>
      <c r="X253" s="58"/>
      <c r="Y253" s="51">
        <f ca="1">Table24[[#This Row],[End Date]]+2-TODAY()</f>
        <v>-46242</v>
      </c>
      <c r="Z253" s="13">
        <f>IF(ISBLANK(Table24[[#This Row],[Roster Received By]]),1,0)</f>
        <v>1</v>
      </c>
      <c r="AA253" s="13">
        <f ca="1">IF(Table24[[#This Row],[Start Date]]&gt;TODAY(),1,)</f>
        <v>0</v>
      </c>
    </row>
    <row r="254" spans="1:27" s="46" customFormat="1" x14ac:dyDescent="0.25">
      <c r="A254" s="47"/>
      <c r="B254" s="75"/>
      <c r="C254" s="59" t="e">
        <v>#N/A</v>
      </c>
      <c r="D254" s="59" t="e">
        <v>#N/A</v>
      </c>
      <c r="E254" s="75"/>
      <c r="F254" s="69"/>
      <c r="G254" s="69"/>
      <c r="H254" s="61"/>
      <c r="I254" s="60"/>
      <c r="J254" s="60"/>
      <c r="K254" s="60"/>
      <c r="L254" s="60"/>
      <c r="M254" s="60"/>
      <c r="N254" s="60"/>
      <c r="O254" s="58"/>
      <c r="P254" s="58"/>
      <c r="Q254" s="13" t="e">
        <v>#N/A</v>
      </c>
      <c r="R254" s="13" t="e">
        <v>#N/A</v>
      </c>
      <c r="S254" s="13"/>
      <c r="T254" s="62"/>
      <c r="U254" s="13"/>
      <c r="V254" s="13"/>
      <c r="W254" s="13"/>
      <c r="X254" s="58"/>
      <c r="Y254" s="51">
        <f ca="1">Table24[[#This Row],[End Date]]+2-TODAY()</f>
        <v>-46242</v>
      </c>
      <c r="Z254" s="13">
        <f>IF(ISBLANK(Table24[[#This Row],[Roster Received By]]),1,0)</f>
        <v>1</v>
      </c>
      <c r="AA254" s="13">
        <f ca="1">IF(Table24[[#This Row],[Start Date]]&gt;TODAY(),1,)</f>
        <v>0</v>
      </c>
    </row>
    <row r="255" spans="1:27" s="46" customFormat="1" x14ac:dyDescent="0.25">
      <c r="B255" s="75"/>
      <c r="C255" s="59" t="e">
        <v>#N/A</v>
      </c>
      <c r="D255" s="59" t="e">
        <v>#N/A</v>
      </c>
      <c r="E255" s="75"/>
      <c r="F255" s="69"/>
      <c r="G255" s="69"/>
      <c r="H255" s="67"/>
      <c r="I255" s="67"/>
      <c r="J255" s="61"/>
      <c r="K255" s="61"/>
      <c r="L255" s="61"/>
      <c r="M255" s="61"/>
      <c r="N255" s="61"/>
      <c r="O255" s="58"/>
      <c r="P255" s="58"/>
      <c r="Q255" s="13" t="e">
        <v>#N/A</v>
      </c>
      <c r="R255" s="13" t="e">
        <v>#N/A</v>
      </c>
      <c r="S255" s="13"/>
      <c r="T255" s="62"/>
      <c r="U255" s="13"/>
      <c r="V255" s="13"/>
      <c r="W255" s="13"/>
      <c r="X255" s="58"/>
      <c r="Y255" s="51">
        <f ca="1">Table24[[#This Row],[End Date]]+2-TODAY()</f>
        <v>-46242</v>
      </c>
      <c r="Z255" s="13">
        <f>IF(ISBLANK(Table24[[#This Row],[Roster Received By]]),1,0)</f>
        <v>1</v>
      </c>
      <c r="AA255" s="13">
        <f ca="1">IF(Table24[[#This Row],[Start Date]]&gt;TODAY(),1,)</f>
        <v>0</v>
      </c>
    </row>
    <row r="256" spans="1:27" s="46" customFormat="1" x14ac:dyDescent="0.25">
      <c r="B256" s="75"/>
      <c r="C256" s="59" t="e">
        <v>#N/A</v>
      </c>
      <c r="D256" s="59" t="e">
        <v>#N/A</v>
      </c>
      <c r="E256" s="75"/>
      <c r="F256" s="69"/>
      <c r="G256" s="69"/>
      <c r="H256" s="60"/>
      <c r="I256" s="64"/>
      <c r="J256" s="61"/>
      <c r="K256" s="61"/>
      <c r="L256" s="61"/>
      <c r="M256" s="61"/>
      <c r="N256" s="61"/>
      <c r="O256" s="58"/>
      <c r="P256" s="58"/>
      <c r="Q256" s="13" t="e">
        <v>#N/A</v>
      </c>
      <c r="R256" s="13" t="e">
        <v>#N/A</v>
      </c>
      <c r="S256" s="62"/>
      <c r="T256" s="62"/>
      <c r="U256" s="13"/>
      <c r="V256" s="13"/>
      <c r="W256" s="13"/>
      <c r="X256" s="58"/>
      <c r="Y256" s="51">
        <f ca="1">Table24[[#This Row],[End Date]]+2-TODAY()</f>
        <v>-46242</v>
      </c>
      <c r="Z256" s="13">
        <f>IF(ISBLANK(Table24[[#This Row],[Roster Received By]]),1,0)</f>
        <v>1</v>
      </c>
      <c r="AA256" s="13">
        <f ca="1">IF(Table24[[#This Row],[Start Date]]&gt;TODAY(),1,)</f>
        <v>0</v>
      </c>
    </row>
    <row r="257" spans="1:27" s="46" customFormat="1" x14ac:dyDescent="0.25">
      <c r="B257" s="75"/>
      <c r="C257" s="59" t="e">
        <v>#N/A</v>
      </c>
      <c r="D257" s="59" t="e">
        <v>#N/A</v>
      </c>
      <c r="E257" s="75"/>
      <c r="F257" s="69"/>
      <c r="G257" s="69"/>
      <c r="H257" s="64"/>
      <c r="I257" s="64"/>
      <c r="J257" s="64"/>
      <c r="K257" s="64"/>
      <c r="L257" s="64"/>
      <c r="M257" s="64"/>
      <c r="N257" s="64"/>
      <c r="O257" s="58"/>
      <c r="P257" s="58"/>
      <c r="Q257" s="13" t="e">
        <v>#N/A</v>
      </c>
      <c r="R257" s="13" t="e">
        <v>#N/A</v>
      </c>
      <c r="S257" s="62"/>
      <c r="T257" s="62"/>
      <c r="U257" s="13"/>
      <c r="V257" s="13"/>
      <c r="W257" s="13"/>
      <c r="X257" s="58"/>
      <c r="Y257" s="51">
        <f ca="1">Table24[[#This Row],[End Date]]+2-TODAY()</f>
        <v>-46242</v>
      </c>
      <c r="Z257" s="13">
        <f>IF(ISBLANK(Table24[[#This Row],[Roster Received By]]),1,0)</f>
        <v>1</v>
      </c>
      <c r="AA257" s="13">
        <f ca="1">IF(Table24[[#This Row],[Start Date]]&gt;TODAY(),1,)</f>
        <v>0</v>
      </c>
    </row>
    <row r="258" spans="1:27" s="46" customFormat="1" x14ac:dyDescent="0.25">
      <c r="B258" s="75"/>
      <c r="C258" s="59" t="e">
        <v>#N/A</v>
      </c>
      <c r="D258" s="59" t="e">
        <v>#N/A</v>
      </c>
      <c r="E258" s="89"/>
      <c r="F258" s="57"/>
      <c r="G258" s="57"/>
      <c r="H258" s="60"/>
      <c r="I258" s="60"/>
      <c r="J258" s="61"/>
      <c r="K258" s="61"/>
      <c r="L258" s="61"/>
      <c r="M258" s="61"/>
      <c r="N258" s="61"/>
      <c r="O258" s="58"/>
      <c r="P258" s="58"/>
      <c r="Q258" s="13" t="e">
        <v>#N/A</v>
      </c>
      <c r="R258" s="13" t="e">
        <v>#N/A</v>
      </c>
      <c r="S258" s="13"/>
      <c r="T258" s="62"/>
      <c r="U258" s="13"/>
      <c r="V258" s="13"/>
      <c r="W258" s="62"/>
      <c r="X258" s="58"/>
      <c r="Y258" s="51">
        <f ca="1">Table24[[#This Row],[End Date]]+2-TODAY()</f>
        <v>-46242</v>
      </c>
      <c r="Z258" s="13">
        <f>IF(ISBLANK(Table24[[#This Row],[Roster Received By]]),1,0)</f>
        <v>1</v>
      </c>
      <c r="AA258" s="13">
        <f ca="1">IF(Table24[[#This Row],[Start Date]]&gt;TODAY(),1,)</f>
        <v>0</v>
      </c>
    </row>
    <row r="259" spans="1:27" s="46" customFormat="1" x14ac:dyDescent="0.25">
      <c r="B259" s="75"/>
      <c r="C259" s="59" t="e">
        <v>#N/A</v>
      </c>
      <c r="D259" s="59" t="e">
        <v>#N/A</v>
      </c>
      <c r="E259" s="58"/>
      <c r="F259" s="61"/>
      <c r="G259" s="61"/>
      <c r="H259" s="64"/>
      <c r="I259" s="64"/>
      <c r="J259" s="64"/>
      <c r="K259" s="64"/>
      <c r="L259" s="64"/>
      <c r="M259" s="64"/>
      <c r="N259" s="64"/>
      <c r="O259" s="58"/>
      <c r="P259" s="58"/>
      <c r="Q259" s="13" t="e">
        <v>#N/A</v>
      </c>
      <c r="R259" s="13" t="e">
        <v>#N/A</v>
      </c>
      <c r="S259" s="13"/>
      <c r="T259" s="62"/>
      <c r="U259" s="13"/>
      <c r="V259" s="13"/>
      <c r="W259" s="13"/>
      <c r="X259" s="58"/>
      <c r="Y259" s="51">
        <f ca="1">Table24[[#This Row],[End Date]]+2-TODAY()</f>
        <v>-46242</v>
      </c>
      <c r="Z259" s="13">
        <f>IF(ISBLANK(Table24[[#This Row],[Roster Received By]]),1,0)</f>
        <v>1</v>
      </c>
      <c r="AA259" s="13">
        <f ca="1">IF(Table24[[#This Row],[Start Date]]&gt;TODAY(),1,)</f>
        <v>0</v>
      </c>
    </row>
    <row r="260" spans="1:27" s="46" customFormat="1" x14ac:dyDescent="0.25">
      <c r="B260" s="76"/>
      <c r="C260" s="59" t="e">
        <v>#N/A</v>
      </c>
      <c r="D260" s="59" t="e">
        <v>#N/A</v>
      </c>
      <c r="E260" s="58"/>
      <c r="F260" s="61"/>
      <c r="G260" s="61"/>
      <c r="H260" s="61"/>
      <c r="I260" s="60"/>
      <c r="J260" s="60"/>
      <c r="K260" s="60"/>
      <c r="L260" s="60"/>
      <c r="M260" s="60"/>
      <c r="N260" s="60"/>
      <c r="O260" s="58"/>
      <c r="P260" s="58"/>
      <c r="Q260" s="13" t="e">
        <v>#N/A</v>
      </c>
      <c r="R260" s="13" t="e">
        <v>#N/A</v>
      </c>
      <c r="S260" s="13"/>
      <c r="T260" s="62"/>
      <c r="U260" s="13"/>
      <c r="V260" s="13"/>
      <c r="W260" s="13"/>
      <c r="X260" s="58"/>
      <c r="Y260" s="51">
        <f ca="1">Table24[[#This Row],[End Date]]+2-TODAY()</f>
        <v>-46242</v>
      </c>
      <c r="Z260" s="13">
        <f>IF(ISBLANK(Table24[[#This Row],[Roster Received By]]),1,0)</f>
        <v>1</v>
      </c>
      <c r="AA260" s="13">
        <f ca="1">IF(Table24[[#This Row],[Start Date]]&gt;TODAY(),1,)</f>
        <v>0</v>
      </c>
    </row>
    <row r="261" spans="1:27" s="46" customFormat="1" x14ac:dyDescent="0.25">
      <c r="B261" s="76"/>
      <c r="C261" s="59" t="e">
        <v>#N/A</v>
      </c>
      <c r="D261" s="59" t="e">
        <v>#N/A</v>
      </c>
      <c r="E261" s="58"/>
      <c r="F261" s="61"/>
      <c r="G261" s="61"/>
      <c r="H261" s="61"/>
      <c r="I261" s="60"/>
      <c r="J261" s="60"/>
      <c r="K261" s="60"/>
      <c r="L261" s="60"/>
      <c r="M261" s="60"/>
      <c r="N261" s="60"/>
      <c r="O261" s="58"/>
      <c r="P261" s="58"/>
      <c r="Q261" s="13" t="e">
        <v>#N/A</v>
      </c>
      <c r="R261" s="13" t="e">
        <v>#N/A</v>
      </c>
      <c r="S261" s="13"/>
      <c r="T261" s="62"/>
      <c r="U261" s="13"/>
      <c r="V261" s="13"/>
      <c r="W261" s="13"/>
      <c r="X261" s="58"/>
      <c r="Y261" s="51">
        <f ca="1">Table24[[#This Row],[End Date]]+2-TODAY()</f>
        <v>-46242</v>
      </c>
      <c r="Z261" s="13">
        <f>IF(ISBLANK(Table24[[#This Row],[Roster Received By]]),1,0)</f>
        <v>1</v>
      </c>
      <c r="AA261" s="13">
        <f ca="1">IF(Table24[[#This Row],[Start Date]]&gt;TODAY(),1,)</f>
        <v>0</v>
      </c>
    </row>
    <row r="262" spans="1:27" s="46" customFormat="1" x14ac:dyDescent="0.25">
      <c r="B262" s="75"/>
      <c r="C262" s="59" t="e">
        <v>#N/A</v>
      </c>
      <c r="D262" s="59" t="e">
        <v>#N/A</v>
      </c>
      <c r="E262" s="58"/>
      <c r="F262" s="61"/>
      <c r="G262" s="61"/>
      <c r="H262" s="61"/>
      <c r="I262" s="60"/>
      <c r="J262" s="60"/>
      <c r="K262" s="60"/>
      <c r="L262" s="60"/>
      <c r="M262" s="60"/>
      <c r="N262" s="60"/>
      <c r="O262" s="58"/>
      <c r="P262" s="58"/>
      <c r="Q262" s="13" t="e">
        <v>#N/A</v>
      </c>
      <c r="R262" s="13" t="e">
        <v>#N/A</v>
      </c>
      <c r="S262" s="13"/>
      <c r="T262" s="62"/>
      <c r="U262" s="13"/>
      <c r="V262" s="13"/>
      <c r="W262" s="13"/>
      <c r="X262" s="58"/>
      <c r="Y262" s="51">
        <f ca="1">Table24[[#This Row],[End Date]]+2-TODAY()</f>
        <v>-46242</v>
      </c>
      <c r="Z262" s="13">
        <f>IF(ISBLANK(Table24[[#This Row],[Roster Received By]]),1,0)</f>
        <v>1</v>
      </c>
      <c r="AA262" s="13">
        <f ca="1">IF(Table24[[#This Row],[Start Date]]&gt;TODAY(),1,)</f>
        <v>0</v>
      </c>
    </row>
    <row r="263" spans="1:27" s="46" customFormat="1" x14ac:dyDescent="0.25">
      <c r="B263" s="75"/>
      <c r="C263" s="59" t="e">
        <v>#N/A</v>
      </c>
      <c r="D263" s="59" t="e">
        <v>#N/A</v>
      </c>
      <c r="E263" s="58"/>
      <c r="F263" s="61"/>
      <c r="G263" s="61"/>
      <c r="H263" s="61"/>
      <c r="I263" s="60"/>
      <c r="J263" s="60"/>
      <c r="K263" s="60"/>
      <c r="L263" s="60"/>
      <c r="M263" s="60"/>
      <c r="N263" s="60"/>
      <c r="O263" s="58"/>
      <c r="P263" s="58"/>
      <c r="Q263" s="13" t="e">
        <v>#N/A</v>
      </c>
      <c r="R263" s="13" t="e">
        <v>#N/A</v>
      </c>
      <c r="S263" s="13"/>
      <c r="T263" s="62"/>
      <c r="U263" s="13"/>
      <c r="V263" s="13"/>
      <c r="W263" s="13"/>
      <c r="X263" s="58"/>
      <c r="Y263" s="51">
        <f ca="1">Table24[[#This Row],[End Date]]+2-TODAY()</f>
        <v>-46242</v>
      </c>
      <c r="Z263" s="13">
        <f>IF(ISBLANK(Table24[[#This Row],[Roster Received By]]),1,0)</f>
        <v>1</v>
      </c>
      <c r="AA263" s="13">
        <f ca="1">IF(Table24[[#This Row],[Start Date]]&gt;TODAY(),1,)</f>
        <v>0</v>
      </c>
    </row>
    <row r="264" spans="1:27" s="46" customFormat="1" x14ac:dyDescent="0.25">
      <c r="B264" s="75"/>
      <c r="C264" s="59" t="e">
        <v>#N/A</v>
      </c>
      <c r="D264" s="59" t="e">
        <v>#N/A</v>
      </c>
      <c r="E264" s="58"/>
      <c r="F264" s="61"/>
      <c r="G264" s="61"/>
      <c r="H264" s="61"/>
      <c r="I264" s="60"/>
      <c r="J264" s="60"/>
      <c r="K264" s="60"/>
      <c r="L264" s="60"/>
      <c r="M264" s="60"/>
      <c r="N264" s="60"/>
      <c r="O264" s="58"/>
      <c r="P264" s="58"/>
      <c r="Q264" s="13" t="e">
        <v>#N/A</v>
      </c>
      <c r="R264" s="13" t="e">
        <v>#N/A</v>
      </c>
      <c r="S264" s="13"/>
      <c r="T264" s="62"/>
      <c r="U264" s="13"/>
      <c r="V264" s="13"/>
      <c r="W264" s="13"/>
      <c r="X264" s="58"/>
      <c r="Y264" s="51">
        <f ca="1">Table24[[#This Row],[End Date]]+2-TODAY()</f>
        <v>-46242</v>
      </c>
      <c r="Z264" s="13">
        <f>IF(ISBLANK(Table24[[#This Row],[Roster Received By]]),1,0)</f>
        <v>1</v>
      </c>
      <c r="AA264" s="13">
        <f ca="1">IF(Table24[[#This Row],[Start Date]]&gt;TODAY(),1,)</f>
        <v>0</v>
      </c>
    </row>
    <row r="265" spans="1:27" s="46" customFormat="1" x14ac:dyDescent="0.25">
      <c r="B265" s="75"/>
      <c r="C265" s="59" t="e">
        <v>#N/A</v>
      </c>
      <c r="D265" s="59" t="e">
        <v>#N/A</v>
      </c>
      <c r="E265" s="47"/>
      <c r="F265" s="61"/>
      <c r="G265" s="61"/>
      <c r="H265" s="64"/>
      <c r="I265" s="64"/>
      <c r="J265" s="61"/>
      <c r="K265" s="61"/>
      <c r="L265" s="61"/>
      <c r="M265" s="61"/>
      <c r="N265" s="61"/>
      <c r="O265" s="58"/>
      <c r="P265" s="58"/>
      <c r="Q265" s="13" t="e">
        <v>#N/A</v>
      </c>
      <c r="R265" s="13" t="e">
        <v>#N/A</v>
      </c>
      <c r="S265" s="13"/>
      <c r="T265" s="62"/>
      <c r="U265" s="13"/>
      <c r="V265" s="13"/>
      <c r="W265" s="13"/>
      <c r="X265" s="58"/>
      <c r="Y265" s="51">
        <f ca="1">Table24[[#This Row],[End Date]]+2-TODAY()</f>
        <v>-46242</v>
      </c>
      <c r="Z265" s="13">
        <f>IF(ISBLANK(Table24[[#This Row],[Roster Received By]]),1,0)</f>
        <v>1</v>
      </c>
      <c r="AA265" s="13">
        <f ca="1">IF(Table24[[#This Row],[Start Date]]&gt;TODAY(),1,)</f>
        <v>0</v>
      </c>
    </row>
    <row r="266" spans="1:27" s="46" customFormat="1" x14ac:dyDescent="0.25">
      <c r="B266" s="75"/>
      <c r="C266" s="59" t="e">
        <v>#N/A</v>
      </c>
      <c r="D266" s="59" t="e">
        <v>#N/A</v>
      </c>
      <c r="E266" s="58"/>
      <c r="F266" s="61"/>
      <c r="G266" s="61"/>
      <c r="H266" s="61"/>
      <c r="I266" s="60"/>
      <c r="J266" s="60"/>
      <c r="K266" s="60"/>
      <c r="L266" s="60"/>
      <c r="M266" s="60"/>
      <c r="N266" s="60"/>
      <c r="O266" s="58"/>
      <c r="P266" s="58"/>
      <c r="Q266" s="13" t="e">
        <v>#N/A</v>
      </c>
      <c r="R266" s="13" t="e">
        <v>#N/A</v>
      </c>
      <c r="S266" s="13"/>
      <c r="T266" s="62"/>
      <c r="U266" s="13"/>
      <c r="V266" s="13"/>
      <c r="W266" s="13"/>
      <c r="X266" s="58"/>
      <c r="Y266" s="51">
        <f ca="1">Table24[[#This Row],[End Date]]+2-TODAY()</f>
        <v>-46242</v>
      </c>
      <c r="Z266" s="13">
        <f>IF(ISBLANK(Table24[[#This Row],[Roster Received By]]),1,0)</f>
        <v>1</v>
      </c>
      <c r="AA266" s="13">
        <f ca="1">IF(Table24[[#This Row],[Start Date]]&gt;TODAY(),1,)</f>
        <v>0</v>
      </c>
    </row>
    <row r="267" spans="1:27" s="65" customFormat="1" ht="15.75" customHeight="1" x14ac:dyDescent="0.25">
      <c r="A267" s="46"/>
      <c r="B267" s="75"/>
      <c r="C267" s="59" t="e">
        <v>#N/A</v>
      </c>
      <c r="D267" s="59" t="e">
        <v>#N/A</v>
      </c>
      <c r="E267" s="58"/>
      <c r="F267" s="61"/>
      <c r="G267" s="61"/>
      <c r="H267" s="61"/>
      <c r="I267" s="60"/>
      <c r="J267" s="60"/>
      <c r="K267" s="60"/>
      <c r="L267" s="60"/>
      <c r="M267" s="60"/>
      <c r="N267" s="60"/>
      <c r="O267" s="58"/>
      <c r="P267" s="58"/>
      <c r="Q267" s="13" t="e">
        <v>#N/A</v>
      </c>
      <c r="R267" s="13" t="e">
        <v>#N/A</v>
      </c>
      <c r="S267" s="13"/>
      <c r="T267" s="62"/>
      <c r="U267" s="13"/>
      <c r="V267" s="13"/>
      <c r="W267" s="59"/>
      <c r="X267" s="58"/>
      <c r="Y267" s="51">
        <f ca="1">Table24[[#This Row],[End Date]]+2-TODAY()</f>
        <v>-46242</v>
      </c>
      <c r="Z267" s="13">
        <f>IF(ISBLANK(Table24[[#This Row],[Roster Received By]]),1,0)</f>
        <v>1</v>
      </c>
      <c r="AA267" s="13">
        <f ca="1">IF(Table24[[#This Row],[Start Date]]&gt;TODAY(),1,)</f>
        <v>0</v>
      </c>
    </row>
    <row r="268" spans="1:27" s="65" customFormat="1" ht="14.65" customHeight="1" x14ac:dyDescent="0.25">
      <c r="A268" s="46"/>
      <c r="B268" s="75"/>
      <c r="C268" s="59" t="e">
        <v>#N/A</v>
      </c>
      <c r="D268" s="59" t="e">
        <v>#N/A</v>
      </c>
      <c r="E268" s="47"/>
      <c r="F268" s="61"/>
      <c r="G268" s="61"/>
      <c r="H268" s="67"/>
      <c r="I268" s="67"/>
      <c r="J268" s="61"/>
      <c r="K268" s="61"/>
      <c r="L268" s="61"/>
      <c r="M268" s="61"/>
      <c r="N268" s="61"/>
      <c r="O268" s="58"/>
      <c r="P268" s="58"/>
      <c r="Q268" s="13" t="e">
        <v>#N/A</v>
      </c>
      <c r="R268" s="13" t="e">
        <v>#N/A</v>
      </c>
      <c r="S268" s="13"/>
      <c r="T268" s="62"/>
      <c r="U268" s="13"/>
      <c r="V268" s="13"/>
      <c r="W268" s="13"/>
      <c r="X268" s="58"/>
      <c r="Y268" s="51">
        <f ca="1">Table24[[#This Row],[End Date]]+2-TODAY()</f>
        <v>-46242</v>
      </c>
      <c r="Z268" s="13">
        <f>IF(ISBLANK(Table24[[#This Row],[Roster Received By]]),1,0)</f>
        <v>1</v>
      </c>
      <c r="AA268" s="13">
        <f ca="1">IF(Table24[[#This Row],[Start Date]]&gt;TODAY(),1,)</f>
        <v>0</v>
      </c>
    </row>
    <row r="269" spans="1:27" s="65" customFormat="1" ht="15.75" customHeight="1" x14ac:dyDescent="0.25">
      <c r="A269" s="46"/>
      <c r="B269" s="75"/>
      <c r="C269" s="59" t="e">
        <v>#N/A</v>
      </c>
      <c r="D269" s="59" t="e">
        <v>#N/A</v>
      </c>
      <c r="E269" s="70"/>
      <c r="F269" s="49"/>
      <c r="G269" s="49"/>
      <c r="H269" s="67"/>
      <c r="I269" s="67"/>
      <c r="J269" s="61"/>
      <c r="K269" s="61"/>
      <c r="L269" s="61"/>
      <c r="M269" s="61"/>
      <c r="N269" s="61"/>
      <c r="O269" s="58"/>
      <c r="P269" s="58"/>
      <c r="Q269" s="13" t="e">
        <v>#N/A</v>
      </c>
      <c r="R269" s="13" t="e">
        <v>#N/A</v>
      </c>
      <c r="S269" s="13"/>
      <c r="T269" s="62"/>
      <c r="U269" s="13"/>
      <c r="V269" s="13"/>
      <c r="W269" s="13"/>
      <c r="X269" s="58"/>
      <c r="Y269" s="51">
        <f ca="1">Table24[[#This Row],[End Date]]+2-TODAY()</f>
        <v>-46242</v>
      </c>
      <c r="Z269" s="13">
        <f>IF(ISBLANK(Table24[[#This Row],[Roster Received By]]),1,0)</f>
        <v>1</v>
      </c>
      <c r="AA269" s="13">
        <f ca="1">IF(Table24[[#This Row],[Start Date]]&gt;TODAY(),1,)</f>
        <v>0</v>
      </c>
    </row>
    <row r="270" spans="1:27" s="65" customFormat="1" ht="15.75" customHeight="1" x14ac:dyDescent="0.25">
      <c r="A270" s="46"/>
      <c r="B270" s="75"/>
      <c r="C270" s="59" t="e">
        <v>#N/A</v>
      </c>
      <c r="D270" s="59" t="e">
        <v>#N/A</v>
      </c>
      <c r="E270" s="58"/>
      <c r="F270" s="61"/>
      <c r="G270" s="61"/>
      <c r="H270" s="64"/>
      <c r="I270" s="64"/>
      <c r="J270" s="64"/>
      <c r="K270" s="64"/>
      <c r="L270" s="64"/>
      <c r="M270" s="64"/>
      <c r="N270" s="61"/>
      <c r="O270" s="58"/>
      <c r="P270" s="58"/>
      <c r="Q270" s="13" t="e">
        <v>#N/A</v>
      </c>
      <c r="R270" s="13" t="e">
        <v>#N/A</v>
      </c>
      <c r="S270" s="13"/>
      <c r="T270" s="62"/>
      <c r="U270" s="13"/>
      <c r="V270" s="13"/>
      <c r="W270" s="13"/>
      <c r="X270" s="58"/>
      <c r="Y270" s="51">
        <f ca="1">Table24[[#This Row],[End Date]]+2-TODAY()</f>
        <v>-46242</v>
      </c>
      <c r="Z270" s="13">
        <f>IF(ISBLANK(Table24[[#This Row],[Roster Received By]]),1,0)</f>
        <v>1</v>
      </c>
      <c r="AA270" s="13">
        <f ca="1">IF(Table24[[#This Row],[Start Date]]&gt;TODAY(),1,)</f>
        <v>0</v>
      </c>
    </row>
    <row r="271" spans="1:27" s="65" customFormat="1" ht="15.75" customHeight="1" x14ac:dyDescent="0.25">
      <c r="A271" s="47"/>
      <c r="B271" s="75"/>
      <c r="C271" s="59" t="e">
        <v>#N/A</v>
      </c>
      <c r="D271" s="59" t="e">
        <v>#N/A</v>
      </c>
      <c r="E271" s="58"/>
      <c r="F271" s="61"/>
      <c r="G271" s="61"/>
      <c r="H271" s="67"/>
      <c r="I271" s="67"/>
      <c r="J271" s="61"/>
      <c r="K271" s="61"/>
      <c r="L271" s="61"/>
      <c r="M271" s="61"/>
      <c r="N271" s="61"/>
      <c r="O271" s="58"/>
      <c r="P271" s="58"/>
      <c r="Q271" s="13" t="e">
        <v>#N/A</v>
      </c>
      <c r="R271" s="13" t="e">
        <v>#N/A</v>
      </c>
      <c r="S271" s="13"/>
      <c r="T271" s="62"/>
      <c r="U271" s="13"/>
      <c r="V271" s="13"/>
      <c r="W271" s="13"/>
      <c r="X271" s="58"/>
      <c r="Y271" s="51">
        <f ca="1">Table24[[#This Row],[End Date]]+2-TODAY()</f>
        <v>-46242</v>
      </c>
      <c r="Z271" s="13">
        <f>IF(ISBLANK(Table24[[#This Row],[Roster Received By]]),1,0)</f>
        <v>1</v>
      </c>
      <c r="AA271" s="13">
        <f ca="1">IF(Table24[[#This Row],[Start Date]]&gt;TODAY(),1,)</f>
        <v>0</v>
      </c>
    </row>
    <row r="272" spans="1:27" s="65" customFormat="1" ht="15.75" customHeight="1" x14ac:dyDescent="0.25">
      <c r="A272" s="46"/>
      <c r="B272" s="75"/>
      <c r="C272" s="59" t="e">
        <v>#N/A</v>
      </c>
      <c r="D272" s="59" t="e">
        <v>#N/A</v>
      </c>
      <c r="E272" s="47"/>
      <c r="F272" s="61"/>
      <c r="G272" s="61"/>
      <c r="H272" s="64"/>
      <c r="I272" s="64"/>
      <c r="J272" s="61"/>
      <c r="K272" s="61"/>
      <c r="L272" s="61"/>
      <c r="M272" s="61"/>
      <c r="N272" s="61"/>
      <c r="O272" s="58"/>
      <c r="P272" s="58"/>
      <c r="Q272" s="13" t="e">
        <v>#N/A</v>
      </c>
      <c r="R272" s="13" t="e">
        <v>#N/A</v>
      </c>
      <c r="S272" s="13"/>
      <c r="T272" s="62"/>
      <c r="U272" s="13"/>
      <c r="V272" s="13"/>
      <c r="W272" s="13"/>
      <c r="X272" s="58"/>
      <c r="Y272" s="51">
        <f ca="1">Table24[[#This Row],[End Date]]+2-TODAY()</f>
        <v>-46242</v>
      </c>
      <c r="Z272" s="13">
        <f>IF(ISBLANK(Table24[[#This Row],[Roster Received By]]),1,0)</f>
        <v>1</v>
      </c>
      <c r="AA272" s="13">
        <f ca="1">IF(Table24[[#This Row],[Start Date]]&gt;TODAY(),1,)</f>
        <v>0</v>
      </c>
    </row>
    <row r="273" spans="1:27" s="65" customFormat="1" ht="15.75" customHeight="1" x14ac:dyDescent="0.25">
      <c r="A273" s="58"/>
      <c r="B273" s="75"/>
      <c r="C273" s="59" t="e">
        <v>#N/A</v>
      </c>
      <c r="D273" s="59" t="e">
        <v>#N/A</v>
      </c>
      <c r="E273" s="58"/>
      <c r="F273" s="61"/>
      <c r="G273" s="61"/>
      <c r="H273" s="64"/>
      <c r="I273" s="64"/>
      <c r="J273" s="61"/>
      <c r="K273" s="61"/>
      <c r="L273" s="61"/>
      <c r="M273" s="61"/>
      <c r="N273" s="61"/>
      <c r="O273" s="58"/>
      <c r="P273" s="58"/>
      <c r="Q273" s="13" t="e">
        <v>#N/A</v>
      </c>
      <c r="R273" s="13" t="e">
        <v>#N/A</v>
      </c>
      <c r="S273" s="13"/>
      <c r="T273" s="62"/>
      <c r="U273" s="13"/>
      <c r="V273" s="13"/>
      <c r="W273" s="13"/>
      <c r="X273" s="58"/>
      <c r="Y273" s="51">
        <f ca="1">Table24[[#This Row],[End Date]]+2-TODAY()</f>
        <v>-46242</v>
      </c>
      <c r="Z273" s="13">
        <f>IF(ISBLANK(Table24[[#This Row],[Roster Received By]]),1,0)</f>
        <v>1</v>
      </c>
      <c r="AA273" s="13">
        <f ca="1">IF(Table24[[#This Row],[Start Date]]&gt;TODAY(),1,)</f>
        <v>0</v>
      </c>
    </row>
    <row r="274" spans="1:27" s="65" customFormat="1" ht="15.75" customHeight="1" x14ac:dyDescent="0.25">
      <c r="A274" s="46"/>
      <c r="B274" s="75"/>
      <c r="C274" s="59" t="e">
        <v>#N/A</v>
      </c>
      <c r="D274" s="59" t="e">
        <v>#N/A</v>
      </c>
      <c r="E274" s="47"/>
      <c r="F274" s="61"/>
      <c r="G274" s="61"/>
      <c r="H274" s="64"/>
      <c r="I274" s="60"/>
      <c r="J274" s="60"/>
      <c r="K274" s="60"/>
      <c r="L274" s="60"/>
      <c r="M274" s="60"/>
      <c r="N274" s="60"/>
      <c r="O274" s="58"/>
      <c r="P274" s="58"/>
      <c r="Q274" s="13" t="e">
        <v>#N/A</v>
      </c>
      <c r="R274" s="13" t="e">
        <v>#N/A</v>
      </c>
      <c r="S274" s="13"/>
      <c r="T274" s="62"/>
      <c r="U274" s="13"/>
      <c r="V274" s="13"/>
      <c r="W274" s="13"/>
      <c r="X274" s="58"/>
      <c r="Y274" s="51">
        <f ca="1">Table24[[#This Row],[End Date]]+2-TODAY()</f>
        <v>-46242</v>
      </c>
      <c r="Z274" s="13">
        <f>IF(ISBLANK(Table24[[#This Row],[Roster Received By]]),1,0)</f>
        <v>1</v>
      </c>
      <c r="AA274" s="13">
        <f ca="1">IF(Table24[[#This Row],[Start Date]]&gt;TODAY(),1,)</f>
        <v>0</v>
      </c>
    </row>
    <row r="275" spans="1:27" s="65" customFormat="1" ht="15.75" customHeight="1" x14ac:dyDescent="0.25">
      <c r="A275" s="58"/>
      <c r="B275" s="75"/>
      <c r="C275" s="59" t="e">
        <v>#N/A</v>
      </c>
      <c r="D275" s="59" t="e">
        <v>#N/A</v>
      </c>
      <c r="E275" s="58"/>
      <c r="F275" s="61"/>
      <c r="G275" s="61"/>
      <c r="H275" s="64"/>
      <c r="I275" s="64"/>
      <c r="J275" s="61"/>
      <c r="K275" s="61"/>
      <c r="L275" s="61"/>
      <c r="M275" s="61"/>
      <c r="N275" s="61"/>
      <c r="O275" s="58"/>
      <c r="P275" s="58"/>
      <c r="Q275" s="13" t="e">
        <v>#N/A</v>
      </c>
      <c r="R275" s="13" t="e">
        <v>#N/A</v>
      </c>
      <c r="S275" s="13"/>
      <c r="T275" s="62"/>
      <c r="U275" s="13"/>
      <c r="V275" s="13"/>
      <c r="W275" s="59"/>
      <c r="X275" s="58"/>
      <c r="Y275" s="51">
        <f ca="1">Table24[[#This Row],[End Date]]+2-TODAY()</f>
        <v>-46242</v>
      </c>
      <c r="Z275" s="13">
        <f>IF(ISBLANK(Table24[[#This Row],[Roster Received By]]),1,0)</f>
        <v>1</v>
      </c>
      <c r="AA275" s="13">
        <f ca="1">IF(Table24[[#This Row],[Start Date]]&gt;TODAY(),1,)</f>
        <v>0</v>
      </c>
    </row>
    <row r="276" spans="1:27" s="65" customFormat="1" ht="15.75" customHeight="1" x14ac:dyDescent="0.25">
      <c r="A276" s="46"/>
      <c r="B276" s="75"/>
      <c r="C276" s="59" t="e">
        <v>#N/A</v>
      </c>
      <c r="D276" s="59" t="e">
        <v>#N/A</v>
      </c>
      <c r="E276" s="47"/>
      <c r="F276" s="49"/>
      <c r="G276" s="61"/>
      <c r="H276" s="64"/>
      <c r="I276" s="64"/>
      <c r="J276" s="61"/>
      <c r="K276" s="61"/>
      <c r="L276" s="61"/>
      <c r="M276" s="61"/>
      <c r="N276" s="61"/>
      <c r="O276" s="58"/>
      <c r="P276" s="58"/>
      <c r="Q276" s="13" t="e">
        <v>#N/A</v>
      </c>
      <c r="R276" s="13" t="e">
        <v>#N/A</v>
      </c>
      <c r="S276" s="13"/>
      <c r="T276" s="62"/>
      <c r="U276" s="13"/>
      <c r="V276" s="13"/>
      <c r="W276" s="13"/>
      <c r="X276" s="58"/>
      <c r="Y276" s="51">
        <f ca="1">Table24[[#This Row],[End Date]]+2-TODAY()</f>
        <v>-46242</v>
      </c>
      <c r="Z276" s="13">
        <f>IF(ISBLANK(Table24[[#This Row],[Roster Received By]]),1,0)</f>
        <v>1</v>
      </c>
      <c r="AA276" s="13">
        <f ca="1">IF(Table24[[#This Row],[Start Date]]&gt;TODAY(),1,)</f>
        <v>0</v>
      </c>
    </row>
    <row r="277" spans="1:27" s="65" customFormat="1" ht="15.75" customHeight="1" x14ac:dyDescent="0.25">
      <c r="A277" s="58"/>
      <c r="B277" s="75"/>
      <c r="C277" s="59" t="e">
        <v>#N/A</v>
      </c>
      <c r="D277" s="59" t="e">
        <v>#N/A</v>
      </c>
      <c r="E277" s="58"/>
      <c r="F277" s="61"/>
      <c r="G277" s="61"/>
      <c r="H277" s="61"/>
      <c r="I277" s="60"/>
      <c r="J277" s="60"/>
      <c r="K277" s="60"/>
      <c r="L277" s="60"/>
      <c r="M277" s="60"/>
      <c r="N277" s="60"/>
      <c r="O277" s="58"/>
      <c r="P277" s="58"/>
      <c r="Q277" s="13" t="e">
        <v>#N/A</v>
      </c>
      <c r="R277" s="13" t="e">
        <v>#N/A</v>
      </c>
      <c r="S277" s="13"/>
      <c r="T277" s="62"/>
      <c r="U277" s="13"/>
      <c r="V277" s="13"/>
      <c r="W277" s="13"/>
      <c r="X277" s="58"/>
      <c r="Y277" s="51">
        <f ca="1">Table24[[#This Row],[End Date]]+2-TODAY()</f>
        <v>-46242</v>
      </c>
      <c r="Z277" s="13">
        <f>IF(ISBLANK(Table24[[#This Row],[Roster Received By]]),1,0)</f>
        <v>1</v>
      </c>
      <c r="AA277" s="13">
        <f ca="1">IF(Table24[[#This Row],[Start Date]]&gt;TODAY(),1,)</f>
        <v>0</v>
      </c>
    </row>
    <row r="278" spans="1:27" s="65" customFormat="1" ht="15.75" customHeight="1" x14ac:dyDescent="0.25">
      <c r="A278" s="46"/>
      <c r="B278" s="76"/>
      <c r="C278" s="59" t="e">
        <v>#N/A</v>
      </c>
      <c r="D278" s="59" t="e">
        <v>#N/A</v>
      </c>
      <c r="E278" s="58"/>
      <c r="F278" s="61"/>
      <c r="G278" s="61"/>
      <c r="H278" s="61"/>
      <c r="I278" s="60"/>
      <c r="J278" s="60"/>
      <c r="K278" s="60"/>
      <c r="L278" s="60"/>
      <c r="M278" s="60"/>
      <c r="N278" s="60"/>
      <c r="O278" s="58"/>
      <c r="P278" s="58"/>
      <c r="Q278" s="13" t="e">
        <v>#N/A</v>
      </c>
      <c r="R278" s="13" t="e">
        <v>#N/A</v>
      </c>
      <c r="S278" s="13"/>
      <c r="T278" s="62"/>
      <c r="U278" s="13"/>
      <c r="V278" s="13"/>
      <c r="W278" s="13"/>
      <c r="X278" s="58"/>
      <c r="Y278" s="51">
        <f ca="1">Table24[[#This Row],[End Date]]+2-TODAY()</f>
        <v>-46242</v>
      </c>
      <c r="Z278" s="13">
        <f>IF(ISBLANK(Table24[[#This Row],[Roster Received By]]),1,0)</f>
        <v>1</v>
      </c>
      <c r="AA278" s="13">
        <f ca="1">IF(Table24[[#This Row],[Start Date]]&gt;TODAY(),1,)</f>
        <v>0</v>
      </c>
    </row>
    <row r="279" spans="1:27" s="65" customFormat="1" ht="15.75" customHeight="1" x14ac:dyDescent="0.25">
      <c r="A279" s="46"/>
      <c r="B279" s="76"/>
      <c r="C279" s="59" t="e">
        <v>#N/A</v>
      </c>
      <c r="D279" s="59" t="e">
        <v>#N/A</v>
      </c>
      <c r="E279" s="58"/>
      <c r="F279" s="61"/>
      <c r="G279" s="61"/>
      <c r="H279" s="61"/>
      <c r="I279" s="60"/>
      <c r="J279" s="60"/>
      <c r="K279" s="60"/>
      <c r="L279" s="60"/>
      <c r="M279" s="60"/>
      <c r="N279" s="60"/>
      <c r="O279" s="58"/>
      <c r="P279" s="58"/>
      <c r="Q279" s="13" t="e">
        <v>#N/A</v>
      </c>
      <c r="R279" s="13" t="e">
        <v>#N/A</v>
      </c>
      <c r="S279" s="13"/>
      <c r="T279" s="62"/>
      <c r="U279" s="13"/>
      <c r="V279" s="13"/>
      <c r="W279" s="66"/>
      <c r="X279" s="58"/>
      <c r="Y279" s="51">
        <f ca="1">Table24[[#This Row],[End Date]]+2-TODAY()</f>
        <v>-46242</v>
      </c>
      <c r="Z279" s="13">
        <f>IF(ISBLANK(Table24[[#This Row],[Roster Received By]]),1,0)</f>
        <v>1</v>
      </c>
      <c r="AA279" s="13">
        <f ca="1">IF(Table24[[#This Row],[Start Date]]&gt;TODAY(),1,)</f>
        <v>0</v>
      </c>
    </row>
    <row r="280" spans="1:27" s="65" customFormat="1" ht="15.75" customHeight="1" x14ac:dyDescent="0.25">
      <c r="A280" s="46"/>
      <c r="B280" s="76"/>
      <c r="C280" s="59" t="e">
        <v>#N/A</v>
      </c>
      <c r="D280" s="59" t="e">
        <v>#N/A</v>
      </c>
      <c r="E280" s="58"/>
      <c r="F280" s="61"/>
      <c r="G280" s="61"/>
      <c r="H280" s="64"/>
      <c r="I280" s="64"/>
      <c r="J280" s="64"/>
      <c r="K280" s="64"/>
      <c r="L280" s="64"/>
      <c r="M280" s="64"/>
      <c r="N280" s="61"/>
      <c r="O280" s="58"/>
      <c r="P280" s="58"/>
      <c r="Q280" s="13" t="e">
        <v>#N/A</v>
      </c>
      <c r="R280" s="13" t="e">
        <v>#N/A</v>
      </c>
      <c r="S280" s="13"/>
      <c r="T280" s="62"/>
      <c r="U280" s="13"/>
      <c r="V280" s="13"/>
      <c r="W280" s="13"/>
      <c r="X280" s="58"/>
      <c r="Y280" s="51">
        <f ca="1">Table24[[#This Row],[End Date]]+2-TODAY()</f>
        <v>-46242</v>
      </c>
      <c r="Z280" s="13">
        <f>IF(ISBLANK(Table24[[#This Row],[Roster Received By]]),1,0)</f>
        <v>1</v>
      </c>
      <c r="AA280" s="13">
        <f ca="1">IF(Table24[[#This Row],[Start Date]]&gt;TODAY(),1,)</f>
        <v>0</v>
      </c>
    </row>
    <row r="281" spans="1:27" s="46" customFormat="1" x14ac:dyDescent="0.25">
      <c r="B281" s="75"/>
      <c r="C281" s="59" t="e">
        <v>#N/A</v>
      </c>
      <c r="D281" s="59" t="e">
        <v>#N/A</v>
      </c>
      <c r="E281" s="58"/>
      <c r="F281" s="61"/>
      <c r="G281" s="61"/>
      <c r="H281" s="61"/>
      <c r="I281" s="60"/>
      <c r="J281" s="60"/>
      <c r="K281" s="60"/>
      <c r="L281" s="60"/>
      <c r="M281" s="60"/>
      <c r="N281" s="60"/>
      <c r="O281" s="58"/>
      <c r="P281" s="58"/>
      <c r="Q281" s="13" t="e">
        <v>#N/A</v>
      </c>
      <c r="R281" s="13" t="e">
        <v>#N/A</v>
      </c>
      <c r="S281" s="13"/>
      <c r="T281" s="62"/>
      <c r="U281" s="13"/>
      <c r="V281" s="13"/>
      <c r="W281" s="13"/>
      <c r="X281" s="58"/>
      <c r="Y281" s="51">
        <f ca="1">Table24[[#This Row],[End Date]]+2-TODAY()</f>
        <v>-46242</v>
      </c>
      <c r="Z281" s="13">
        <f>IF(ISBLANK(Table24[[#This Row],[Roster Received By]]),1,0)</f>
        <v>1</v>
      </c>
      <c r="AA281" s="13">
        <f ca="1">IF(Table24[[#This Row],[Start Date]]&gt;TODAY(),1,)</f>
        <v>0</v>
      </c>
    </row>
    <row r="282" spans="1:27" s="46" customFormat="1" x14ac:dyDescent="0.25">
      <c r="B282" s="75"/>
      <c r="C282" s="59" t="e">
        <v>#N/A</v>
      </c>
      <c r="D282" s="59" t="e">
        <v>#N/A</v>
      </c>
      <c r="E282" s="58"/>
      <c r="F282" s="61"/>
      <c r="G282" s="61"/>
      <c r="H282" s="61"/>
      <c r="I282" s="60"/>
      <c r="J282" s="60"/>
      <c r="K282" s="60"/>
      <c r="L282" s="60"/>
      <c r="M282" s="60"/>
      <c r="N282" s="60"/>
      <c r="O282" s="58"/>
      <c r="P282" s="58"/>
      <c r="Q282" s="13" t="e">
        <v>#N/A</v>
      </c>
      <c r="R282" s="13" t="e">
        <v>#N/A</v>
      </c>
      <c r="S282" s="13"/>
      <c r="T282" s="62"/>
      <c r="U282" s="13"/>
      <c r="V282" s="13"/>
      <c r="W282" s="13"/>
      <c r="X282" s="58"/>
      <c r="Y282" s="51">
        <f ca="1">Table24[[#This Row],[End Date]]+2-TODAY()</f>
        <v>-46242</v>
      </c>
      <c r="Z282" s="13">
        <f>IF(ISBLANK(Table24[[#This Row],[Roster Received By]]),1,0)</f>
        <v>1</v>
      </c>
      <c r="AA282" s="13">
        <f ca="1">IF(Table24[[#This Row],[Start Date]]&gt;TODAY(),1,)</f>
        <v>0</v>
      </c>
    </row>
    <row r="283" spans="1:27" s="46" customFormat="1" x14ac:dyDescent="0.25">
      <c r="B283" s="76"/>
      <c r="C283" s="59" t="e">
        <v>#N/A</v>
      </c>
      <c r="D283" s="59" t="e">
        <v>#N/A</v>
      </c>
      <c r="E283" s="58"/>
      <c r="F283" s="61"/>
      <c r="G283" s="61"/>
      <c r="H283" s="61"/>
      <c r="I283" s="60"/>
      <c r="J283" s="60"/>
      <c r="K283" s="60"/>
      <c r="L283" s="60"/>
      <c r="M283" s="60"/>
      <c r="N283" s="60"/>
      <c r="O283" s="58"/>
      <c r="P283" s="58"/>
      <c r="Q283" s="13" t="e">
        <v>#N/A</v>
      </c>
      <c r="R283" s="13" t="e">
        <v>#N/A</v>
      </c>
      <c r="S283" s="13"/>
      <c r="T283" s="62"/>
      <c r="U283" s="13"/>
      <c r="V283" s="13"/>
      <c r="W283" s="13"/>
      <c r="X283" s="58"/>
      <c r="Y283" s="51">
        <f ca="1">Table24[[#This Row],[End Date]]+2-TODAY()</f>
        <v>-46242</v>
      </c>
      <c r="Z283" s="13">
        <f>IF(ISBLANK(Table24[[#This Row],[Roster Received By]]),1,0)</f>
        <v>1</v>
      </c>
      <c r="AA283" s="13">
        <f ca="1">IF(Table24[[#This Row],[Start Date]]&gt;TODAY(),1,)</f>
        <v>0</v>
      </c>
    </row>
    <row r="284" spans="1:27" s="46" customFormat="1" x14ac:dyDescent="0.25">
      <c r="B284" s="76"/>
      <c r="C284" s="59" t="e">
        <v>#N/A</v>
      </c>
      <c r="D284" s="59" t="e">
        <v>#N/A</v>
      </c>
      <c r="E284" s="58"/>
      <c r="F284" s="49"/>
      <c r="G284" s="49"/>
      <c r="H284" s="49"/>
      <c r="I284" s="60"/>
      <c r="J284" s="60"/>
      <c r="K284" s="60"/>
      <c r="L284" s="60"/>
      <c r="M284" s="60"/>
      <c r="N284" s="60"/>
      <c r="O284" s="58"/>
      <c r="P284" s="58"/>
      <c r="Q284" s="13" t="e">
        <v>#N/A</v>
      </c>
      <c r="R284" s="13" t="e">
        <v>#N/A</v>
      </c>
      <c r="S284" s="13"/>
      <c r="T284" s="62"/>
      <c r="U284" s="13"/>
      <c r="V284" s="13"/>
      <c r="W284" s="62"/>
      <c r="X284" s="58"/>
      <c r="Y284" s="51">
        <f ca="1">Table24[[#This Row],[End Date]]+2-TODAY()</f>
        <v>-46242</v>
      </c>
      <c r="Z284" s="13">
        <f>IF(ISBLANK(Table24[[#This Row],[Roster Received By]]),1,0)</f>
        <v>1</v>
      </c>
      <c r="AA284" s="13">
        <f ca="1">IF(Table24[[#This Row],[Start Date]]&gt;TODAY(),1,)</f>
        <v>0</v>
      </c>
    </row>
    <row r="285" spans="1:27" s="46" customFormat="1" x14ac:dyDescent="0.25">
      <c r="B285" s="75"/>
      <c r="C285" s="59" t="e">
        <v>#N/A</v>
      </c>
      <c r="D285" s="59" t="e">
        <v>#N/A</v>
      </c>
      <c r="E285" s="58"/>
      <c r="F285" s="61"/>
      <c r="G285" s="61"/>
      <c r="H285" s="64"/>
      <c r="I285" s="64"/>
      <c r="J285" s="64"/>
      <c r="K285" s="64"/>
      <c r="L285" s="64"/>
      <c r="M285" s="64"/>
      <c r="N285" s="64"/>
      <c r="O285" s="58"/>
      <c r="P285" s="58"/>
      <c r="Q285" s="13" t="e">
        <v>#N/A</v>
      </c>
      <c r="R285" s="13" t="e">
        <v>#N/A</v>
      </c>
      <c r="S285" s="13"/>
      <c r="T285" s="62"/>
      <c r="U285" s="13"/>
      <c r="V285" s="13"/>
      <c r="W285" s="13"/>
      <c r="X285" s="58"/>
      <c r="Y285" s="51">
        <f ca="1">Table24[[#This Row],[End Date]]+2-TODAY()</f>
        <v>-46242</v>
      </c>
      <c r="Z285" s="13">
        <f>IF(ISBLANK(Table24[[#This Row],[Roster Received By]]),1,0)</f>
        <v>1</v>
      </c>
      <c r="AA285" s="13">
        <f ca="1">IF(Table24[[#This Row],[Start Date]]&gt;TODAY(),1,)</f>
        <v>0</v>
      </c>
    </row>
    <row r="286" spans="1:27" s="46" customFormat="1" x14ac:dyDescent="0.25">
      <c r="B286" s="75"/>
      <c r="C286" s="59" t="e">
        <v>#N/A</v>
      </c>
      <c r="D286" s="59" t="e">
        <v>#N/A</v>
      </c>
      <c r="E286" s="58"/>
      <c r="F286" s="49"/>
      <c r="G286" s="61"/>
      <c r="H286" s="61"/>
      <c r="I286" s="60"/>
      <c r="J286" s="60"/>
      <c r="K286" s="60"/>
      <c r="L286" s="60"/>
      <c r="M286" s="60"/>
      <c r="N286" s="60"/>
      <c r="O286" s="58"/>
      <c r="P286" s="58"/>
      <c r="Q286" s="13" t="e">
        <v>#N/A</v>
      </c>
      <c r="R286" s="13" t="e">
        <v>#N/A</v>
      </c>
      <c r="S286" s="13"/>
      <c r="T286" s="62"/>
      <c r="U286" s="13"/>
      <c r="V286" s="13"/>
      <c r="W286" s="13"/>
      <c r="X286" s="58"/>
      <c r="Y286" s="51">
        <f ca="1">Table24[[#This Row],[End Date]]+2-TODAY()</f>
        <v>-46242</v>
      </c>
      <c r="Z286" s="13">
        <f>IF(ISBLANK(Table24[[#This Row],[Roster Received By]]),1,0)</f>
        <v>1</v>
      </c>
      <c r="AA286" s="13">
        <f ca="1">IF(Table24[[#This Row],[Start Date]]&gt;TODAY(),1,)</f>
        <v>0</v>
      </c>
    </row>
    <row r="287" spans="1:27" s="46" customFormat="1" x14ac:dyDescent="0.25">
      <c r="B287" s="76"/>
      <c r="C287" s="59" t="e">
        <v>#N/A</v>
      </c>
      <c r="D287" s="59" t="e">
        <v>#N/A</v>
      </c>
      <c r="E287" s="58"/>
      <c r="F287" s="61"/>
      <c r="G287" s="61"/>
      <c r="H287" s="64"/>
      <c r="I287" s="64"/>
      <c r="J287" s="61"/>
      <c r="K287" s="61"/>
      <c r="L287" s="61"/>
      <c r="M287" s="61"/>
      <c r="N287" s="61"/>
      <c r="O287" s="58"/>
      <c r="P287" s="58"/>
      <c r="Q287" s="13" t="e">
        <v>#N/A</v>
      </c>
      <c r="R287" s="13" t="e">
        <v>#N/A</v>
      </c>
      <c r="S287" s="13"/>
      <c r="T287" s="62"/>
      <c r="U287" s="13"/>
      <c r="V287" s="13"/>
      <c r="W287" s="13"/>
      <c r="X287" s="58"/>
      <c r="Y287" s="51">
        <f ca="1">Table24[[#This Row],[End Date]]+2-TODAY()</f>
        <v>-46242</v>
      </c>
      <c r="Z287" s="13">
        <f>IF(ISBLANK(Table24[[#This Row],[Roster Received By]]),1,0)</f>
        <v>1</v>
      </c>
      <c r="AA287" s="13">
        <f ca="1">IF(Table24[[#This Row],[Start Date]]&gt;TODAY(),1,)</f>
        <v>0</v>
      </c>
    </row>
    <row r="288" spans="1:27" s="46" customFormat="1" x14ac:dyDescent="0.25">
      <c r="A288" s="47"/>
      <c r="B288" s="76"/>
      <c r="C288" s="59" t="e">
        <v>#N/A</v>
      </c>
      <c r="D288" s="59" t="e">
        <v>#N/A</v>
      </c>
      <c r="E288" s="47"/>
      <c r="F288" s="61"/>
      <c r="G288" s="61"/>
      <c r="H288" s="64"/>
      <c r="I288" s="64"/>
      <c r="J288" s="61"/>
      <c r="K288" s="61"/>
      <c r="L288" s="61"/>
      <c r="M288" s="61"/>
      <c r="N288" s="61"/>
      <c r="O288" s="58"/>
      <c r="P288" s="58"/>
      <c r="Q288" s="13" t="e">
        <v>#N/A</v>
      </c>
      <c r="R288" s="13" t="e">
        <v>#N/A</v>
      </c>
      <c r="S288" s="13"/>
      <c r="T288" s="62"/>
      <c r="U288" s="13"/>
      <c r="V288" s="13"/>
      <c r="W288" s="13"/>
      <c r="X288" s="58"/>
      <c r="Y288" s="51">
        <f ca="1">Table24[[#This Row],[End Date]]+2-TODAY()</f>
        <v>-46242</v>
      </c>
      <c r="Z288" s="13">
        <f>IF(ISBLANK(Table24[[#This Row],[Roster Received By]]),1,0)</f>
        <v>1</v>
      </c>
      <c r="AA288" s="13">
        <f ca="1">IF(Table24[[#This Row],[Start Date]]&gt;TODAY(),1,)</f>
        <v>0</v>
      </c>
    </row>
    <row r="289" spans="2:27" s="46" customFormat="1" x14ac:dyDescent="0.25">
      <c r="B289" s="75"/>
      <c r="C289" s="59" t="e">
        <v>#N/A</v>
      </c>
      <c r="D289" s="59" t="e">
        <v>#N/A</v>
      </c>
      <c r="E289" s="58"/>
      <c r="F289" s="61"/>
      <c r="G289" s="61"/>
      <c r="H289" s="64"/>
      <c r="I289" s="64"/>
      <c r="J289" s="64"/>
      <c r="K289" s="64"/>
      <c r="L289" s="64"/>
      <c r="M289" s="64"/>
      <c r="N289" s="61"/>
      <c r="O289" s="58"/>
      <c r="P289" s="58"/>
      <c r="Q289" s="13" t="e">
        <v>#N/A</v>
      </c>
      <c r="R289" s="13" t="e">
        <v>#N/A</v>
      </c>
      <c r="S289" s="13"/>
      <c r="T289" s="62"/>
      <c r="U289" s="13"/>
      <c r="V289" s="13"/>
      <c r="W289" s="13"/>
      <c r="X289" s="58"/>
      <c r="Y289" s="51">
        <f ca="1">Table24[[#This Row],[End Date]]+2-TODAY()</f>
        <v>-46242</v>
      </c>
      <c r="Z289" s="13">
        <f>IF(ISBLANK(Table24[[#This Row],[Roster Received By]]),1,0)</f>
        <v>1</v>
      </c>
      <c r="AA289" s="13">
        <f ca="1">IF(Table24[[#This Row],[Start Date]]&gt;TODAY(),1,)</f>
        <v>0</v>
      </c>
    </row>
    <row r="290" spans="2:27" s="46" customFormat="1" x14ac:dyDescent="0.25">
      <c r="B290" s="75"/>
      <c r="C290" s="59" t="e">
        <v>#N/A</v>
      </c>
      <c r="D290" s="59" t="e">
        <v>#N/A</v>
      </c>
      <c r="E290" s="58"/>
      <c r="F290" s="61"/>
      <c r="G290" s="61"/>
      <c r="H290" s="64"/>
      <c r="I290" s="64"/>
      <c r="J290" s="64"/>
      <c r="K290" s="64"/>
      <c r="L290" s="64"/>
      <c r="M290" s="64"/>
      <c r="N290" s="61"/>
      <c r="O290" s="58"/>
      <c r="P290" s="58"/>
      <c r="Q290" s="13" t="e">
        <v>#N/A</v>
      </c>
      <c r="R290" s="13" t="e">
        <v>#N/A</v>
      </c>
      <c r="S290" s="13"/>
      <c r="T290" s="62"/>
      <c r="U290" s="13"/>
      <c r="V290" s="13"/>
      <c r="W290" s="59"/>
      <c r="X290" s="58"/>
      <c r="Y290" s="51">
        <f ca="1">Table24[[#This Row],[End Date]]+2-TODAY()</f>
        <v>-46242</v>
      </c>
      <c r="Z290" s="13">
        <f>IF(ISBLANK(Table24[[#This Row],[Roster Received By]]),1,0)</f>
        <v>1</v>
      </c>
      <c r="AA290" s="13">
        <f ca="1">IF(Table24[[#This Row],[Start Date]]&gt;TODAY(),1,)</f>
        <v>0</v>
      </c>
    </row>
    <row r="291" spans="2:27" s="46" customFormat="1" x14ac:dyDescent="0.25">
      <c r="B291" s="75"/>
      <c r="C291" s="59" t="e">
        <v>#N/A</v>
      </c>
      <c r="D291" s="59" t="e">
        <v>#N/A</v>
      </c>
      <c r="E291" s="58"/>
      <c r="F291" s="61"/>
      <c r="G291" s="61"/>
      <c r="H291" s="61"/>
      <c r="I291" s="60"/>
      <c r="J291" s="60"/>
      <c r="K291" s="60"/>
      <c r="L291" s="60"/>
      <c r="M291" s="60"/>
      <c r="N291" s="60"/>
      <c r="O291" s="58"/>
      <c r="P291" s="58"/>
      <c r="Q291" s="13" t="e">
        <v>#N/A</v>
      </c>
      <c r="R291" s="13" t="e">
        <v>#N/A</v>
      </c>
      <c r="S291" s="13"/>
      <c r="T291" s="62"/>
      <c r="U291" s="13"/>
      <c r="V291" s="13"/>
      <c r="W291" s="13"/>
      <c r="X291" s="58"/>
      <c r="Y291" s="51">
        <f ca="1">Table24[[#This Row],[End Date]]+2-TODAY()</f>
        <v>-46242</v>
      </c>
      <c r="Z291" s="13">
        <f>IF(ISBLANK(Table24[[#This Row],[Roster Received By]]),1,0)</f>
        <v>1</v>
      </c>
      <c r="AA291" s="13">
        <f ca="1">IF(Table24[[#This Row],[Start Date]]&gt;TODAY(),1,)</f>
        <v>0</v>
      </c>
    </row>
    <row r="292" spans="2:27" s="46" customFormat="1" x14ac:dyDescent="0.25">
      <c r="B292" s="75"/>
      <c r="C292" s="59" t="e">
        <v>#N/A</v>
      </c>
      <c r="D292" s="59" t="e">
        <v>#N/A</v>
      </c>
      <c r="E292" s="58"/>
      <c r="F292" s="61"/>
      <c r="G292" s="61"/>
      <c r="H292" s="61"/>
      <c r="I292" s="60"/>
      <c r="J292" s="60"/>
      <c r="K292" s="60"/>
      <c r="L292" s="60"/>
      <c r="M292" s="60"/>
      <c r="N292" s="60"/>
      <c r="O292" s="58"/>
      <c r="P292" s="58"/>
      <c r="Q292" s="13" t="e">
        <v>#N/A</v>
      </c>
      <c r="R292" s="13" t="e">
        <v>#N/A</v>
      </c>
      <c r="S292" s="13"/>
      <c r="T292" s="62"/>
      <c r="U292" s="13"/>
      <c r="V292" s="13"/>
      <c r="W292" s="13"/>
      <c r="X292" s="58"/>
      <c r="Y292" s="51">
        <f ca="1">Table24[[#This Row],[End Date]]+2-TODAY()</f>
        <v>-46242</v>
      </c>
      <c r="Z292" s="13">
        <f>IF(ISBLANK(Table24[[#This Row],[Roster Received By]]),1,0)</f>
        <v>1</v>
      </c>
      <c r="AA292" s="13">
        <f ca="1">IF(Table24[[#This Row],[Start Date]]&gt;TODAY(),1,)</f>
        <v>0</v>
      </c>
    </row>
    <row r="293" spans="2:27" s="46" customFormat="1" x14ac:dyDescent="0.25">
      <c r="B293" s="75"/>
      <c r="C293" s="59" t="e">
        <v>#N/A</v>
      </c>
      <c r="D293" s="59" t="e">
        <v>#N/A</v>
      </c>
      <c r="E293" s="58"/>
      <c r="F293" s="61"/>
      <c r="G293" s="61"/>
      <c r="H293" s="61"/>
      <c r="I293" s="60"/>
      <c r="J293" s="60"/>
      <c r="K293" s="60"/>
      <c r="L293" s="60"/>
      <c r="M293" s="60"/>
      <c r="N293" s="60"/>
      <c r="O293" s="58"/>
      <c r="P293" s="58"/>
      <c r="Q293" s="13" t="e">
        <v>#N/A</v>
      </c>
      <c r="R293" s="13" t="e">
        <v>#N/A</v>
      </c>
      <c r="S293" s="13"/>
      <c r="T293" s="62"/>
      <c r="U293" s="13"/>
      <c r="V293" s="13"/>
      <c r="W293" s="13"/>
      <c r="X293" s="58"/>
      <c r="Y293" s="51">
        <f ca="1">Table24[[#This Row],[End Date]]+2-TODAY()</f>
        <v>-46242</v>
      </c>
      <c r="Z293" s="13">
        <f>IF(ISBLANK(Table24[[#This Row],[Roster Received By]]),1,0)</f>
        <v>1</v>
      </c>
      <c r="AA293" s="13">
        <f ca="1">IF(Table24[[#This Row],[Start Date]]&gt;TODAY(),1,)</f>
        <v>0</v>
      </c>
    </row>
    <row r="294" spans="2:27" s="46" customFormat="1" x14ac:dyDescent="0.25">
      <c r="B294" s="75"/>
      <c r="C294" s="59" t="e">
        <v>#N/A</v>
      </c>
      <c r="D294" s="59" t="e">
        <v>#N/A</v>
      </c>
      <c r="E294" s="58"/>
      <c r="F294" s="61"/>
      <c r="G294" s="61"/>
      <c r="H294" s="61"/>
      <c r="I294" s="60"/>
      <c r="J294" s="60"/>
      <c r="K294" s="60"/>
      <c r="L294" s="60"/>
      <c r="M294" s="60"/>
      <c r="N294" s="60"/>
      <c r="O294" s="58"/>
      <c r="P294" s="58"/>
      <c r="Q294" s="13" t="e">
        <v>#N/A</v>
      </c>
      <c r="R294" s="13" t="e">
        <v>#N/A</v>
      </c>
      <c r="S294" s="13"/>
      <c r="T294" s="62"/>
      <c r="U294" s="13"/>
      <c r="V294" s="13"/>
      <c r="W294" s="13"/>
      <c r="X294" s="58"/>
      <c r="Y294" s="51">
        <f ca="1">Table24[[#This Row],[End Date]]+2-TODAY()</f>
        <v>-46242</v>
      </c>
      <c r="Z294" s="13">
        <f>IF(ISBLANK(Table24[[#This Row],[Roster Received By]]),1,0)</f>
        <v>1</v>
      </c>
      <c r="AA294" s="13">
        <f ca="1">IF(Table24[[#This Row],[Start Date]]&gt;TODAY(),1,)</f>
        <v>0</v>
      </c>
    </row>
    <row r="295" spans="2:27" s="46" customFormat="1" x14ac:dyDescent="0.25">
      <c r="B295" s="76"/>
      <c r="C295" s="59" t="e">
        <v>#N/A</v>
      </c>
      <c r="D295" s="59" t="e">
        <v>#N/A</v>
      </c>
      <c r="E295" s="58"/>
      <c r="F295" s="61"/>
      <c r="G295" s="61"/>
      <c r="H295" s="61"/>
      <c r="I295" s="60"/>
      <c r="J295" s="60"/>
      <c r="K295" s="60"/>
      <c r="L295" s="60"/>
      <c r="M295" s="60"/>
      <c r="N295" s="60"/>
      <c r="O295" s="58"/>
      <c r="P295" s="58"/>
      <c r="Q295" s="13" t="e">
        <v>#N/A</v>
      </c>
      <c r="R295" s="13" t="e">
        <v>#N/A</v>
      </c>
      <c r="S295" s="13"/>
      <c r="T295" s="62"/>
      <c r="U295" s="13"/>
      <c r="V295" s="13"/>
      <c r="W295" s="13"/>
      <c r="X295" s="58"/>
      <c r="Y295" s="51">
        <f ca="1">Table24[[#This Row],[End Date]]+2-TODAY()</f>
        <v>-46242</v>
      </c>
      <c r="Z295" s="13">
        <f>IF(ISBLANK(Table24[[#This Row],[Roster Received By]]),1,0)</f>
        <v>1</v>
      </c>
      <c r="AA295" s="13">
        <f ca="1">IF(Table24[[#This Row],[Start Date]]&gt;TODAY(),1,)</f>
        <v>0</v>
      </c>
    </row>
    <row r="296" spans="2:27" s="46" customFormat="1" x14ac:dyDescent="0.25">
      <c r="B296" s="76"/>
      <c r="C296" s="59" t="e">
        <v>#N/A</v>
      </c>
      <c r="D296" s="59" t="e">
        <v>#N/A</v>
      </c>
      <c r="E296" s="58"/>
      <c r="F296" s="61"/>
      <c r="G296" s="61"/>
      <c r="H296" s="67"/>
      <c r="I296" s="67"/>
      <c r="J296" s="61"/>
      <c r="K296" s="61"/>
      <c r="L296" s="61"/>
      <c r="M296" s="61"/>
      <c r="N296" s="61"/>
      <c r="O296" s="58"/>
      <c r="P296" s="58"/>
      <c r="Q296" s="13" t="e">
        <v>#N/A</v>
      </c>
      <c r="R296" s="13" t="e">
        <v>#N/A</v>
      </c>
      <c r="S296" s="13"/>
      <c r="T296" s="62"/>
      <c r="U296" s="13"/>
      <c r="V296" s="13"/>
      <c r="W296" s="13"/>
      <c r="X296" s="58"/>
      <c r="Y296" s="51">
        <f ca="1">Table24[[#This Row],[End Date]]+2-TODAY()</f>
        <v>-46242</v>
      </c>
      <c r="Z296" s="13">
        <f>IF(ISBLANK(Table24[[#This Row],[Roster Received By]]),1,0)</f>
        <v>1</v>
      </c>
      <c r="AA296" s="13">
        <f ca="1">IF(Table24[[#This Row],[Start Date]]&gt;TODAY(),1,)</f>
        <v>0</v>
      </c>
    </row>
    <row r="297" spans="2:27" s="46" customFormat="1" x14ac:dyDescent="0.25">
      <c r="B297" s="76"/>
      <c r="C297" s="59" t="e">
        <v>#N/A</v>
      </c>
      <c r="D297" s="59" t="e">
        <v>#N/A</v>
      </c>
      <c r="E297" s="58"/>
      <c r="F297" s="61"/>
      <c r="G297" s="61"/>
      <c r="H297" s="61"/>
      <c r="I297" s="60"/>
      <c r="J297" s="60"/>
      <c r="K297" s="60"/>
      <c r="L297" s="60"/>
      <c r="M297" s="60"/>
      <c r="N297" s="60"/>
      <c r="O297" s="58"/>
      <c r="P297" s="58"/>
      <c r="Q297" s="13" t="e">
        <v>#N/A</v>
      </c>
      <c r="R297" s="13" t="e">
        <v>#N/A</v>
      </c>
      <c r="S297" s="13"/>
      <c r="T297" s="62"/>
      <c r="U297" s="13"/>
      <c r="V297" s="13"/>
      <c r="W297" s="13"/>
      <c r="X297" s="58"/>
      <c r="Y297" s="51">
        <f ca="1">Table24[[#This Row],[End Date]]+2-TODAY()</f>
        <v>-46242</v>
      </c>
      <c r="Z297" s="13">
        <f>IF(ISBLANK(Table24[[#This Row],[Roster Received By]]),1,0)</f>
        <v>1</v>
      </c>
      <c r="AA297" s="13">
        <f ca="1">IF(Table24[[#This Row],[Start Date]]&gt;TODAY(),1,)</f>
        <v>0</v>
      </c>
    </row>
    <row r="298" spans="2:27" s="46" customFormat="1" x14ac:dyDescent="0.25">
      <c r="B298" s="76"/>
      <c r="C298" s="59" t="e">
        <v>#N/A</v>
      </c>
      <c r="D298" s="59" t="e">
        <v>#N/A</v>
      </c>
      <c r="E298" s="58"/>
      <c r="F298" s="61"/>
      <c r="G298" s="61"/>
      <c r="H298" s="61"/>
      <c r="I298" s="60"/>
      <c r="J298" s="60"/>
      <c r="K298" s="60"/>
      <c r="L298" s="60"/>
      <c r="M298" s="60"/>
      <c r="N298" s="60"/>
      <c r="O298" s="58"/>
      <c r="P298" s="58"/>
      <c r="Q298" s="13" t="e">
        <v>#N/A</v>
      </c>
      <c r="R298" s="13" t="e">
        <v>#N/A</v>
      </c>
      <c r="S298" s="13"/>
      <c r="T298" s="62"/>
      <c r="U298" s="13"/>
      <c r="V298" s="13"/>
      <c r="W298" s="62"/>
      <c r="X298" s="58"/>
      <c r="Y298" s="51">
        <f ca="1">Table24[[#This Row],[End Date]]+2-TODAY()</f>
        <v>-46242</v>
      </c>
      <c r="Z298" s="13">
        <f>IF(ISBLANK(Table24[[#This Row],[Roster Received By]]),1,0)</f>
        <v>1</v>
      </c>
      <c r="AA298" s="13">
        <f ca="1">IF(Table24[[#This Row],[Start Date]]&gt;TODAY(),1,)</f>
        <v>0</v>
      </c>
    </row>
    <row r="299" spans="2:27" s="46" customFormat="1" x14ac:dyDescent="0.25">
      <c r="B299" s="76"/>
      <c r="C299" s="59" t="e">
        <v>#N/A</v>
      </c>
      <c r="D299" s="59" t="e">
        <v>#N/A</v>
      </c>
      <c r="E299" s="58"/>
      <c r="F299" s="61"/>
      <c r="G299" s="61"/>
      <c r="H299" s="64"/>
      <c r="I299" s="64"/>
      <c r="J299" s="61"/>
      <c r="K299" s="61"/>
      <c r="L299" s="61"/>
      <c r="M299" s="61"/>
      <c r="N299" s="61"/>
      <c r="O299" s="58"/>
      <c r="P299" s="58"/>
      <c r="Q299" s="13" t="e">
        <v>#N/A</v>
      </c>
      <c r="R299" s="13" t="e">
        <v>#N/A</v>
      </c>
      <c r="S299" s="62"/>
      <c r="T299" s="62"/>
      <c r="U299" s="13"/>
      <c r="V299" s="13"/>
      <c r="W299" s="59"/>
      <c r="X299" s="58"/>
      <c r="Y299" s="68">
        <f ca="1">Table24[[#This Row],[End Date]]+2-TODAY()</f>
        <v>-46242</v>
      </c>
      <c r="Z299" s="13">
        <f>IF(ISBLANK(Table24[[#This Row],[Roster Received By]]),1,0)</f>
        <v>1</v>
      </c>
      <c r="AA299" s="59">
        <f ca="1">IF(Table24[[#This Row],[Start Date]]&gt;TODAY(),1,)</f>
        <v>0</v>
      </c>
    </row>
    <row r="300" spans="2:27" s="46" customFormat="1" x14ac:dyDescent="0.25">
      <c r="B300" s="76"/>
      <c r="C300" s="59" t="e">
        <v>#N/A</v>
      </c>
      <c r="D300" s="59" t="e">
        <v>#N/A</v>
      </c>
      <c r="E300" s="58"/>
      <c r="F300" s="61"/>
      <c r="G300" s="61"/>
      <c r="H300" s="64"/>
      <c r="I300" s="64"/>
      <c r="J300" s="61"/>
      <c r="K300" s="61"/>
      <c r="L300" s="61"/>
      <c r="M300" s="61"/>
      <c r="N300" s="61"/>
      <c r="O300" s="58"/>
      <c r="P300" s="58"/>
      <c r="Q300" s="13" t="e">
        <v>#N/A</v>
      </c>
      <c r="R300" s="13" t="e">
        <v>#N/A</v>
      </c>
      <c r="S300" s="13"/>
      <c r="T300" s="62"/>
      <c r="U300" s="13"/>
      <c r="V300" s="13"/>
      <c r="W300" s="13"/>
      <c r="X300" s="58"/>
      <c r="Y300" s="51">
        <f ca="1">Table24[[#This Row],[End Date]]+2-TODAY()</f>
        <v>-46242</v>
      </c>
      <c r="Z300" s="13">
        <f>IF(ISBLANK(Table24[[#This Row],[Roster Received By]]),1,0)</f>
        <v>1</v>
      </c>
      <c r="AA300" s="13">
        <f ca="1">IF(Table24[[#This Row],[Start Date]]&gt;TODAY(),1,)</f>
        <v>0</v>
      </c>
    </row>
    <row r="301" spans="2:27" s="46" customFormat="1" x14ac:dyDescent="0.25">
      <c r="B301" s="76"/>
      <c r="C301" s="59" t="e">
        <v>#N/A</v>
      </c>
      <c r="D301" s="59" t="e">
        <v>#N/A</v>
      </c>
      <c r="E301" s="58"/>
      <c r="F301" s="61"/>
      <c r="G301" s="61"/>
      <c r="H301" s="64"/>
      <c r="I301" s="64"/>
      <c r="J301" s="64"/>
      <c r="K301" s="64"/>
      <c r="L301" s="64"/>
      <c r="M301" s="64"/>
      <c r="N301" s="64"/>
      <c r="O301" s="58"/>
      <c r="P301" s="58"/>
      <c r="Q301" s="13" t="e">
        <v>#N/A</v>
      </c>
      <c r="R301" s="13" t="e">
        <v>#N/A</v>
      </c>
      <c r="S301" s="13"/>
      <c r="T301" s="62"/>
      <c r="U301" s="13"/>
      <c r="V301" s="13"/>
      <c r="W301" s="13"/>
      <c r="X301" s="58"/>
      <c r="Y301" s="51">
        <f ca="1">Table24[[#This Row],[End Date]]+2-TODAY()</f>
        <v>-46242</v>
      </c>
      <c r="Z301" s="13">
        <f>IF(ISBLANK(Table24[[#This Row],[Roster Received By]]),1,0)</f>
        <v>1</v>
      </c>
      <c r="AA301" s="13">
        <f ca="1">IF(Table24[[#This Row],[Start Date]]&gt;TODAY(),1,)</f>
        <v>0</v>
      </c>
    </row>
    <row r="302" spans="2:27" s="46" customFormat="1" x14ac:dyDescent="0.25">
      <c r="B302" s="76"/>
      <c r="C302" s="59" t="e">
        <v>#N/A</v>
      </c>
      <c r="D302" s="59" t="e">
        <v>#N/A</v>
      </c>
      <c r="E302" s="58"/>
      <c r="F302" s="49"/>
      <c r="G302" s="61"/>
      <c r="H302" s="61"/>
      <c r="I302" s="60"/>
      <c r="J302" s="60"/>
      <c r="K302" s="60"/>
      <c r="L302" s="60"/>
      <c r="M302" s="60"/>
      <c r="N302" s="60"/>
      <c r="O302" s="58"/>
      <c r="P302" s="58"/>
      <c r="Q302" s="13" t="e">
        <v>#N/A</v>
      </c>
      <c r="R302" s="13" t="e">
        <v>#N/A</v>
      </c>
      <c r="S302" s="13"/>
      <c r="T302" s="62"/>
      <c r="U302" s="13"/>
      <c r="V302" s="13"/>
      <c r="W302" s="13"/>
      <c r="X302" s="58"/>
      <c r="Y302" s="51">
        <f ca="1">Table24[[#This Row],[End Date]]+2-TODAY()</f>
        <v>-46242</v>
      </c>
      <c r="Z302" s="13">
        <f>IF(ISBLANK(Table24[[#This Row],[Roster Received By]]),1,0)</f>
        <v>1</v>
      </c>
      <c r="AA302" s="13">
        <f ca="1">IF(Table24[[#This Row],[Start Date]]&gt;TODAY(),1,)</f>
        <v>0</v>
      </c>
    </row>
    <row r="303" spans="2:27" s="46" customFormat="1" x14ac:dyDescent="0.25">
      <c r="B303" s="76"/>
      <c r="C303" s="59" t="e">
        <v>#N/A</v>
      </c>
      <c r="D303" s="59" t="e">
        <v>#N/A</v>
      </c>
      <c r="E303" s="58"/>
      <c r="F303" s="61"/>
      <c r="G303" s="61"/>
      <c r="H303" s="61"/>
      <c r="I303" s="60"/>
      <c r="J303" s="60"/>
      <c r="K303" s="60"/>
      <c r="L303" s="60"/>
      <c r="M303" s="60"/>
      <c r="N303" s="60"/>
      <c r="O303" s="58"/>
      <c r="P303" s="58"/>
      <c r="Q303" s="13" t="e">
        <v>#N/A</v>
      </c>
      <c r="R303" s="13" t="e">
        <v>#N/A</v>
      </c>
      <c r="S303" s="13"/>
      <c r="T303" s="62"/>
      <c r="U303" s="13"/>
      <c r="V303" s="13"/>
      <c r="W303" s="13"/>
      <c r="X303" s="58"/>
      <c r="Y303" s="51">
        <f ca="1">Table24[[#This Row],[End Date]]+2-TODAY()</f>
        <v>-46242</v>
      </c>
      <c r="Z303" s="13">
        <f>IF(ISBLANK(Table24[[#This Row],[Roster Received By]]),1,0)</f>
        <v>1</v>
      </c>
      <c r="AA303" s="13">
        <f ca="1">IF(Table24[[#This Row],[Start Date]]&gt;TODAY(),1,)</f>
        <v>0</v>
      </c>
    </row>
    <row r="304" spans="2:27" s="46" customFormat="1" x14ac:dyDescent="0.25">
      <c r="B304" s="76"/>
      <c r="C304" s="59" t="e">
        <v>#N/A</v>
      </c>
      <c r="D304" s="59" t="e">
        <v>#N/A</v>
      </c>
      <c r="E304" s="58"/>
      <c r="F304" s="69"/>
      <c r="G304" s="69"/>
      <c r="H304" s="61"/>
      <c r="I304" s="60"/>
      <c r="J304" s="60"/>
      <c r="K304" s="60"/>
      <c r="L304" s="60"/>
      <c r="M304" s="60"/>
      <c r="N304" s="60"/>
      <c r="O304" s="58"/>
      <c r="P304" s="58"/>
      <c r="Q304" s="13" t="e">
        <v>#N/A</v>
      </c>
      <c r="R304" s="13" t="e">
        <v>#N/A</v>
      </c>
      <c r="S304" s="13"/>
      <c r="T304" s="62"/>
      <c r="U304" s="13"/>
      <c r="V304" s="13"/>
      <c r="W304" s="13"/>
      <c r="X304" s="58"/>
      <c r="Y304" s="51">
        <f ca="1">Table24[[#This Row],[End Date]]+2-TODAY()</f>
        <v>-46242</v>
      </c>
      <c r="Z304" s="13">
        <f>IF(ISBLANK(Table24[[#This Row],[Roster Received By]]),1,0)</f>
        <v>1</v>
      </c>
      <c r="AA304" s="13">
        <f ca="1">IF(Table24[[#This Row],[Start Date]]&gt;TODAY(),1,)</f>
        <v>0</v>
      </c>
    </row>
    <row r="305" spans="1:27" s="46" customFormat="1" x14ac:dyDescent="0.25">
      <c r="B305" s="76"/>
      <c r="C305" s="59" t="e">
        <v>#N/A</v>
      </c>
      <c r="D305" s="59" t="e">
        <v>#N/A</v>
      </c>
      <c r="E305" s="58"/>
      <c r="F305" s="69"/>
      <c r="G305" s="69"/>
      <c r="H305" s="61"/>
      <c r="I305" s="60"/>
      <c r="J305" s="60"/>
      <c r="K305" s="60"/>
      <c r="L305" s="60"/>
      <c r="M305" s="60"/>
      <c r="N305" s="60"/>
      <c r="O305" s="58"/>
      <c r="P305" s="58"/>
      <c r="Q305" s="13" t="e">
        <v>#N/A</v>
      </c>
      <c r="R305" s="13" t="e">
        <v>#N/A</v>
      </c>
      <c r="S305" s="13"/>
      <c r="T305" s="62"/>
      <c r="U305" s="13"/>
      <c r="V305" s="13"/>
      <c r="W305" s="13"/>
      <c r="X305" s="58"/>
      <c r="Y305" s="51">
        <f ca="1">Table24[[#This Row],[End Date]]+2-TODAY()</f>
        <v>-46242</v>
      </c>
      <c r="Z305" s="13">
        <f>IF(ISBLANK(Table24[[#This Row],[Roster Received By]]),1,0)</f>
        <v>1</v>
      </c>
      <c r="AA305" s="13">
        <f ca="1">IF(Table24[[#This Row],[Start Date]]&gt;TODAY(),1,)</f>
        <v>0</v>
      </c>
    </row>
    <row r="306" spans="1:27" s="46" customFormat="1" x14ac:dyDescent="0.25">
      <c r="B306" s="76"/>
      <c r="C306" s="59" t="e">
        <v>#N/A</v>
      </c>
      <c r="D306" s="59" t="e">
        <v>#N/A</v>
      </c>
      <c r="E306" s="58"/>
      <c r="F306" s="69"/>
      <c r="G306" s="69"/>
      <c r="H306" s="61"/>
      <c r="I306" s="60"/>
      <c r="J306" s="60"/>
      <c r="K306" s="60"/>
      <c r="L306" s="60"/>
      <c r="M306" s="60"/>
      <c r="N306" s="60"/>
      <c r="O306" s="58"/>
      <c r="P306" s="58"/>
      <c r="Q306" s="13" t="e">
        <v>#N/A</v>
      </c>
      <c r="R306" s="13" t="e">
        <v>#N/A</v>
      </c>
      <c r="S306" s="13"/>
      <c r="T306" s="62"/>
      <c r="U306" s="13"/>
      <c r="V306" s="13"/>
      <c r="W306" s="13"/>
      <c r="X306" s="58"/>
      <c r="Y306" s="51">
        <f ca="1">Table24[[#This Row],[End Date]]+2-TODAY()</f>
        <v>-46242</v>
      </c>
      <c r="Z306" s="13">
        <f>IF(ISBLANK(Table24[[#This Row],[Roster Received By]]),1,0)</f>
        <v>1</v>
      </c>
      <c r="AA306" s="13">
        <f ca="1">IF(Table24[[#This Row],[Start Date]]&gt;TODAY(),1,)</f>
        <v>0</v>
      </c>
    </row>
    <row r="307" spans="1:27" s="46" customFormat="1" x14ac:dyDescent="0.25">
      <c r="B307" s="76"/>
      <c r="C307" s="59" t="e">
        <v>#N/A</v>
      </c>
      <c r="D307" s="59" t="e">
        <v>#N/A</v>
      </c>
      <c r="E307" s="58"/>
      <c r="F307" s="69"/>
      <c r="G307" s="69"/>
      <c r="H307" s="67"/>
      <c r="I307" s="67"/>
      <c r="J307" s="61"/>
      <c r="K307" s="61"/>
      <c r="L307" s="61"/>
      <c r="M307" s="61"/>
      <c r="N307" s="61"/>
      <c r="O307" s="58"/>
      <c r="P307" s="58"/>
      <c r="Q307" s="13" t="e">
        <v>#N/A</v>
      </c>
      <c r="R307" s="13" t="e">
        <v>#N/A</v>
      </c>
      <c r="S307" s="13"/>
      <c r="T307" s="62"/>
      <c r="U307" s="13"/>
      <c r="V307" s="13"/>
      <c r="W307" s="13"/>
      <c r="X307" s="58"/>
      <c r="Y307" s="51">
        <f ca="1">Table24[[#This Row],[End Date]]+2-TODAY()</f>
        <v>-46242</v>
      </c>
      <c r="Z307" s="13">
        <f>IF(ISBLANK(Table24[[#This Row],[Roster Received By]]),1,0)</f>
        <v>1</v>
      </c>
      <c r="AA307" s="13">
        <f ca="1">IF(Table24[[#This Row],[Start Date]]&gt;TODAY(),1,)</f>
        <v>0</v>
      </c>
    </row>
    <row r="308" spans="1:27" s="46" customFormat="1" x14ac:dyDescent="0.25">
      <c r="B308" s="76"/>
      <c r="C308" s="59" t="e">
        <v>#N/A</v>
      </c>
      <c r="D308" s="59" t="e">
        <v>#N/A</v>
      </c>
      <c r="E308" s="58"/>
      <c r="F308" s="69"/>
      <c r="G308" s="69"/>
      <c r="H308" s="64"/>
      <c r="I308" s="64"/>
      <c r="J308" s="64"/>
      <c r="K308" s="64"/>
      <c r="L308" s="64"/>
      <c r="M308" s="64"/>
      <c r="N308" s="61"/>
      <c r="O308" s="58"/>
      <c r="P308" s="58"/>
      <c r="Q308" s="13" t="e">
        <v>#N/A</v>
      </c>
      <c r="R308" s="13" t="e">
        <v>#N/A</v>
      </c>
      <c r="S308" s="13"/>
      <c r="T308" s="62"/>
      <c r="U308" s="13"/>
      <c r="V308" s="13"/>
      <c r="W308" s="59"/>
      <c r="X308" s="58"/>
      <c r="Y308" s="51">
        <f ca="1">Table24[[#This Row],[End Date]]+2-TODAY()</f>
        <v>-46242</v>
      </c>
      <c r="Z308" s="13">
        <f>IF(ISBLANK(Table24[[#This Row],[Roster Received By]]),1,0)</f>
        <v>1</v>
      </c>
      <c r="AA308" s="13">
        <f ca="1">IF(Table24[[#This Row],[Start Date]]&gt;TODAY(),1,)</f>
        <v>0</v>
      </c>
    </row>
    <row r="309" spans="1:27" s="46" customFormat="1" x14ac:dyDescent="0.25">
      <c r="B309" s="76"/>
      <c r="C309" s="59" t="e">
        <v>#N/A</v>
      </c>
      <c r="D309" s="59" t="e">
        <v>#N/A</v>
      </c>
      <c r="E309" s="47"/>
      <c r="F309" s="69"/>
      <c r="G309" s="69"/>
      <c r="H309" s="64"/>
      <c r="I309" s="64"/>
      <c r="J309" s="61"/>
      <c r="K309" s="61"/>
      <c r="L309" s="61"/>
      <c r="M309" s="61"/>
      <c r="N309" s="61"/>
      <c r="O309" s="58"/>
      <c r="P309" s="58"/>
      <c r="Q309" s="13" t="e">
        <v>#N/A</v>
      </c>
      <c r="R309" s="13" t="e">
        <v>#N/A</v>
      </c>
      <c r="S309" s="13"/>
      <c r="T309" s="62"/>
      <c r="U309" s="13"/>
      <c r="V309" s="13"/>
      <c r="W309" s="13"/>
      <c r="X309" s="58"/>
      <c r="Y309" s="51">
        <f ca="1">Table24[[#This Row],[End Date]]+2-TODAY()</f>
        <v>-46242</v>
      </c>
      <c r="Z309" s="13">
        <f>IF(ISBLANK(Table24[[#This Row],[Roster Received By]]),1,0)</f>
        <v>1</v>
      </c>
      <c r="AA309" s="13">
        <f ca="1">IF(Table24[[#This Row],[Start Date]]&gt;TODAY(),1,)</f>
        <v>0</v>
      </c>
    </row>
    <row r="310" spans="1:27" s="46" customFormat="1" x14ac:dyDescent="0.25">
      <c r="B310" s="76"/>
      <c r="C310" s="59" t="e">
        <v>#N/A</v>
      </c>
      <c r="D310" s="59" t="e">
        <v>#N/A</v>
      </c>
      <c r="E310" s="47"/>
      <c r="F310" s="69"/>
      <c r="G310" s="69"/>
      <c r="H310" s="64"/>
      <c r="I310" s="64"/>
      <c r="J310" s="61"/>
      <c r="K310" s="61"/>
      <c r="L310" s="61"/>
      <c r="M310" s="61"/>
      <c r="N310" s="61"/>
      <c r="O310" s="58"/>
      <c r="P310" s="58"/>
      <c r="Q310" s="13" t="e">
        <v>#N/A</v>
      </c>
      <c r="R310" s="13" t="e">
        <v>#N/A</v>
      </c>
      <c r="S310" s="13"/>
      <c r="T310" s="62"/>
      <c r="U310" s="13"/>
      <c r="V310" s="13"/>
      <c r="W310" s="13"/>
      <c r="X310" s="58"/>
      <c r="Y310" s="51">
        <f ca="1">Table24[[#This Row],[End Date]]+2-TODAY()</f>
        <v>-46242</v>
      </c>
      <c r="Z310" s="13">
        <f>IF(ISBLANK(Table24[[#This Row],[Roster Received By]]),1,0)</f>
        <v>1</v>
      </c>
      <c r="AA310" s="13">
        <f ca="1">IF(Table24[[#This Row],[Start Date]]&gt;TODAY(),1,)</f>
        <v>0</v>
      </c>
    </row>
    <row r="311" spans="1:27" s="46" customFormat="1" x14ac:dyDescent="0.25">
      <c r="B311" s="76"/>
      <c r="C311" s="59" t="e">
        <v>#N/A</v>
      </c>
      <c r="D311" s="59" t="e">
        <v>#N/A</v>
      </c>
      <c r="E311" s="58"/>
      <c r="F311" s="69"/>
      <c r="G311" s="69"/>
      <c r="H311" s="67"/>
      <c r="I311" s="67"/>
      <c r="J311" s="61"/>
      <c r="K311" s="61"/>
      <c r="L311" s="61"/>
      <c r="M311" s="61"/>
      <c r="N311" s="61"/>
      <c r="O311" s="58"/>
      <c r="P311" s="58"/>
      <c r="Q311" s="13" t="e">
        <v>#N/A</v>
      </c>
      <c r="R311" s="13" t="e">
        <v>#N/A</v>
      </c>
      <c r="S311" s="62"/>
      <c r="T311" s="62"/>
      <c r="U311" s="13"/>
      <c r="V311" s="13"/>
      <c r="W311" s="13"/>
      <c r="X311" s="58"/>
      <c r="Y311" s="51">
        <f ca="1">Table24[[#This Row],[End Date]]+2-TODAY()</f>
        <v>-46242</v>
      </c>
      <c r="Z311" s="13">
        <f>IF(ISBLANK(Table24[[#This Row],[Roster Received By]]),1,0)</f>
        <v>1</v>
      </c>
      <c r="AA311" s="13">
        <f ca="1">IF(Table24[[#This Row],[Start Date]]&gt;TODAY(),1,)</f>
        <v>0</v>
      </c>
    </row>
    <row r="312" spans="1:27" s="46" customFormat="1" x14ac:dyDescent="0.25">
      <c r="B312" s="58"/>
      <c r="C312" s="59" t="e">
        <v>#N/A</v>
      </c>
      <c r="D312" s="59" t="e">
        <v>#N/A</v>
      </c>
      <c r="E312" s="58"/>
      <c r="F312" s="69"/>
      <c r="G312" s="69"/>
      <c r="H312" s="64"/>
      <c r="I312" s="64"/>
      <c r="J312" s="61"/>
      <c r="K312" s="61"/>
      <c r="L312" s="61"/>
      <c r="M312" s="61"/>
      <c r="N312" s="61"/>
      <c r="O312" s="58"/>
      <c r="P312" s="58"/>
      <c r="Q312" s="13" t="e">
        <v>#N/A</v>
      </c>
      <c r="R312" s="13" t="e">
        <v>#N/A</v>
      </c>
      <c r="S312" s="62"/>
      <c r="T312" s="62"/>
      <c r="U312" s="13"/>
      <c r="V312" s="13"/>
      <c r="W312" s="59"/>
      <c r="X312" s="58"/>
      <c r="Y312" s="68">
        <f ca="1">Table24[[#This Row],[End Date]]+2-TODAY()</f>
        <v>-46242</v>
      </c>
      <c r="Z312" s="13">
        <f>IF(ISBLANK(Table24[[#This Row],[Roster Received By]]),1,0)</f>
        <v>1</v>
      </c>
      <c r="AA312" s="59">
        <f ca="1">IF(Table24[[#This Row],[Start Date]]&gt;TODAY(),1,)</f>
        <v>0</v>
      </c>
    </row>
    <row r="313" spans="1:27" s="46" customFormat="1" x14ac:dyDescent="0.25">
      <c r="B313" s="77"/>
      <c r="C313" s="59" t="e">
        <v>#N/A</v>
      </c>
      <c r="D313" s="59" t="e">
        <v>#N/A</v>
      </c>
      <c r="E313" s="58"/>
      <c r="F313" s="69"/>
      <c r="G313" s="69"/>
      <c r="H313" s="67"/>
      <c r="I313" s="67"/>
      <c r="J313" s="61"/>
      <c r="K313" s="61"/>
      <c r="L313" s="61"/>
      <c r="M313" s="61"/>
      <c r="N313" s="61"/>
      <c r="O313" s="58"/>
      <c r="P313" s="58"/>
      <c r="Q313" s="13" t="e">
        <v>#N/A</v>
      </c>
      <c r="R313" s="13" t="e">
        <v>#N/A</v>
      </c>
      <c r="S313" s="13"/>
      <c r="T313" s="62"/>
      <c r="U313" s="13"/>
      <c r="V313" s="13"/>
      <c r="W313" s="13"/>
      <c r="X313" s="58"/>
      <c r="Y313" s="51">
        <f ca="1">Table24[[#This Row],[End Date]]+2-TODAY()</f>
        <v>-46242</v>
      </c>
      <c r="Z313" s="13">
        <f>IF(ISBLANK(Table24[[#This Row],[Roster Received By]]),1,0)</f>
        <v>1</v>
      </c>
      <c r="AA313" s="13">
        <f ca="1">IF(Table24[[#This Row],[Start Date]]&gt;TODAY(),1,)</f>
        <v>0</v>
      </c>
    </row>
    <row r="314" spans="1:27" s="46" customFormat="1" x14ac:dyDescent="0.25">
      <c r="B314" s="76"/>
      <c r="C314" s="59" t="e">
        <v>#N/A</v>
      </c>
      <c r="D314" s="59" t="e">
        <v>#N/A</v>
      </c>
      <c r="E314" s="58"/>
      <c r="F314" s="69"/>
      <c r="G314" s="69"/>
      <c r="H314" s="61"/>
      <c r="I314" s="60"/>
      <c r="J314" s="60"/>
      <c r="K314" s="60"/>
      <c r="L314" s="60"/>
      <c r="M314" s="60"/>
      <c r="N314" s="60"/>
      <c r="O314" s="58"/>
      <c r="P314" s="58"/>
      <c r="Q314" s="13" t="e">
        <v>#N/A</v>
      </c>
      <c r="R314" s="13" t="e">
        <v>#N/A</v>
      </c>
      <c r="S314" s="13"/>
      <c r="T314" s="62"/>
      <c r="U314" s="13"/>
      <c r="V314" s="13"/>
      <c r="W314" s="13"/>
      <c r="X314" s="58"/>
      <c r="Y314" s="51">
        <f ca="1">Table24[[#This Row],[End Date]]+2-TODAY()</f>
        <v>-46242</v>
      </c>
      <c r="Z314" s="13">
        <f>IF(ISBLANK(Table24[[#This Row],[Roster Received By]]),1,0)</f>
        <v>1</v>
      </c>
      <c r="AA314" s="13">
        <f ca="1">IF(Table24[[#This Row],[Start Date]]&gt;TODAY(),1,)</f>
        <v>0</v>
      </c>
    </row>
    <row r="315" spans="1:27" s="46" customFormat="1" x14ac:dyDescent="0.25">
      <c r="B315" s="77"/>
      <c r="C315" s="59" t="e">
        <v>#N/A</v>
      </c>
      <c r="D315" s="59" t="e">
        <v>#N/A</v>
      </c>
      <c r="E315" s="58"/>
      <c r="F315" s="69"/>
      <c r="G315" s="69"/>
      <c r="H315" s="64"/>
      <c r="I315" s="64"/>
      <c r="J315" s="61"/>
      <c r="K315" s="61"/>
      <c r="L315" s="61"/>
      <c r="M315" s="61"/>
      <c r="N315" s="61"/>
      <c r="O315" s="58"/>
      <c r="P315" s="58"/>
      <c r="Q315" s="13" t="e">
        <v>#N/A</v>
      </c>
      <c r="R315" s="13" t="e">
        <v>#N/A</v>
      </c>
      <c r="S315" s="13"/>
      <c r="T315" s="62"/>
      <c r="U315" s="13"/>
      <c r="V315" s="13"/>
      <c r="W315" s="13"/>
      <c r="X315" s="58"/>
      <c r="Y315" s="51">
        <f ca="1">Table24[[#This Row],[End Date]]+2-TODAY()</f>
        <v>-46242</v>
      </c>
      <c r="Z315" s="13">
        <f>IF(ISBLANK(Table24[[#This Row],[Roster Received By]]),1,0)</f>
        <v>1</v>
      </c>
      <c r="AA315" s="13">
        <f ca="1">IF(Table24[[#This Row],[Start Date]]&gt;TODAY(),1,)</f>
        <v>0</v>
      </c>
    </row>
    <row r="316" spans="1:27" s="46" customFormat="1" x14ac:dyDescent="0.25">
      <c r="B316" s="77"/>
      <c r="C316" s="59" t="e">
        <v>#N/A</v>
      </c>
      <c r="D316" s="59" t="e">
        <v>#N/A</v>
      </c>
      <c r="E316" s="58"/>
      <c r="F316" s="69"/>
      <c r="G316" s="69"/>
      <c r="H316" s="64"/>
      <c r="I316" s="64"/>
      <c r="J316" s="61"/>
      <c r="K316" s="61"/>
      <c r="L316" s="61"/>
      <c r="M316" s="61"/>
      <c r="N316" s="61"/>
      <c r="O316" s="58"/>
      <c r="P316" s="58"/>
      <c r="Q316" s="13" t="e">
        <v>#N/A</v>
      </c>
      <c r="R316" s="13" t="e">
        <v>#N/A</v>
      </c>
      <c r="S316" s="13"/>
      <c r="T316" s="62"/>
      <c r="U316" s="13"/>
      <c r="V316" s="13"/>
      <c r="W316" s="13"/>
      <c r="X316" s="58"/>
      <c r="Y316" s="51">
        <f ca="1">Table24[[#This Row],[End Date]]+2-TODAY()</f>
        <v>-46242</v>
      </c>
      <c r="Z316" s="13">
        <f>IF(ISBLANK(Table24[[#This Row],[Roster Received By]]),1,0)</f>
        <v>1</v>
      </c>
      <c r="AA316" s="13">
        <f ca="1">IF(Table24[[#This Row],[Start Date]]&gt;TODAY(),1,)</f>
        <v>0</v>
      </c>
    </row>
    <row r="317" spans="1:27" s="46" customFormat="1" x14ac:dyDescent="0.25">
      <c r="A317" s="101"/>
      <c r="B317" s="77"/>
      <c r="C317" s="59" t="e">
        <v>#N/A</v>
      </c>
      <c r="D317" s="59" t="e">
        <v>#N/A</v>
      </c>
      <c r="E317" s="58"/>
      <c r="F317" s="91"/>
      <c r="G317" s="91"/>
      <c r="H317" s="64"/>
      <c r="I317" s="64"/>
      <c r="J317" s="61"/>
      <c r="K317" s="61"/>
      <c r="L317" s="61"/>
      <c r="M317" s="61"/>
      <c r="N317" s="61"/>
      <c r="O317" s="58"/>
      <c r="P317" s="58"/>
      <c r="Q317" s="13" t="e">
        <v>#N/A</v>
      </c>
      <c r="R317" s="13" t="e">
        <v>#N/A</v>
      </c>
      <c r="S317" s="62"/>
      <c r="T317" s="62"/>
      <c r="U317" s="13"/>
      <c r="V317" s="13"/>
      <c r="W317" s="13"/>
      <c r="X317" s="58"/>
      <c r="Y317" s="51">
        <f ca="1">Table24[[#This Row],[End Date]]+2-TODAY()</f>
        <v>-46242</v>
      </c>
      <c r="Z317" s="13">
        <f>IF(ISBLANK(Table24[[#This Row],[Roster Received By]]),1,0)</f>
        <v>1</v>
      </c>
      <c r="AA317" s="13">
        <f ca="1">IF(Table24[[#This Row],[Start Date]]&gt;TODAY(),1,)</f>
        <v>0</v>
      </c>
    </row>
    <row r="318" spans="1:27" s="46" customFormat="1" x14ac:dyDescent="0.25">
      <c r="A318" s="58"/>
      <c r="B318" s="77"/>
      <c r="C318" s="59" t="e">
        <v>#N/A</v>
      </c>
      <c r="D318" s="59" t="e">
        <v>#N/A</v>
      </c>
      <c r="E318" s="77"/>
      <c r="F318" s="92"/>
      <c r="G318" s="92"/>
      <c r="H318" s="49"/>
      <c r="I318" s="60"/>
      <c r="J318" s="60"/>
      <c r="K318" s="60"/>
      <c r="L318" s="60"/>
      <c r="M318" s="60"/>
      <c r="N318" s="60"/>
      <c r="O318" s="58"/>
      <c r="P318" s="58"/>
      <c r="Q318" s="13" t="e">
        <v>#N/A</v>
      </c>
      <c r="R318" s="13" t="e">
        <v>#N/A</v>
      </c>
      <c r="S318" s="13"/>
      <c r="T318" s="62"/>
      <c r="U318" s="13"/>
      <c r="V318" s="13"/>
      <c r="W318" s="13"/>
      <c r="X318" s="58"/>
      <c r="Y318" s="51">
        <f ca="1">Table24[[#This Row],[End Date]]+2-TODAY()</f>
        <v>-46242</v>
      </c>
      <c r="Z318" s="13">
        <f>IF(ISBLANK(Table24[[#This Row],[Roster Received By]]),1,0)</f>
        <v>1</v>
      </c>
      <c r="AA318" s="13">
        <f ca="1">IF(Table24[[#This Row],[Start Date]]&gt;TODAY(),1,)</f>
        <v>0</v>
      </c>
    </row>
    <row r="319" spans="1:27" s="46" customFormat="1" x14ac:dyDescent="0.25">
      <c r="B319" s="77"/>
      <c r="C319" s="59" t="e">
        <v>#N/A</v>
      </c>
      <c r="D319" s="59" t="e">
        <v>#N/A</v>
      </c>
      <c r="E319" s="77"/>
      <c r="F319" s="91"/>
      <c r="G319" s="91"/>
      <c r="H319" s="61"/>
      <c r="I319" s="60"/>
      <c r="J319" s="60"/>
      <c r="K319" s="60"/>
      <c r="L319" s="60"/>
      <c r="M319" s="60"/>
      <c r="N319" s="60"/>
      <c r="O319" s="58"/>
      <c r="P319" s="58"/>
      <c r="Q319" s="13" t="e">
        <v>#N/A</v>
      </c>
      <c r="R319" s="13" t="e">
        <v>#N/A</v>
      </c>
      <c r="S319" s="13"/>
      <c r="T319" s="62"/>
      <c r="U319" s="13"/>
      <c r="V319" s="13"/>
      <c r="W319" s="13"/>
      <c r="X319" s="58"/>
      <c r="Y319" s="51">
        <f ca="1">Table24[[#This Row],[End Date]]+2-TODAY()</f>
        <v>-46242</v>
      </c>
      <c r="Z319" s="13">
        <f>IF(ISBLANK(Table24[[#This Row],[Roster Received By]]),1,0)</f>
        <v>1</v>
      </c>
      <c r="AA319" s="13">
        <f ca="1">IF(Table24[[#This Row],[Start Date]]&gt;TODAY(),1,)</f>
        <v>0</v>
      </c>
    </row>
    <row r="320" spans="1:27" s="46" customFormat="1" x14ac:dyDescent="0.25">
      <c r="B320" s="77"/>
      <c r="C320" s="59" t="e">
        <v>#N/A</v>
      </c>
      <c r="D320" s="59" t="e">
        <v>#N/A</v>
      </c>
      <c r="E320" s="58"/>
      <c r="F320" s="61"/>
      <c r="G320" s="61"/>
      <c r="H320" s="64"/>
      <c r="I320" s="64"/>
      <c r="J320" s="64"/>
      <c r="K320" s="64"/>
      <c r="L320" s="64"/>
      <c r="M320" s="64"/>
      <c r="N320" s="61"/>
      <c r="O320" s="58"/>
      <c r="P320" s="58"/>
      <c r="Q320" s="13" t="e">
        <v>#N/A</v>
      </c>
      <c r="R320" s="13" t="e">
        <v>#N/A</v>
      </c>
      <c r="S320" s="13"/>
      <c r="T320" s="62"/>
      <c r="U320" s="13"/>
      <c r="V320" s="13"/>
      <c r="W320" s="13"/>
      <c r="X320" s="58"/>
      <c r="Y320" s="51">
        <f ca="1">Table24[[#This Row],[End Date]]+2-TODAY()</f>
        <v>-46242</v>
      </c>
      <c r="Z320" s="13">
        <f>IF(ISBLANK(Table24[[#This Row],[Roster Received By]]),1,0)</f>
        <v>1</v>
      </c>
      <c r="AA320" s="13">
        <f ca="1">IF(Table24[[#This Row],[Start Date]]&gt;TODAY(),1,)</f>
        <v>0</v>
      </c>
    </row>
    <row r="321" spans="1:27" s="46" customFormat="1" x14ac:dyDescent="0.25">
      <c r="B321" s="77"/>
      <c r="C321" s="59" t="e">
        <v>#N/A</v>
      </c>
      <c r="D321" s="59" t="e">
        <v>#N/A</v>
      </c>
      <c r="E321" s="48"/>
      <c r="F321" s="69"/>
      <c r="G321" s="69"/>
      <c r="H321" s="64"/>
      <c r="I321" s="64"/>
      <c r="J321" s="61"/>
      <c r="K321" s="61"/>
      <c r="L321" s="61"/>
      <c r="M321" s="61"/>
      <c r="N321" s="61"/>
      <c r="O321" s="58"/>
      <c r="P321" s="58"/>
      <c r="Q321" s="13" t="e">
        <v>#N/A</v>
      </c>
      <c r="R321" s="13" t="e">
        <v>#N/A</v>
      </c>
      <c r="S321" s="13"/>
      <c r="T321" s="62"/>
      <c r="U321" s="13"/>
      <c r="V321" s="13"/>
      <c r="W321" s="13"/>
      <c r="X321" s="58"/>
      <c r="Y321" s="51">
        <f ca="1">Table24[[#This Row],[End Date]]+2-TODAY()</f>
        <v>-46242</v>
      </c>
      <c r="Z321" s="13">
        <f>IF(ISBLANK(Table24[[#This Row],[Roster Received By]]),1,0)</f>
        <v>1</v>
      </c>
      <c r="AA321" s="13">
        <f ca="1">IF(Table24[[#This Row],[Start Date]]&gt;TODAY(),1,)</f>
        <v>0</v>
      </c>
    </row>
    <row r="322" spans="1:27" s="46" customFormat="1" x14ac:dyDescent="0.25">
      <c r="B322" s="77"/>
      <c r="C322" s="59" t="e">
        <v>#N/A</v>
      </c>
      <c r="D322" s="59" t="e">
        <v>#N/A</v>
      </c>
      <c r="E322" s="75"/>
      <c r="F322" s="69"/>
      <c r="G322" s="69"/>
      <c r="H322" s="67"/>
      <c r="I322" s="67"/>
      <c r="J322" s="61"/>
      <c r="K322" s="61"/>
      <c r="L322" s="61"/>
      <c r="M322" s="61"/>
      <c r="N322" s="61"/>
      <c r="O322" s="58"/>
      <c r="P322" s="58"/>
      <c r="Q322" s="13" t="e">
        <v>#N/A</v>
      </c>
      <c r="R322" s="13" t="e">
        <v>#N/A</v>
      </c>
      <c r="S322" s="13"/>
      <c r="T322" s="62"/>
      <c r="U322" s="13"/>
      <c r="V322" s="13"/>
      <c r="W322" s="13"/>
      <c r="X322" s="58"/>
      <c r="Y322" s="51">
        <f ca="1">Table24[[#This Row],[End Date]]+2-TODAY()</f>
        <v>-46242</v>
      </c>
      <c r="Z322" s="13">
        <f>IF(ISBLANK(Table24[[#This Row],[Roster Received By]]),1,0)</f>
        <v>1</v>
      </c>
      <c r="AA322" s="13">
        <f ca="1">IF(Table24[[#This Row],[Start Date]]&gt;TODAY(),1,)</f>
        <v>0</v>
      </c>
    </row>
    <row r="323" spans="1:27" s="46" customFormat="1" x14ac:dyDescent="0.25">
      <c r="B323" s="77"/>
      <c r="C323" s="59" t="e">
        <v>#N/A</v>
      </c>
      <c r="D323" s="59" t="e">
        <v>#N/A</v>
      </c>
      <c r="E323" s="75"/>
      <c r="F323" s="69"/>
      <c r="G323" s="69"/>
      <c r="H323" s="61"/>
      <c r="I323" s="60"/>
      <c r="J323" s="60"/>
      <c r="K323" s="60"/>
      <c r="L323" s="60"/>
      <c r="M323" s="60"/>
      <c r="N323" s="60"/>
      <c r="O323" s="58"/>
      <c r="P323" s="58"/>
      <c r="Q323" s="13" t="e">
        <v>#N/A</v>
      </c>
      <c r="R323" s="13" t="e">
        <v>#N/A</v>
      </c>
      <c r="S323" s="13"/>
      <c r="T323" s="62"/>
      <c r="U323" s="13"/>
      <c r="V323" s="13"/>
      <c r="W323" s="13"/>
      <c r="X323" s="58"/>
      <c r="Y323" s="51">
        <f ca="1">Table24[[#This Row],[End Date]]+2-TODAY()</f>
        <v>-46242</v>
      </c>
      <c r="Z323" s="13">
        <f>IF(ISBLANK(Table24[[#This Row],[Roster Received By]]),1,0)</f>
        <v>1</v>
      </c>
      <c r="AA323" s="13">
        <f ca="1">IF(Table24[[#This Row],[Start Date]]&gt;TODAY(),1,)</f>
        <v>0</v>
      </c>
    </row>
    <row r="324" spans="1:27" s="46" customFormat="1" x14ac:dyDescent="0.25">
      <c r="A324" s="58"/>
      <c r="B324" s="77"/>
      <c r="C324" s="59" t="e">
        <v>#N/A</v>
      </c>
      <c r="D324" s="59" t="e">
        <v>#N/A</v>
      </c>
      <c r="E324" s="75"/>
      <c r="F324" s="69"/>
      <c r="G324" s="69"/>
      <c r="H324" s="64"/>
      <c r="I324" s="64"/>
      <c r="J324" s="61"/>
      <c r="K324" s="61"/>
      <c r="L324" s="61"/>
      <c r="M324" s="61"/>
      <c r="N324" s="61"/>
      <c r="O324" s="58"/>
      <c r="P324" s="58"/>
      <c r="Q324" s="13" t="e">
        <v>#N/A</v>
      </c>
      <c r="R324" s="13" t="e">
        <v>#N/A</v>
      </c>
      <c r="S324" s="13"/>
      <c r="T324" s="62"/>
      <c r="U324" s="13"/>
      <c r="V324" s="13"/>
      <c r="W324" s="62"/>
      <c r="X324" s="58"/>
      <c r="Y324" s="51">
        <f ca="1">Table24[[#This Row],[End Date]]+2-TODAY()</f>
        <v>-46242</v>
      </c>
      <c r="Z324" s="13">
        <f>IF(ISBLANK(Table24[[#This Row],[Roster Received By]]),1,0)</f>
        <v>1</v>
      </c>
      <c r="AA324" s="13">
        <f ca="1">IF(Table24[[#This Row],[Start Date]]&gt;TODAY(),1,)</f>
        <v>0</v>
      </c>
    </row>
    <row r="325" spans="1:27" s="46" customFormat="1" x14ac:dyDescent="0.25">
      <c r="B325" s="77"/>
      <c r="C325" s="59" t="e">
        <v>#N/A</v>
      </c>
      <c r="D325" s="59" t="e">
        <v>#N/A</v>
      </c>
      <c r="E325" s="75"/>
      <c r="F325" s="69"/>
      <c r="G325" s="69"/>
      <c r="H325" s="64"/>
      <c r="I325" s="64"/>
      <c r="J325" s="61"/>
      <c r="K325" s="61"/>
      <c r="L325" s="61"/>
      <c r="M325" s="61"/>
      <c r="N325" s="61"/>
      <c r="O325" s="58"/>
      <c r="P325" s="58"/>
      <c r="Q325" s="13" t="e">
        <v>#N/A</v>
      </c>
      <c r="R325" s="13" t="e">
        <v>#N/A</v>
      </c>
      <c r="S325" s="13"/>
      <c r="T325" s="62"/>
      <c r="U325" s="13"/>
      <c r="V325" s="13"/>
      <c r="W325" s="13"/>
      <c r="X325" s="58"/>
      <c r="Y325" s="51">
        <f ca="1">Table24[[#This Row],[End Date]]+2-TODAY()</f>
        <v>-46242</v>
      </c>
      <c r="Z325" s="13">
        <f>IF(ISBLANK(Table24[[#This Row],[Roster Received By]]),1,0)</f>
        <v>1</v>
      </c>
      <c r="AA325" s="13">
        <f ca="1">IF(Table24[[#This Row],[Start Date]]&gt;TODAY(),1,)</f>
        <v>0</v>
      </c>
    </row>
    <row r="326" spans="1:27" s="46" customFormat="1" x14ac:dyDescent="0.25">
      <c r="B326" s="77"/>
      <c r="C326" s="59" t="e">
        <v>#N/A</v>
      </c>
      <c r="D326" s="59" t="e">
        <v>#N/A</v>
      </c>
      <c r="E326" s="75"/>
      <c r="F326" s="69"/>
      <c r="G326" s="69"/>
      <c r="H326" s="61"/>
      <c r="I326" s="60"/>
      <c r="J326" s="60"/>
      <c r="K326" s="60"/>
      <c r="L326" s="60"/>
      <c r="M326" s="60"/>
      <c r="N326" s="60"/>
      <c r="O326" s="58"/>
      <c r="P326" s="58"/>
      <c r="Q326" s="13" t="e">
        <v>#N/A</v>
      </c>
      <c r="R326" s="13" t="e">
        <v>#N/A</v>
      </c>
      <c r="S326" s="13"/>
      <c r="T326" s="62"/>
      <c r="U326" s="13"/>
      <c r="V326" s="13"/>
      <c r="W326" s="59"/>
      <c r="X326" s="58"/>
      <c r="Y326" s="51">
        <f ca="1">Table24[[#This Row],[End Date]]+2-TODAY()</f>
        <v>-46242</v>
      </c>
      <c r="Z326" s="13">
        <f>IF(ISBLANK(Table24[[#This Row],[Roster Received By]]),1,0)</f>
        <v>1</v>
      </c>
      <c r="AA326" s="13">
        <f ca="1">IF(Table24[[#This Row],[Start Date]]&gt;TODAY(),1,)</f>
        <v>0</v>
      </c>
    </row>
    <row r="327" spans="1:27" s="46" customFormat="1" x14ac:dyDescent="0.25">
      <c r="B327" s="77"/>
      <c r="C327" s="59" t="e">
        <v>#N/A</v>
      </c>
      <c r="D327" s="59" t="e">
        <v>#N/A</v>
      </c>
      <c r="E327" s="58"/>
      <c r="F327" s="69"/>
      <c r="G327" s="69"/>
      <c r="H327" s="61"/>
      <c r="I327" s="60"/>
      <c r="J327" s="60"/>
      <c r="K327" s="60"/>
      <c r="L327" s="60"/>
      <c r="M327" s="60"/>
      <c r="N327" s="60"/>
      <c r="O327" s="58"/>
      <c r="P327" s="58"/>
      <c r="Q327" s="13" t="e">
        <v>#N/A</v>
      </c>
      <c r="R327" s="13" t="e">
        <v>#N/A</v>
      </c>
      <c r="S327" s="13"/>
      <c r="T327" s="62"/>
      <c r="U327" s="13"/>
      <c r="V327" s="13"/>
      <c r="W327" s="13"/>
      <c r="X327" s="58"/>
      <c r="Y327" s="51">
        <f ca="1">Table24[[#This Row],[End Date]]+2-TODAY()</f>
        <v>-46242</v>
      </c>
      <c r="Z327" s="13">
        <f>IF(ISBLANK(Table24[[#This Row],[Roster Received By]]),1,0)</f>
        <v>1</v>
      </c>
      <c r="AA327" s="13">
        <f ca="1">IF(Table24[[#This Row],[Start Date]]&gt;TODAY(),1,)</f>
        <v>0</v>
      </c>
    </row>
    <row r="328" spans="1:27" s="46" customFormat="1" x14ac:dyDescent="0.25">
      <c r="B328" s="78"/>
      <c r="C328" s="59" t="e">
        <v>#N/A</v>
      </c>
      <c r="D328" s="59" t="e">
        <v>#N/A</v>
      </c>
      <c r="E328" s="75"/>
      <c r="F328" s="57"/>
      <c r="G328" s="57"/>
      <c r="H328" s="49"/>
      <c r="I328" s="60"/>
      <c r="J328" s="60"/>
      <c r="K328" s="60"/>
      <c r="L328" s="60"/>
      <c r="M328" s="60"/>
      <c r="N328" s="60"/>
      <c r="O328" s="58"/>
      <c r="P328" s="58"/>
      <c r="Q328" s="13" t="e">
        <v>#N/A</v>
      </c>
      <c r="R328" s="13" t="e">
        <v>#N/A</v>
      </c>
      <c r="S328" s="13"/>
      <c r="T328" s="62"/>
      <c r="U328" s="13"/>
      <c r="V328" s="13"/>
      <c r="W328" s="13"/>
      <c r="X328" s="58"/>
      <c r="Y328" s="51">
        <f ca="1">Table24[[#This Row],[End Date]]+2-TODAY()</f>
        <v>-46242</v>
      </c>
      <c r="Z328" s="13">
        <f>IF(ISBLANK(Table24[[#This Row],[Roster Received By]]),1,0)</f>
        <v>1</v>
      </c>
      <c r="AA328" s="13">
        <f ca="1">IF(Table24[[#This Row],[Start Date]]&gt;TODAY(),1,)</f>
        <v>0</v>
      </c>
    </row>
    <row r="329" spans="1:27" s="46" customFormat="1" x14ac:dyDescent="0.25">
      <c r="A329" s="58"/>
      <c r="B329" s="77"/>
      <c r="C329" s="59" t="e">
        <v>#N/A</v>
      </c>
      <c r="D329" s="59" t="e">
        <v>#N/A</v>
      </c>
      <c r="E329" s="75"/>
      <c r="F329" s="69"/>
      <c r="G329" s="69"/>
      <c r="H329" s="61"/>
      <c r="I329" s="60"/>
      <c r="J329" s="60"/>
      <c r="K329" s="60"/>
      <c r="L329" s="60"/>
      <c r="M329" s="60"/>
      <c r="N329" s="60"/>
      <c r="O329" s="58"/>
      <c r="P329" s="58"/>
      <c r="Q329" s="13" t="e">
        <v>#N/A</v>
      </c>
      <c r="R329" s="13" t="e">
        <v>#N/A</v>
      </c>
      <c r="S329" s="13"/>
      <c r="T329" s="62"/>
      <c r="U329" s="13"/>
      <c r="V329" s="13"/>
      <c r="W329" s="13"/>
      <c r="X329" s="58"/>
      <c r="Y329" s="51">
        <f ca="1">Table24[[#This Row],[End Date]]+2-TODAY()</f>
        <v>-46242</v>
      </c>
      <c r="Z329" s="13">
        <f>IF(ISBLANK(Table24[[#This Row],[Roster Received By]]),1,0)</f>
        <v>1</v>
      </c>
      <c r="AA329" s="13">
        <f ca="1">IF(Table24[[#This Row],[Start Date]]&gt;TODAY(),1,)</f>
        <v>0</v>
      </c>
    </row>
    <row r="330" spans="1:27" s="46" customFormat="1" x14ac:dyDescent="0.25">
      <c r="B330" s="77"/>
      <c r="C330" s="59" t="e">
        <v>#N/A</v>
      </c>
      <c r="D330" s="59" t="e">
        <v>#N/A</v>
      </c>
      <c r="E330" s="77"/>
      <c r="F330" s="69"/>
      <c r="G330" s="69"/>
      <c r="H330" s="61"/>
      <c r="I330" s="60"/>
      <c r="J330" s="60"/>
      <c r="K330" s="60"/>
      <c r="L330" s="60"/>
      <c r="M330" s="60"/>
      <c r="N330" s="60"/>
      <c r="O330" s="58"/>
      <c r="P330" s="58"/>
      <c r="Q330" s="13" t="e">
        <v>#N/A</v>
      </c>
      <c r="R330" s="13" t="e">
        <v>#N/A</v>
      </c>
      <c r="S330" s="13"/>
      <c r="T330" s="62"/>
      <c r="U330" s="13"/>
      <c r="V330" s="13"/>
      <c r="W330" s="13"/>
      <c r="X330" s="58"/>
      <c r="Y330" s="51">
        <f ca="1">Table24[[#This Row],[End Date]]+2-TODAY()</f>
        <v>-46242</v>
      </c>
      <c r="Z330" s="13">
        <f>IF(ISBLANK(Table24[[#This Row],[Roster Received By]]),1,0)</f>
        <v>1</v>
      </c>
      <c r="AA330" s="13">
        <f ca="1">IF(Table24[[#This Row],[Start Date]]&gt;TODAY(),1,)</f>
        <v>0</v>
      </c>
    </row>
    <row r="331" spans="1:27" s="46" customFormat="1" x14ac:dyDescent="0.25">
      <c r="B331" s="77"/>
      <c r="C331" s="59" t="e">
        <v>#N/A</v>
      </c>
      <c r="D331" s="59" t="e">
        <v>#N/A</v>
      </c>
      <c r="E331" s="77"/>
      <c r="F331" s="69"/>
      <c r="G331" s="69"/>
      <c r="H331" s="61"/>
      <c r="I331" s="60"/>
      <c r="J331" s="60"/>
      <c r="K331" s="60"/>
      <c r="L331" s="60"/>
      <c r="M331" s="60"/>
      <c r="N331" s="60"/>
      <c r="O331" s="58"/>
      <c r="P331" s="58"/>
      <c r="Q331" s="13" t="e">
        <v>#N/A</v>
      </c>
      <c r="R331" s="13" t="e">
        <v>#N/A</v>
      </c>
      <c r="S331" s="13"/>
      <c r="T331" s="62"/>
      <c r="U331" s="13"/>
      <c r="V331" s="13"/>
      <c r="W331" s="13"/>
      <c r="X331" s="58"/>
      <c r="Y331" s="51">
        <f ca="1">Table24[[#This Row],[End Date]]+2-TODAY()</f>
        <v>-46242</v>
      </c>
      <c r="Z331" s="13">
        <f>IF(ISBLANK(Table24[[#This Row],[Roster Received By]]),1,0)</f>
        <v>1</v>
      </c>
      <c r="AA331" s="13">
        <f ca="1">IF(Table24[[#This Row],[Start Date]]&gt;TODAY(),1,)</f>
        <v>0</v>
      </c>
    </row>
    <row r="332" spans="1:27" s="46" customFormat="1" x14ac:dyDescent="0.25">
      <c r="B332" s="77"/>
      <c r="C332" s="59" t="e">
        <v>#N/A</v>
      </c>
      <c r="D332" s="59" t="e">
        <v>#N/A</v>
      </c>
      <c r="E332" s="77"/>
      <c r="F332" s="69"/>
      <c r="G332" s="69"/>
      <c r="H332" s="61"/>
      <c r="I332" s="60"/>
      <c r="J332" s="60"/>
      <c r="K332" s="60"/>
      <c r="L332" s="60"/>
      <c r="M332" s="60"/>
      <c r="N332" s="60"/>
      <c r="O332" s="58"/>
      <c r="P332" s="58"/>
      <c r="Q332" s="13" t="e">
        <v>#N/A</v>
      </c>
      <c r="R332" s="13" t="e">
        <v>#N/A</v>
      </c>
      <c r="S332" s="13"/>
      <c r="T332" s="62"/>
      <c r="U332" s="13"/>
      <c r="V332" s="13"/>
      <c r="W332" s="13"/>
      <c r="X332" s="58"/>
      <c r="Y332" s="51">
        <f ca="1">Table24[[#This Row],[End Date]]+2-TODAY()</f>
        <v>-46242</v>
      </c>
      <c r="Z332" s="13">
        <f>IF(ISBLANK(Table24[[#This Row],[Roster Received By]]),1,0)</f>
        <v>1</v>
      </c>
      <c r="AA332" s="13">
        <f ca="1">IF(Table24[[#This Row],[Start Date]]&gt;TODAY(),1,)</f>
        <v>0</v>
      </c>
    </row>
    <row r="333" spans="1:27" s="65" customFormat="1" ht="15.75" customHeight="1" x14ac:dyDescent="0.25">
      <c r="A333" s="46"/>
      <c r="B333" s="77"/>
      <c r="C333" s="59" t="e">
        <v>#N/A</v>
      </c>
      <c r="D333" s="59" t="e">
        <v>#N/A</v>
      </c>
      <c r="E333" s="88"/>
      <c r="F333" s="69"/>
      <c r="G333" s="69"/>
      <c r="H333" s="64"/>
      <c r="I333" s="64"/>
      <c r="J333" s="64"/>
      <c r="K333" s="64"/>
      <c r="L333" s="64"/>
      <c r="M333" s="64"/>
      <c r="N333" s="61"/>
      <c r="O333" s="58"/>
      <c r="P333" s="58"/>
      <c r="Q333" s="13" t="e">
        <v>#N/A</v>
      </c>
      <c r="R333" s="13" t="e">
        <v>#N/A</v>
      </c>
      <c r="S333" s="13"/>
      <c r="T333" s="62"/>
      <c r="U333" s="13"/>
      <c r="V333" s="13"/>
      <c r="W333" s="13"/>
      <c r="X333" s="58"/>
      <c r="Y333" s="51">
        <f ca="1">Table24[[#This Row],[End Date]]+2-TODAY()</f>
        <v>-46242</v>
      </c>
      <c r="Z333" s="13">
        <f>IF(ISBLANK(Table24[[#This Row],[Roster Received By]]),1,0)</f>
        <v>1</v>
      </c>
      <c r="AA333" s="13">
        <f ca="1">IF(Table24[[#This Row],[Start Date]]&gt;TODAY(),1,)</f>
        <v>0</v>
      </c>
    </row>
    <row r="334" spans="1:27" s="65" customFormat="1" ht="15.75" customHeight="1" x14ac:dyDescent="0.25">
      <c r="A334" s="58"/>
      <c r="B334" s="77"/>
      <c r="C334" s="59" t="e">
        <v>#N/A</v>
      </c>
      <c r="D334" s="59" t="e">
        <v>#N/A</v>
      </c>
      <c r="E334" s="88"/>
      <c r="F334" s="69"/>
      <c r="G334" s="69"/>
      <c r="H334" s="64"/>
      <c r="I334" s="64"/>
      <c r="J334" s="61"/>
      <c r="K334" s="61"/>
      <c r="L334" s="61"/>
      <c r="M334" s="61"/>
      <c r="N334" s="61"/>
      <c r="O334" s="58"/>
      <c r="P334" s="58"/>
      <c r="Q334" s="13" t="e">
        <v>#N/A</v>
      </c>
      <c r="R334" s="13" t="e">
        <v>#N/A</v>
      </c>
      <c r="S334" s="13"/>
      <c r="T334" s="62"/>
      <c r="U334" s="13"/>
      <c r="V334" s="13"/>
      <c r="W334" s="13"/>
      <c r="X334" s="58"/>
      <c r="Y334" s="51">
        <f ca="1">Table24[[#This Row],[End Date]]+2-TODAY()</f>
        <v>-46242</v>
      </c>
      <c r="Z334" s="13">
        <f>IF(ISBLANK(Table24[[#This Row],[Roster Received By]]),1,0)</f>
        <v>1</v>
      </c>
      <c r="AA334" s="13">
        <f ca="1">IF(Table24[[#This Row],[Start Date]]&gt;TODAY(),1,)</f>
        <v>0</v>
      </c>
    </row>
    <row r="335" spans="1:27" s="65" customFormat="1" ht="15.75" customHeight="1" x14ac:dyDescent="0.25">
      <c r="A335" s="46"/>
      <c r="B335" s="77"/>
      <c r="C335" s="59" t="e">
        <v>#N/A</v>
      </c>
      <c r="D335" s="59" t="e">
        <v>#N/A</v>
      </c>
      <c r="E335" s="77"/>
      <c r="F335" s="69"/>
      <c r="G335" s="69"/>
      <c r="H335" s="61"/>
      <c r="I335" s="60"/>
      <c r="J335" s="60"/>
      <c r="K335" s="60"/>
      <c r="L335" s="60"/>
      <c r="M335" s="60"/>
      <c r="N335" s="60"/>
      <c r="O335" s="58"/>
      <c r="P335" s="58"/>
      <c r="Q335" s="13" t="e">
        <v>#N/A</v>
      </c>
      <c r="R335" s="13" t="e">
        <v>#N/A</v>
      </c>
      <c r="S335" s="13"/>
      <c r="T335" s="62"/>
      <c r="U335" s="13"/>
      <c r="V335" s="13"/>
      <c r="W335" s="66"/>
      <c r="X335" s="58"/>
      <c r="Y335" s="51">
        <f ca="1">Table24[[#This Row],[End Date]]+2-TODAY()</f>
        <v>-46242</v>
      </c>
      <c r="Z335" s="13">
        <f>IF(ISBLANK(Table24[[#This Row],[Roster Received By]]),1,0)</f>
        <v>1</v>
      </c>
      <c r="AA335" s="13">
        <f ca="1">IF(Table24[[#This Row],[Start Date]]&gt;TODAY(),1,)</f>
        <v>0</v>
      </c>
    </row>
    <row r="336" spans="1:27" s="65" customFormat="1" ht="15.75" customHeight="1" x14ac:dyDescent="0.25">
      <c r="A336" s="46"/>
      <c r="B336" s="77"/>
      <c r="C336" s="59" t="e">
        <v>#N/A</v>
      </c>
      <c r="D336" s="59" t="e">
        <v>#N/A</v>
      </c>
      <c r="E336" s="77"/>
      <c r="F336" s="69"/>
      <c r="G336" s="69"/>
      <c r="H336" s="64"/>
      <c r="I336" s="64"/>
      <c r="J336" s="64"/>
      <c r="K336" s="64"/>
      <c r="L336" s="64"/>
      <c r="M336" s="64"/>
      <c r="N336" s="61"/>
      <c r="O336" s="58"/>
      <c r="P336" s="58"/>
      <c r="Q336" s="13" t="e">
        <v>#N/A</v>
      </c>
      <c r="R336" s="13" t="e">
        <v>#N/A</v>
      </c>
      <c r="S336" s="13"/>
      <c r="T336" s="62"/>
      <c r="U336" s="13"/>
      <c r="V336" s="13"/>
      <c r="W336" s="13"/>
      <c r="X336" s="58"/>
      <c r="Y336" s="51">
        <f ca="1">Table24[[#This Row],[End Date]]+2-TODAY()</f>
        <v>-46242</v>
      </c>
      <c r="Z336" s="13">
        <f>IF(ISBLANK(Table24[[#This Row],[Roster Received By]]),1,0)</f>
        <v>1</v>
      </c>
      <c r="AA336" s="13">
        <f ca="1">IF(Table24[[#This Row],[Start Date]]&gt;TODAY(),1,)</f>
        <v>0</v>
      </c>
    </row>
    <row r="337" spans="1:27" s="65" customFormat="1" ht="15.75" customHeight="1" x14ac:dyDescent="0.25">
      <c r="A337" s="46"/>
      <c r="B337" s="75"/>
      <c r="C337" s="59" t="e">
        <v>#N/A</v>
      </c>
      <c r="D337" s="59" t="e">
        <v>#N/A</v>
      </c>
      <c r="E337" s="75"/>
      <c r="F337" s="69"/>
      <c r="G337" s="69"/>
      <c r="H337" s="67"/>
      <c r="I337" s="67"/>
      <c r="J337" s="61"/>
      <c r="K337" s="61"/>
      <c r="L337" s="61"/>
      <c r="M337" s="61"/>
      <c r="N337" s="61"/>
      <c r="O337" s="58"/>
      <c r="P337" s="58"/>
      <c r="Q337" s="13" t="e">
        <v>#N/A</v>
      </c>
      <c r="R337" s="13" t="e">
        <v>#N/A</v>
      </c>
      <c r="S337" s="13"/>
      <c r="T337" s="62"/>
      <c r="U337" s="13"/>
      <c r="V337" s="13"/>
      <c r="W337" s="59"/>
      <c r="X337" s="58"/>
      <c r="Y337" s="51">
        <f ca="1">Table24[[#This Row],[End Date]]+2-TODAY()</f>
        <v>-46242</v>
      </c>
      <c r="Z337" s="13">
        <f>IF(ISBLANK(Table24[[#This Row],[Roster Received By]]),1,0)</f>
        <v>1</v>
      </c>
      <c r="AA337" s="13">
        <f ca="1">IF(Table24[[#This Row],[Start Date]]&gt;TODAY(),1,)</f>
        <v>0</v>
      </c>
    </row>
    <row r="338" spans="1:27" s="65" customFormat="1" ht="15.75" customHeight="1" x14ac:dyDescent="0.25">
      <c r="A338" s="46"/>
      <c r="B338" s="75"/>
      <c r="C338" s="59" t="e">
        <v>#N/A</v>
      </c>
      <c r="D338" s="59" t="e">
        <v>#N/A</v>
      </c>
      <c r="E338" s="58"/>
      <c r="F338" s="69"/>
      <c r="G338" s="69"/>
      <c r="H338" s="67"/>
      <c r="I338" s="67"/>
      <c r="J338" s="61"/>
      <c r="K338" s="61"/>
      <c r="L338" s="61"/>
      <c r="M338" s="61"/>
      <c r="N338" s="61"/>
      <c r="O338" s="58"/>
      <c r="P338" s="58"/>
      <c r="Q338" s="13" t="e">
        <v>#N/A</v>
      </c>
      <c r="R338" s="13" t="e">
        <v>#N/A</v>
      </c>
      <c r="S338" s="13"/>
      <c r="T338" s="62"/>
      <c r="U338" s="13"/>
      <c r="V338" s="13"/>
      <c r="W338" s="13"/>
      <c r="X338" s="58"/>
      <c r="Y338" s="51">
        <f ca="1">Table24[[#This Row],[End Date]]+2-TODAY()</f>
        <v>-46242</v>
      </c>
      <c r="Z338" s="13">
        <f>IF(ISBLANK(Table24[[#This Row],[Roster Received By]]),1,0)</f>
        <v>1</v>
      </c>
      <c r="AA338" s="13">
        <f ca="1">IF(Table24[[#This Row],[Start Date]]&gt;TODAY(),1,)</f>
        <v>0</v>
      </c>
    </row>
    <row r="339" spans="1:27" s="65" customFormat="1" ht="15.75" customHeight="1" x14ac:dyDescent="0.25">
      <c r="A339" s="46"/>
      <c r="B339" s="77"/>
      <c r="C339" s="59" t="e">
        <v>#N/A</v>
      </c>
      <c r="D339" s="59" t="e">
        <v>#N/A</v>
      </c>
      <c r="E339" s="75"/>
      <c r="F339" s="69"/>
      <c r="G339" s="69"/>
      <c r="H339" s="61"/>
      <c r="I339" s="60"/>
      <c r="J339" s="60"/>
      <c r="K339" s="60"/>
      <c r="L339" s="60"/>
      <c r="M339" s="60"/>
      <c r="N339" s="60"/>
      <c r="O339" s="58"/>
      <c r="P339" s="58"/>
      <c r="Q339" s="13" t="e">
        <v>#N/A</v>
      </c>
      <c r="R339" s="13" t="e">
        <v>#N/A</v>
      </c>
      <c r="S339" s="13"/>
      <c r="T339" s="62"/>
      <c r="U339" s="13"/>
      <c r="V339" s="13"/>
      <c r="W339" s="13"/>
      <c r="X339" s="58"/>
      <c r="Y339" s="51">
        <f ca="1">Table24[[#This Row],[End Date]]+2-TODAY()</f>
        <v>-46242</v>
      </c>
      <c r="Z339" s="13">
        <f>IF(ISBLANK(Table24[[#This Row],[Roster Received By]]),1,0)</f>
        <v>1</v>
      </c>
      <c r="AA339" s="13">
        <f ca="1">IF(Table24[[#This Row],[Start Date]]&gt;TODAY(),1,)</f>
        <v>0</v>
      </c>
    </row>
    <row r="340" spans="1:27" s="65" customFormat="1" ht="15.75" customHeight="1" x14ac:dyDescent="0.25">
      <c r="A340" s="46"/>
      <c r="B340" s="75"/>
      <c r="C340" s="59" t="e">
        <v>#N/A</v>
      </c>
      <c r="D340" s="59" t="e">
        <v>#N/A</v>
      </c>
      <c r="E340" s="75"/>
      <c r="F340" s="79"/>
      <c r="G340" s="80"/>
      <c r="H340" s="67"/>
      <c r="I340" s="67"/>
      <c r="J340" s="61"/>
      <c r="K340" s="61"/>
      <c r="L340" s="61"/>
      <c r="M340" s="61"/>
      <c r="N340" s="61"/>
      <c r="O340" s="58"/>
      <c r="P340" s="58"/>
      <c r="Q340" s="13" t="e">
        <v>#N/A</v>
      </c>
      <c r="R340" s="13" t="e">
        <v>#N/A</v>
      </c>
      <c r="S340" s="13"/>
      <c r="T340" s="62"/>
      <c r="U340" s="13"/>
      <c r="V340" s="13"/>
      <c r="W340" s="13"/>
      <c r="X340" s="58"/>
      <c r="Y340" s="51">
        <f ca="1">Table24[[#This Row],[End Date]]+2-TODAY()</f>
        <v>-46242</v>
      </c>
      <c r="Z340" s="13">
        <f>IF(ISBLANK(Table24[[#This Row],[Roster Received By]]),1,0)</f>
        <v>1</v>
      </c>
      <c r="AA340" s="13">
        <f ca="1">IF(Table24[[#This Row],[Start Date]]&gt;TODAY(),1,)</f>
        <v>0</v>
      </c>
    </row>
    <row r="341" spans="1:27" s="65" customFormat="1" ht="15.75" customHeight="1" x14ac:dyDescent="0.25">
      <c r="A341" s="58"/>
      <c r="B341" s="75"/>
      <c r="C341" s="59" t="e">
        <v>#N/A</v>
      </c>
      <c r="D341" s="59" t="e">
        <v>#N/A</v>
      </c>
      <c r="E341" s="75"/>
      <c r="F341" s="91"/>
      <c r="G341" s="91"/>
      <c r="H341" s="67"/>
      <c r="I341" s="67"/>
      <c r="J341" s="61"/>
      <c r="K341" s="61"/>
      <c r="L341" s="61"/>
      <c r="M341" s="61"/>
      <c r="N341" s="61"/>
      <c r="O341" s="58"/>
      <c r="P341" s="58"/>
      <c r="Q341" s="13" t="e">
        <v>#N/A</v>
      </c>
      <c r="R341" s="13" t="e">
        <v>#N/A</v>
      </c>
      <c r="S341" s="13"/>
      <c r="T341" s="62"/>
      <c r="U341" s="13"/>
      <c r="V341" s="13"/>
      <c r="W341" s="13"/>
      <c r="X341" s="58"/>
      <c r="Y341" s="51">
        <f ca="1">Table24[[#This Row],[End Date]]+2-TODAY()</f>
        <v>-46242</v>
      </c>
      <c r="Z341" s="13">
        <f>IF(ISBLANK(Table24[[#This Row],[Roster Received By]]),1,0)</f>
        <v>1</v>
      </c>
      <c r="AA341" s="13">
        <f ca="1">IF(Table24[[#This Row],[Start Date]]&gt;TODAY(),1,)</f>
        <v>0</v>
      </c>
    </row>
    <row r="342" spans="1:27" s="65" customFormat="1" ht="15.75" customHeight="1" x14ac:dyDescent="0.25">
      <c r="A342" s="46"/>
      <c r="B342" s="75"/>
      <c r="C342" s="59" t="e">
        <v>#N/A</v>
      </c>
      <c r="D342" s="59" t="e">
        <v>#N/A</v>
      </c>
      <c r="E342" s="48"/>
      <c r="F342" s="92"/>
      <c r="G342" s="92"/>
      <c r="H342" s="60"/>
      <c r="I342" s="60"/>
      <c r="J342" s="61"/>
      <c r="K342" s="61"/>
      <c r="L342" s="61"/>
      <c r="M342" s="61"/>
      <c r="N342" s="61"/>
      <c r="O342" s="58"/>
      <c r="P342" s="58"/>
      <c r="Q342" s="13" t="e">
        <v>#N/A</v>
      </c>
      <c r="R342" s="13" t="e">
        <v>#N/A</v>
      </c>
      <c r="S342" s="13"/>
      <c r="T342" s="62"/>
      <c r="U342" s="13"/>
      <c r="V342" s="13"/>
      <c r="W342" s="13"/>
      <c r="X342" s="58"/>
      <c r="Y342" s="51">
        <f ca="1">Table24[[#This Row],[End Date]]+2-TODAY()</f>
        <v>-46242</v>
      </c>
      <c r="Z342" s="13">
        <f>IF(ISBLANK(Table24[[#This Row],[Roster Received By]]),1,0)</f>
        <v>1</v>
      </c>
      <c r="AA342" s="13">
        <f ca="1">IF(Table24[[#This Row],[Start Date]]&gt;TODAY(),1,)</f>
        <v>0</v>
      </c>
    </row>
    <row r="343" spans="1:27" s="65" customFormat="1" ht="15.75" customHeight="1" x14ac:dyDescent="0.25">
      <c r="A343" s="58"/>
      <c r="B343" s="77"/>
      <c r="C343" s="59" t="e">
        <v>#N/A</v>
      </c>
      <c r="D343" s="59" t="e">
        <v>#N/A</v>
      </c>
      <c r="E343" s="75"/>
      <c r="F343" s="91"/>
      <c r="G343" s="91"/>
      <c r="H343" s="61"/>
      <c r="I343" s="60"/>
      <c r="J343" s="60"/>
      <c r="K343" s="60"/>
      <c r="L343" s="60"/>
      <c r="M343" s="60"/>
      <c r="N343" s="60"/>
      <c r="O343" s="58"/>
      <c r="P343" s="58"/>
      <c r="Q343" s="13" t="e">
        <v>#N/A</v>
      </c>
      <c r="R343" s="13" t="e">
        <v>#N/A</v>
      </c>
      <c r="S343" s="13"/>
      <c r="T343" s="62"/>
      <c r="U343" s="13"/>
      <c r="V343" s="13"/>
      <c r="W343" s="13"/>
      <c r="X343" s="58"/>
      <c r="Y343" s="51">
        <f ca="1">Table24[[#This Row],[End Date]]+2-TODAY()</f>
        <v>-46242</v>
      </c>
      <c r="Z343" s="13">
        <f>IF(ISBLANK(Table24[[#This Row],[Roster Received By]]),1,0)</f>
        <v>1</v>
      </c>
      <c r="AA343" s="13">
        <f ca="1">IF(Table24[[#This Row],[Start Date]]&gt;TODAY(),1,)</f>
        <v>0</v>
      </c>
    </row>
    <row r="344" spans="1:27" s="65" customFormat="1" ht="15.75" customHeight="1" x14ac:dyDescent="0.25">
      <c r="A344" s="58"/>
      <c r="B344" s="75"/>
      <c r="C344" s="59" t="e">
        <v>#N/A</v>
      </c>
      <c r="D344" s="59" t="e">
        <v>#N/A</v>
      </c>
      <c r="E344" s="75"/>
      <c r="F344" s="91"/>
      <c r="G344" s="91"/>
      <c r="H344" s="64"/>
      <c r="I344" s="64"/>
      <c r="J344" s="61"/>
      <c r="K344" s="61"/>
      <c r="L344" s="61"/>
      <c r="M344" s="61"/>
      <c r="N344" s="61"/>
      <c r="O344" s="58"/>
      <c r="P344" s="58"/>
      <c r="Q344" s="13" t="e">
        <v>#N/A</v>
      </c>
      <c r="R344" s="13" t="e">
        <v>#N/A</v>
      </c>
      <c r="S344" s="13"/>
      <c r="T344" s="62"/>
      <c r="U344" s="13"/>
      <c r="V344" s="13"/>
      <c r="W344" s="13"/>
      <c r="X344" s="58"/>
      <c r="Y344" s="51">
        <f ca="1">Table24[[#This Row],[End Date]]+2-TODAY()</f>
        <v>-46242</v>
      </c>
      <c r="Z344" s="13">
        <f>IF(ISBLANK(Table24[[#This Row],[Roster Received By]]),1,0)</f>
        <v>1</v>
      </c>
      <c r="AA344" s="13">
        <f ca="1">IF(Table24[[#This Row],[Start Date]]&gt;TODAY(),1,)</f>
        <v>0</v>
      </c>
    </row>
    <row r="345" spans="1:27" s="65" customFormat="1" ht="15.75" customHeight="1" x14ac:dyDescent="0.25">
      <c r="A345" s="46"/>
      <c r="B345" s="75"/>
      <c r="C345" s="59" t="e">
        <v>#N/A</v>
      </c>
      <c r="D345" s="59" t="e">
        <v>#N/A</v>
      </c>
      <c r="E345" s="48"/>
      <c r="F345" s="91"/>
      <c r="G345" s="91"/>
      <c r="H345" s="64"/>
      <c r="I345" s="64"/>
      <c r="J345" s="61"/>
      <c r="K345" s="61"/>
      <c r="L345" s="61"/>
      <c r="M345" s="61"/>
      <c r="N345" s="61"/>
      <c r="O345" s="58"/>
      <c r="P345" s="58"/>
      <c r="Q345" s="13" t="e">
        <v>#N/A</v>
      </c>
      <c r="R345" s="13" t="e">
        <v>#N/A</v>
      </c>
      <c r="S345" s="13"/>
      <c r="T345" s="62"/>
      <c r="U345" s="13"/>
      <c r="V345" s="13"/>
      <c r="W345" s="13"/>
      <c r="X345" s="58"/>
      <c r="Y345" s="51">
        <f ca="1">Table24[[#This Row],[End Date]]+2-TODAY()</f>
        <v>-46242</v>
      </c>
      <c r="Z345" s="13">
        <f>IF(ISBLANK(Table24[[#This Row],[Roster Received By]]),1,0)</f>
        <v>1</v>
      </c>
      <c r="AA345" s="13">
        <f ca="1">IF(Table24[[#This Row],[Start Date]]&gt;TODAY(),1,)</f>
        <v>0</v>
      </c>
    </row>
    <row r="346" spans="1:27" s="65" customFormat="1" ht="15.75" customHeight="1" x14ac:dyDescent="0.25">
      <c r="A346" s="46"/>
      <c r="B346" s="75"/>
      <c r="C346" s="59" t="e">
        <v>#N/A</v>
      </c>
      <c r="D346" s="59" t="e">
        <v>#N/A</v>
      </c>
      <c r="E346" s="48"/>
      <c r="F346" s="57"/>
      <c r="G346" s="57"/>
      <c r="H346" s="60"/>
      <c r="I346" s="60"/>
      <c r="J346" s="61"/>
      <c r="K346" s="61"/>
      <c r="L346" s="61"/>
      <c r="M346" s="61"/>
      <c r="N346" s="61"/>
      <c r="O346" s="58"/>
      <c r="P346" s="58"/>
      <c r="Q346" s="13" t="e">
        <v>#N/A</v>
      </c>
      <c r="R346" s="13" t="e">
        <v>#N/A</v>
      </c>
      <c r="S346" s="13"/>
      <c r="T346" s="62"/>
      <c r="U346" s="13"/>
      <c r="V346" s="13"/>
      <c r="W346" s="13"/>
      <c r="X346" s="58"/>
      <c r="Y346" s="51">
        <f ca="1">Table24[[#This Row],[End Date]]+2-TODAY()</f>
        <v>-46242</v>
      </c>
      <c r="Z346" s="13">
        <f>IF(ISBLANK(Table24[[#This Row],[Roster Received By]]),1,0)</f>
        <v>1</v>
      </c>
      <c r="AA346" s="13">
        <f ca="1">IF(Table24[[#This Row],[Start Date]]&gt;TODAY(),1,)</f>
        <v>0</v>
      </c>
    </row>
    <row r="347" spans="1:27" s="65" customFormat="1" ht="15.75" customHeight="1" x14ac:dyDescent="0.25">
      <c r="A347" s="46"/>
      <c r="B347" s="75"/>
      <c r="C347" s="59" t="e">
        <v>#N/A</v>
      </c>
      <c r="D347" s="59" t="e">
        <v>#N/A</v>
      </c>
      <c r="E347" s="75"/>
      <c r="F347" s="69"/>
      <c r="G347" s="69"/>
      <c r="H347" s="61"/>
      <c r="I347" s="60"/>
      <c r="J347" s="60"/>
      <c r="K347" s="60"/>
      <c r="L347" s="60"/>
      <c r="M347" s="60"/>
      <c r="N347" s="60"/>
      <c r="O347" s="58"/>
      <c r="P347" s="58"/>
      <c r="Q347" s="13" t="e">
        <v>#N/A</v>
      </c>
      <c r="R347" s="13" t="e">
        <v>#N/A</v>
      </c>
      <c r="S347" s="13"/>
      <c r="T347" s="62"/>
      <c r="U347" s="13"/>
      <c r="V347" s="13"/>
      <c r="W347" s="13"/>
      <c r="X347" s="58"/>
      <c r="Y347" s="51">
        <f ca="1">Table24[[#This Row],[End Date]]+2-TODAY()</f>
        <v>-46242</v>
      </c>
      <c r="Z347" s="13">
        <f>IF(ISBLANK(Table24[[#This Row],[Roster Received By]]),1,0)</f>
        <v>1</v>
      </c>
      <c r="AA347" s="13">
        <f ca="1">IF(Table24[[#This Row],[Start Date]]&gt;TODAY(),1,)</f>
        <v>0</v>
      </c>
    </row>
    <row r="348" spans="1:27" s="59" customFormat="1" x14ac:dyDescent="0.25">
      <c r="A348" s="46"/>
      <c r="B348" s="77"/>
      <c r="C348" s="59" t="e">
        <v>#N/A</v>
      </c>
      <c r="D348" s="59" t="e">
        <v>#N/A</v>
      </c>
      <c r="E348" s="75"/>
      <c r="F348" s="69"/>
      <c r="G348" s="69"/>
      <c r="H348" s="61"/>
      <c r="I348" s="60"/>
      <c r="J348" s="60"/>
      <c r="K348" s="60"/>
      <c r="L348" s="60"/>
      <c r="M348" s="60"/>
      <c r="N348" s="60"/>
      <c r="O348" s="58"/>
      <c r="P348" s="58"/>
      <c r="Q348" s="13" t="e">
        <v>#N/A</v>
      </c>
      <c r="R348" s="13" t="e">
        <v>#N/A</v>
      </c>
      <c r="S348" s="13"/>
      <c r="T348" s="62"/>
      <c r="U348" s="13"/>
      <c r="V348" s="13"/>
      <c r="W348" s="13"/>
      <c r="X348" s="58"/>
      <c r="Y348" s="51">
        <f ca="1">Table24[[#This Row],[End Date]]+2-TODAY()</f>
        <v>-46242</v>
      </c>
      <c r="Z348" s="13">
        <f>IF(ISBLANK(Table24[[#This Row],[Roster Received By]]),1,0)</f>
        <v>1</v>
      </c>
      <c r="AA348" s="13">
        <f ca="1">IF(Table24[[#This Row],[Start Date]]&gt;TODAY(),1,)</f>
        <v>0</v>
      </c>
    </row>
    <row r="349" spans="1:27" s="46" customFormat="1" x14ac:dyDescent="0.25">
      <c r="B349" s="77"/>
      <c r="C349" s="59" t="e">
        <v>#N/A</v>
      </c>
      <c r="D349" s="59" t="e">
        <v>#N/A</v>
      </c>
      <c r="E349" s="48"/>
      <c r="F349" s="57"/>
      <c r="G349" s="57"/>
      <c r="H349" s="60"/>
      <c r="I349" s="60"/>
      <c r="J349" s="61"/>
      <c r="K349" s="61"/>
      <c r="L349" s="61"/>
      <c r="M349" s="61"/>
      <c r="N349" s="61"/>
      <c r="O349" s="58"/>
      <c r="P349" s="58"/>
      <c r="Q349" s="13" t="e">
        <v>#N/A</v>
      </c>
      <c r="R349" s="13" t="e">
        <v>#N/A</v>
      </c>
      <c r="S349" s="13"/>
      <c r="T349" s="62"/>
      <c r="U349" s="13"/>
      <c r="V349" s="13"/>
      <c r="W349" s="59"/>
      <c r="X349" s="58"/>
      <c r="Y349" s="68">
        <f ca="1">Table24[[#This Row],[End Date]]+2-TODAY()</f>
        <v>-46242</v>
      </c>
      <c r="Z349" s="13">
        <f>IF(ISBLANK(Table24[[#This Row],[Roster Received By]]),1,0)</f>
        <v>1</v>
      </c>
      <c r="AA349" s="59">
        <f ca="1">IF(Table24[[#This Row],[Start Date]]&gt;TODAY(),1,)</f>
        <v>0</v>
      </c>
    </row>
    <row r="350" spans="1:27" s="46" customFormat="1" x14ac:dyDescent="0.25">
      <c r="B350" s="75"/>
      <c r="C350" s="59" t="e">
        <v>#N/A</v>
      </c>
      <c r="D350" s="59" t="e">
        <v>#N/A</v>
      </c>
      <c r="E350" s="87"/>
      <c r="F350" s="90"/>
      <c r="G350" s="90"/>
      <c r="H350" s="127"/>
      <c r="I350" s="60"/>
      <c r="J350" s="60"/>
      <c r="K350" s="60"/>
      <c r="L350" s="60"/>
      <c r="M350" s="60"/>
      <c r="N350" s="60"/>
      <c r="O350" s="58"/>
      <c r="P350" s="58"/>
      <c r="Q350" s="13" t="e">
        <v>#N/A</v>
      </c>
      <c r="R350" s="13" t="e">
        <v>#N/A</v>
      </c>
      <c r="S350" s="13"/>
      <c r="T350" s="62"/>
      <c r="U350" s="13"/>
      <c r="V350" s="13"/>
      <c r="W350" s="59"/>
      <c r="X350" s="58"/>
      <c r="Y350" s="68">
        <f ca="1">Table24[[#This Row],[End Date]]+2-TODAY()</f>
        <v>-46242</v>
      </c>
      <c r="Z350" s="13">
        <f>IF(ISBLANK(Table24[[#This Row],[Roster Received By]]),1,0)</f>
        <v>1</v>
      </c>
      <c r="AA350" s="59">
        <f ca="1">IF(Table24[[#This Row],[Start Date]]&gt;TODAY(),1,)</f>
        <v>0</v>
      </c>
    </row>
    <row r="351" spans="1:27" s="46" customFormat="1" x14ac:dyDescent="0.25">
      <c r="B351" s="75"/>
      <c r="C351" s="59" t="e">
        <v>#N/A</v>
      </c>
      <c r="D351" s="59" t="e">
        <v>#N/A</v>
      </c>
      <c r="E351" s="75"/>
      <c r="F351" s="69"/>
      <c r="G351" s="69"/>
      <c r="H351" s="61"/>
      <c r="I351" s="60"/>
      <c r="J351" s="60"/>
      <c r="K351" s="60"/>
      <c r="L351" s="60"/>
      <c r="M351" s="60"/>
      <c r="N351" s="60"/>
      <c r="O351" s="58"/>
      <c r="P351" s="58"/>
      <c r="Q351" s="13" t="e">
        <v>#N/A</v>
      </c>
      <c r="R351" s="13" t="e">
        <v>#N/A</v>
      </c>
      <c r="S351" s="13"/>
      <c r="T351" s="62"/>
      <c r="U351" s="13"/>
      <c r="V351" s="13"/>
      <c r="W351" s="59"/>
      <c r="X351" s="58"/>
      <c r="Y351" s="68">
        <f ca="1">Table24[[#This Row],[End Date]]+2-TODAY()</f>
        <v>-46242</v>
      </c>
      <c r="Z351" s="13">
        <f>IF(ISBLANK(Table24[[#This Row],[Roster Received By]]),1,0)</f>
        <v>1</v>
      </c>
      <c r="AA351" s="59">
        <f ca="1">IF(Table24[[#This Row],[Start Date]]&gt;TODAY(),1,)</f>
        <v>0</v>
      </c>
    </row>
    <row r="352" spans="1:27" s="46" customFormat="1" x14ac:dyDescent="0.25">
      <c r="B352" s="75"/>
      <c r="C352" s="59" t="e">
        <v>#N/A</v>
      </c>
      <c r="D352" s="59" t="e">
        <v>#N/A</v>
      </c>
      <c r="E352" s="75"/>
      <c r="F352" s="69"/>
      <c r="G352" s="69"/>
      <c r="H352" s="61"/>
      <c r="I352" s="60"/>
      <c r="J352" s="60"/>
      <c r="K352" s="60"/>
      <c r="L352" s="60"/>
      <c r="M352" s="60"/>
      <c r="N352" s="60"/>
      <c r="O352" s="58"/>
      <c r="P352" s="58"/>
      <c r="Q352" s="13" t="e">
        <v>#N/A</v>
      </c>
      <c r="R352" s="13" t="e">
        <v>#N/A</v>
      </c>
      <c r="S352" s="13"/>
      <c r="T352" s="62"/>
      <c r="U352" s="13"/>
      <c r="V352" s="13"/>
      <c r="W352" s="59"/>
      <c r="X352" s="58"/>
      <c r="Y352" s="68">
        <f ca="1">Table24[[#This Row],[End Date]]+2-TODAY()</f>
        <v>-46242</v>
      </c>
      <c r="Z352" s="13">
        <f>IF(ISBLANK(Table24[[#This Row],[Roster Received By]]),1,0)</f>
        <v>1</v>
      </c>
      <c r="AA352" s="59">
        <f ca="1">IF(Table24[[#This Row],[Start Date]]&gt;TODAY(),1,)</f>
        <v>0</v>
      </c>
    </row>
    <row r="353" spans="1:27" s="46" customFormat="1" x14ac:dyDescent="0.25">
      <c r="B353" s="75"/>
      <c r="C353" s="59" t="e">
        <v>#N/A</v>
      </c>
      <c r="D353" s="59" t="e">
        <v>#N/A</v>
      </c>
      <c r="E353" s="75"/>
      <c r="F353" s="69"/>
      <c r="G353" s="69"/>
      <c r="H353" s="64"/>
      <c r="I353" s="64"/>
      <c r="J353" s="64"/>
      <c r="K353" s="64"/>
      <c r="L353" s="64"/>
      <c r="M353" s="64"/>
      <c r="N353" s="61"/>
      <c r="O353" s="58"/>
      <c r="P353" s="58"/>
      <c r="Q353" s="13" t="e">
        <v>#N/A</v>
      </c>
      <c r="R353" s="13" t="e">
        <v>#N/A</v>
      </c>
      <c r="S353" s="13"/>
      <c r="T353" s="62"/>
      <c r="U353" s="13"/>
      <c r="V353" s="13"/>
      <c r="W353" s="59"/>
      <c r="X353" s="58"/>
      <c r="Y353" s="68">
        <f ca="1">Table24[[#This Row],[End Date]]+2-TODAY()</f>
        <v>-46242</v>
      </c>
      <c r="Z353" s="13">
        <f>IF(ISBLANK(Table24[[#This Row],[Roster Received By]]),1,0)</f>
        <v>1</v>
      </c>
      <c r="AA353" s="59">
        <f ca="1">IF(Table24[[#This Row],[Start Date]]&gt;TODAY(),1,)</f>
        <v>0</v>
      </c>
    </row>
    <row r="354" spans="1:27" s="46" customFormat="1" x14ac:dyDescent="0.25">
      <c r="A354" s="58"/>
      <c r="B354" s="77"/>
      <c r="C354" s="59" t="e">
        <v>#N/A</v>
      </c>
      <c r="D354" s="59" t="e">
        <v>#N/A</v>
      </c>
      <c r="E354" s="75"/>
      <c r="F354" s="69"/>
      <c r="G354" s="69"/>
      <c r="H354" s="64"/>
      <c r="I354" s="64"/>
      <c r="J354" s="61"/>
      <c r="K354" s="61"/>
      <c r="L354" s="61"/>
      <c r="M354" s="61"/>
      <c r="N354" s="61"/>
      <c r="O354" s="58"/>
      <c r="P354" s="58"/>
      <c r="Q354" s="13" t="e">
        <v>#N/A</v>
      </c>
      <c r="R354" s="13" t="e">
        <v>#N/A</v>
      </c>
      <c r="S354" s="13"/>
      <c r="T354" s="62"/>
      <c r="U354" s="13"/>
      <c r="V354" s="13"/>
      <c r="W354" s="59"/>
      <c r="X354" s="58"/>
      <c r="Y354" s="68">
        <f ca="1">Table24[[#This Row],[End Date]]+2-TODAY()</f>
        <v>-46242</v>
      </c>
      <c r="Z354" s="13">
        <f>IF(ISBLANK(Table24[[#This Row],[Roster Received By]]),1,0)</f>
        <v>1</v>
      </c>
      <c r="AA354" s="59">
        <f ca="1">IF(Table24[[#This Row],[Start Date]]&gt;TODAY(),1,)</f>
        <v>0</v>
      </c>
    </row>
    <row r="355" spans="1:27" s="46" customFormat="1" x14ac:dyDescent="0.25">
      <c r="B355" s="75"/>
      <c r="C355" s="59" t="e">
        <v>#N/A</v>
      </c>
      <c r="D355" s="59" t="e">
        <v>#N/A</v>
      </c>
      <c r="E355" s="75"/>
      <c r="F355" s="69"/>
      <c r="G355" s="69"/>
      <c r="H355" s="64"/>
      <c r="I355" s="64"/>
      <c r="J355" s="61"/>
      <c r="K355" s="61"/>
      <c r="L355" s="61"/>
      <c r="M355" s="61"/>
      <c r="N355" s="61"/>
      <c r="O355" s="58"/>
      <c r="P355" s="58"/>
      <c r="Q355" s="13" t="e">
        <v>#N/A</v>
      </c>
      <c r="R355" s="13" t="e">
        <v>#N/A</v>
      </c>
      <c r="S355" s="62"/>
      <c r="T355" s="62"/>
      <c r="U355" s="13"/>
      <c r="V355" s="13"/>
      <c r="W355" s="59"/>
      <c r="X355" s="58"/>
      <c r="Y355" s="68">
        <f ca="1">Table24[[#This Row],[End Date]]+2-TODAY()</f>
        <v>-46242</v>
      </c>
      <c r="Z355" s="13">
        <f>IF(ISBLANK(Table24[[#This Row],[Roster Received By]]),1,0)</f>
        <v>1</v>
      </c>
      <c r="AA355" s="59">
        <f ca="1">IF(Table24[[#This Row],[Start Date]]&gt;TODAY(),1,)</f>
        <v>0</v>
      </c>
    </row>
    <row r="356" spans="1:27" s="46" customFormat="1" x14ac:dyDescent="0.25">
      <c r="B356" s="75"/>
      <c r="C356" s="59" t="e">
        <v>#N/A</v>
      </c>
      <c r="D356" s="59" t="e">
        <v>#N/A</v>
      </c>
      <c r="E356" s="48"/>
      <c r="F356" s="69"/>
      <c r="G356" s="69"/>
      <c r="H356" s="64"/>
      <c r="I356" s="64"/>
      <c r="J356" s="61"/>
      <c r="K356" s="61"/>
      <c r="L356" s="61"/>
      <c r="M356" s="61"/>
      <c r="N356" s="61"/>
      <c r="O356" s="58"/>
      <c r="P356" s="58"/>
      <c r="Q356" s="13" t="e">
        <v>#N/A</v>
      </c>
      <c r="R356" s="13" t="e">
        <v>#N/A</v>
      </c>
      <c r="S356" s="13"/>
      <c r="T356" s="62"/>
      <c r="U356" s="13"/>
      <c r="V356" s="13"/>
      <c r="W356" s="59"/>
      <c r="X356" s="58"/>
      <c r="Y356" s="68">
        <f ca="1">Table24[[#This Row],[End Date]]+2-TODAY()</f>
        <v>-46242</v>
      </c>
      <c r="Z356" s="13">
        <f>IF(ISBLANK(Table24[[#This Row],[Roster Received By]]),1,0)</f>
        <v>1</v>
      </c>
      <c r="AA356" s="59">
        <f ca="1">IF(Table24[[#This Row],[Start Date]]&gt;TODAY(),1,)</f>
        <v>0</v>
      </c>
    </row>
    <row r="357" spans="1:27" s="46" customFormat="1" x14ac:dyDescent="0.25">
      <c r="A357" s="58"/>
      <c r="B357" s="77"/>
      <c r="C357" s="59" t="e">
        <v>#N/A</v>
      </c>
      <c r="D357" s="59" t="e">
        <v>#N/A</v>
      </c>
      <c r="E357" s="75"/>
      <c r="F357" s="61"/>
      <c r="G357" s="61"/>
      <c r="H357" s="64"/>
      <c r="I357" s="64"/>
      <c r="J357" s="61"/>
      <c r="K357" s="61"/>
      <c r="L357" s="61"/>
      <c r="M357" s="61"/>
      <c r="N357" s="61"/>
      <c r="O357" s="58"/>
      <c r="P357" s="58"/>
      <c r="Q357" s="13" t="e">
        <v>#N/A</v>
      </c>
      <c r="R357" s="13" t="e">
        <v>#N/A</v>
      </c>
      <c r="S357" s="13"/>
      <c r="T357" s="62"/>
      <c r="U357" s="13"/>
      <c r="V357" s="13"/>
      <c r="W357" s="59"/>
      <c r="X357" s="58"/>
      <c r="Y357" s="68">
        <f ca="1">Table24[[#This Row],[End Date]]+2-TODAY()</f>
        <v>-46242</v>
      </c>
      <c r="Z357" s="13">
        <f>IF(ISBLANK(Table24[[#This Row],[Roster Received By]]),1,0)</f>
        <v>1</v>
      </c>
      <c r="AA357" s="59">
        <f ca="1">IF(Table24[[#This Row],[Start Date]]&gt;TODAY(),1,)</f>
        <v>0</v>
      </c>
    </row>
    <row r="358" spans="1:27" s="46" customFormat="1" x14ac:dyDescent="0.25">
      <c r="B358" s="86"/>
      <c r="C358" s="59" t="e">
        <v>#N/A</v>
      </c>
      <c r="D358" s="59" t="e">
        <v>#N/A</v>
      </c>
      <c r="E358" s="75"/>
      <c r="F358" s="61"/>
      <c r="G358" s="61"/>
      <c r="H358" s="61"/>
      <c r="I358" s="60"/>
      <c r="J358" s="60"/>
      <c r="K358" s="60"/>
      <c r="L358" s="60"/>
      <c r="M358" s="60"/>
      <c r="N358" s="60"/>
      <c r="O358" s="58"/>
      <c r="P358" s="58"/>
      <c r="Q358" s="13" t="e">
        <v>#N/A</v>
      </c>
      <c r="R358" s="13" t="e">
        <v>#N/A</v>
      </c>
      <c r="S358" s="13"/>
      <c r="T358" s="62"/>
      <c r="U358" s="13"/>
      <c r="V358" s="13"/>
      <c r="W358" s="59"/>
      <c r="X358" s="58"/>
      <c r="Y358" s="68">
        <f ca="1">Table24[[#This Row],[End Date]]+2-TODAY()</f>
        <v>-46242</v>
      </c>
      <c r="Z358" s="13">
        <f>IF(ISBLANK(Table24[[#This Row],[Roster Received By]]),1,0)</f>
        <v>1</v>
      </c>
      <c r="AA358" s="59">
        <f ca="1">IF(Table24[[#This Row],[Start Date]]&gt;TODAY(),1,)</f>
        <v>0</v>
      </c>
    </row>
    <row r="359" spans="1:27" s="46" customFormat="1" x14ac:dyDescent="0.25">
      <c r="B359" s="77"/>
      <c r="C359" s="59" t="e">
        <v>#N/A</v>
      </c>
      <c r="D359" s="59" t="e">
        <v>#N/A</v>
      </c>
      <c r="E359" s="75"/>
      <c r="F359" s="61"/>
      <c r="G359" s="61"/>
      <c r="H359" s="64"/>
      <c r="I359" s="64"/>
      <c r="J359" s="61"/>
      <c r="K359" s="61"/>
      <c r="L359" s="61"/>
      <c r="M359" s="61"/>
      <c r="N359" s="61"/>
      <c r="O359" s="58"/>
      <c r="P359" s="58"/>
      <c r="Q359" s="13" t="e">
        <v>#N/A</v>
      </c>
      <c r="R359" s="13" t="e">
        <v>#N/A</v>
      </c>
      <c r="S359" s="13"/>
      <c r="T359" s="62"/>
      <c r="U359" s="13"/>
      <c r="V359" s="13"/>
      <c r="W359" s="59"/>
      <c r="X359" s="58"/>
      <c r="Y359" s="68">
        <f ca="1">Table24[[#This Row],[End Date]]+2-TODAY()</f>
        <v>-46242</v>
      </c>
      <c r="Z359" s="13">
        <f>IF(ISBLANK(Table24[[#This Row],[Roster Received By]]),1,0)</f>
        <v>1</v>
      </c>
      <c r="AA359" s="59">
        <f ca="1">IF(Table24[[#This Row],[Start Date]]&gt;TODAY(),1,)</f>
        <v>0</v>
      </c>
    </row>
    <row r="360" spans="1:27" s="46" customFormat="1" x14ac:dyDescent="0.25">
      <c r="B360" s="75"/>
      <c r="C360" s="59" t="e">
        <v>#N/A</v>
      </c>
      <c r="D360" s="59" t="e">
        <v>#N/A</v>
      </c>
      <c r="E360" s="58"/>
      <c r="F360" s="61"/>
      <c r="G360" s="61"/>
      <c r="H360" s="64"/>
      <c r="I360" s="71"/>
      <c r="J360" s="71"/>
      <c r="K360" s="71"/>
      <c r="L360" s="71"/>
      <c r="M360" s="71"/>
      <c r="N360" s="71"/>
      <c r="O360" s="58"/>
      <c r="P360" s="58"/>
      <c r="Q360" s="13" t="e">
        <v>#N/A</v>
      </c>
      <c r="R360" s="13" t="e">
        <v>#N/A</v>
      </c>
      <c r="S360" s="62"/>
      <c r="T360" s="72"/>
      <c r="U360" s="72"/>
      <c r="V360" s="72"/>
      <c r="W360" s="72"/>
      <c r="X360" s="58"/>
      <c r="Y360" s="72"/>
    </row>
    <row r="361" spans="1:27" s="46" customFormat="1" x14ac:dyDescent="0.25">
      <c r="A361" s="47"/>
      <c r="B361" s="75"/>
      <c r="C361" s="59" t="e">
        <v>#N/A</v>
      </c>
      <c r="D361" s="59" t="e">
        <v>#N/A</v>
      </c>
      <c r="E361" s="75"/>
      <c r="F361" s="61"/>
      <c r="G361" s="61"/>
      <c r="H361" s="61"/>
      <c r="I361" s="60"/>
      <c r="J361" s="60"/>
      <c r="K361" s="60"/>
      <c r="L361" s="60"/>
      <c r="M361" s="60"/>
      <c r="N361" s="60"/>
      <c r="O361" s="58"/>
      <c r="P361" s="58"/>
      <c r="Q361" s="13" t="e">
        <v>#N/A</v>
      </c>
      <c r="R361" s="13" t="e">
        <v>#N/A</v>
      </c>
      <c r="S361" s="13"/>
      <c r="T361" s="62"/>
      <c r="U361" s="13"/>
      <c r="V361" s="13"/>
      <c r="W361" s="59"/>
      <c r="X361" s="58"/>
      <c r="Y361" s="68">
        <f ca="1">Table24[[#This Row],[End Date]]+2-TODAY()</f>
        <v>-46242</v>
      </c>
      <c r="Z361" s="13">
        <f>IF(ISBLANK(Table24[[#This Row],[Roster Received By]]),1,0)</f>
        <v>1</v>
      </c>
      <c r="AA361" s="59">
        <f ca="1">IF(Table24[[#This Row],[Start Date]]&gt;TODAY(),1,)</f>
        <v>0</v>
      </c>
    </row>
    <row r="362" spans="1:27" s="46" customFormat="1" x14ac:dyDescent="0.25">
      <c r="B362" s="75"/>
      <c r="C362" s="59" t="e">
        <v>#N/A</v>
      </c>
      <c r="D362" s="59" t="e">
        <v>#N/A</v>
      </c>
      <c r="E362" s="75"/>
      <c r="F362" s="61"/>
      <c r="G362" s="61"/>
      <c r="H362" s="64"/>
      <c r="I362" s="64"/>
      <c r="J362" s="61"/>
      <c r="K362" s="61"/>
      <c r="L362" s="61"/>
      <c r="M362" s="61"/>
      <c r="N362" s="61"/>
      <c r="O362" s="58"/>
      <c r="P362" s="58"/>
      <c r="Q362" s="13" t="e">
        <v>#N/A</v>
      </c>
      <c r="R362" s="13" t="e">
        <v>#N/A</v>
      </c>
      <c r="S362" s="13"/>
      <c r="T362" s="62"/>
      <c r="U362" s="13"/>
      <c r="V362" s="13"/>
      <c r="W362" s="59"/>
      <c r="X362" s="58"/>
      <c r="Y362" s="68">
        <f ca="1">Table24[[#This Row],[End Date]]+2-TODAY()</f>
        <v>-46242</v>
      </c>
      <c r="Z362" s="13">
        <f>IF(ISBLANK(Table24[[#This Row],[Roster Received By]]),1,0)</f>
        <v>1</v>
      </c>
      <c r="AA362" s="59">
        <f ca="1">IF(Table24[[#This Row],[Start Date]]&gt;TODAY(),1,)</f>
        <v>0</v>
      </c>
    </row>
    <row r="363" spans="1:27" s="46" customFormat="1" x14ac:dyDescent="0.25">
      <c r="A363" s="58"/>
      <c r="B363" s="77"/>
      <c r="C363" s="59" t="e">
        <v>#N/A</v>
      </c>
      <c r="D363" s="59" t="e">
        <v>#N/A</v>
      </c>
      <c r="E363" s="75"/>
      <c r="F363" s="61"/>
      <c r="G363" s="61"/>
      <c r="H363" s="64"/>
      <c r="I363" s="64"/>
      <c r="J363" s="61"/>
      <c r="K363" s="61"/>
      <c r="L363" s="61"/>
      <c r="M363" s="61"/>
      <c r="N363" s="61"/>
      <c r="O363" s="58"/>
      <c r="P363" s="58"/>
      <c r="Q363" s="13" t="e">
        <v>#N/A</v>
      </c>
      <c r="R363" s="13" t="e">
        <v>#N/A</v>
      </c>
      <c r="S363" s="13"/>
      <c r="T363" s="62"/>
      <c r="U363" s="13"/>
      <c r="V363" s="13"/>
      <c r="W363" s="59"/>
      <c r="X363" s="58"/>
      <c r="Y363" s="68">
        <f ca="1">Table24[[#This Row],[End Date]]+2-TODAY()</f>
        <v>-46242</v>
      </c>
      <c r="Z363" s="13">
        <f>IF(ISBLANK(Table24[[#This Row],[Roster Received By]]),1,0)</f>
        <v>1</v>
      </c>
      <c r="AA363" s="59">
        <f ca="1">IF(Table24[[#This Row],[Start Date]]&gt;TODAY(),1,)</f>
        <v>0</v>
      </c>
    </row>
    <row r="364" spans="1:27" s="46" customFormat="1" x14ac:dyDescent="0.25">
      <c r="B364" s="75"/>
      <c r="C364" s="59" t="e">
        <v>#N/A</v>
      </c>
      <c r="D364" s="59" t="e">
        <v>#N/A</v>
      </c>
      <c r="E364" s="75"/>
      <c r="F364" s="61"/>
      <c r="G364" s="61"/>
      <c r="H364" s="61"/>
      <c r="I364" s="60"/>
      <c r="J364" s="60"/>
      <c r="K364" s="60"/>
      <c r="L364" s="60"/>
      <c r="M364" s="60"/>
      <c r="N364" s="60"/>
      <c r="O364" s="58"/>
      <c r="P364" s="58"/>
      <c r="Q364" s="13" t="e">
        <v>#N/A</v>
      </c>
      <c r="R364" s="13" t="e">
        <v>#N/A</v>
      </c>
      <c r="S364" s="13"/>
      <c r="T364" s="62"/>
      <c r="U364" s="13"/>
      <c r="V364" s="13"/>
      <c r="W364" s="59"/>
      <c r="X364" s="58"/>
      <c r="Y364" s="68">
        <f ca="1">Table24[[#This Row],[End Date]]+2-TODAY()</f>
        <v>-46242</v>
      </c>
      <c r="Z364" s="13">
        <f>IF(ISBLANK(Table24[[#This Row],[Roster Received By]]),1,0)</f>
        <v>1</v>
      </c>
      <c r="AA364" s="59">
        <f ca="1">IF(Table24[[#This Row],[Start Date]]&gt;TODAY(),1,)</f>
        <v>0</v>
      </c>
    </row>
    <row r="365" spans="1:27" s="46" customFormat="1" x14ac:dyDescent="0.25">
      <c r="B365" s="75"/>
      <c r="C365" s="59" t="e">
        <v>#N/A</v>
      </c>
      <c r="D365" s="59" t="e">
        <v>#N/A</v>
      </c>
      <c r="E365" s="75"/>
      <c r="F365" s="61"/>
      <c r="G365" s="61"/>
      <c r="H365" s="61"/>
      <c r="I365" s="60"/>
      <c r="J365" s="60"/>
      <c r="K365" s="60"/>
      <c r="L365" s="60"/>
      <c r="M365" s="60"/>
      <c r="N365" s="60"/>
      <c r="O365" s="58"/>
      <c r="P365" s="58"/>
      <c r="Q365" s="13" t="e">
        <v>#N/A</v>
      </c>
      <c r="R365" s="13" t="e">
        <v>#N/A</v>
      </c>
      <c r="S365" s="13"/>
      <c r="T365" s="62"/>
      <c r="U365" s="13"/>
      <c r="V365" s="13"/>
      <c r="W365" s="59"/>
      <c r="X365" s="58"/>
      <c r="Y365" s="68">
        <f ca="1">Table24[[#This Row],[End Date]]+2-TODAY()</f>
        <v>-46242</v>
      </c>
      <c r="Z365" s="13">
        <f>IF(ISBLANK(Table24[[#This Row],[Roster Received By]]),1,0)</f>
        <v>1</v>
      </c>
      <c r="AA365" s="59">
        <f ca="1">IF(Table24[[#This Row],[Start Date]]&gt;TODAY(),1,)</f>
        <v>0</v>
      </c>
    </row>
    <row r="366" spans="1:27" s="46" customFormat="1" x14ac:dyDescent="0.25">
      <c r="B366" s="75"/>
      <c r="C366" s="59" t="e">
        <v>#N/A</v>
      </c>
      <c r="D366" s="59" t="e">
        <v>#N/A</v>
      </c>
      <c r="E366" s="75"/>
      <c r="F366" s="61"/>
      <c r="G366" s="61"/>
      <c r="H366" s="61"/>
      <c r="I366" s="60"/>
      <c r="J366" s="60"/>
      <c r="K366" s="60"/>
      <c r="L366" s="60"/>
      <c r="M366" s="60"/>
      <c r="N366" s="60"/>
      <c r="O366" s="58"/>
      <c r="P366" s="58"/>
      <c r="Q366" s="13" t="e">
        <v>#N/A</v>
      </c>
      <c r="R366" s="13" t="e">
        <v>#N/A</v>
      </c>
      <c r="S366" s="13"/>
      <c r="T366" s="62"/>
      <c r="U366" s="13"/>
      <c r="V366" s="13"/>
      <c r="W366" s="59"/>
      <c r="X366" s="58"/>
      <c r="Y366" s="68">
        <f ca="1">Table24[[#This Row],[End Date]]+2-TODAY()</f>
        <v>-46242</v>
      </c>
      <c r="Z366" s="13">
        <f>IF(ISBLANK(Table24[[#This Row],[Roster Received By]]),1,0)</f>
        <v>1</v>
      </c>
      <c r="AA366" s="59">
        <f ca="1">IF(Table24[[#This Row],[Start Date]]&gt;TODAY(),1,)</f>
        <v>0</v>
      </c>
    </row>
    <row r="367" spans="1:27" s="46" customFormat="1" x14ac:dyDescent="0.25">
      <c r="B367" s="75"/>
      <c r="C367" s="59" t="e">
        <v>#N/A</v>
      </c>
      <c r="D367" s="59" t="e">
        <v>#N/A</v>
      </c>
      <c r="E367" s="58"/>
      <c r="F367" s="61"/>
      <c r="G367" s="61"/>
      <c r="H367" s="61"/>
      <c r="I367" s="60"/>
      <c r="J367" s="60"/>
      <c r="K367" s="60"/>
      <c r="L367" s="60"/>
      <c r="M367" s="60"/>
      <c r="N367" s="60"/>
      <c r="O367" s="58"/>
      <c r="P367" s="58"/>
      <c r="Q367" s="13" t="e">
        <v>#N/A</v>
      </c>
      <c r="R367" s="13" t="e">
        <v>#N/A</v>
      </c>
      <c r="S367" s="13"/>
      <c r="T367" s="62"/>
      <c r="U367" s="13"/>
      <c r="V367" s="13"/>
      <c r="W367" s="59"/>
      <c r="X367" s="58"/>
      <c r="Y367" s="68">
        <f ca="1">Table24[[#This Row],[End Date]]+2-TODAY()</f>
        <v>-46242</v>
      </c>
      <c r="Z367" s="13">
        <f>IF(ISBLANK(Table24[[#This Row],[Roster Received By]]),1,0)</f>
        <v>1</v>
      </c>
      <c r="AA367" s="59">
        <f ca="1">IF(Table24[[#This Row],[Start Date]]&gt;TODAY(),1,)</f>
        <v>0</v>
      </c>
    </row>
    <row r="368" spans="1:27" s="46" customFormat="1" x14ac:dyDescent="0.25">
      <c r="B368" s="75"/>
      <c r="C368" s="59" t="e">
        <v>#N/A</v>
      </c>
      <c r="D368" s="59" t="e">
        <v>#N/A</v>
      </c>
      <c r="E368" s="75"/>
      <c r="F368" s="61"/>
      <c r="G368" s="61"/>
      <c r="H368" s="64"/>
      <c r="I368" s="64"/>
      <c r="J368" s="61"/>
      <c r="K368" s="61"/>
      <c r="L368" s="61"/>
      <c r="M368" s="61"/>
      <c r="N368" s="61"/>
      <c r="O368" s="58"/>
      <c r="P368" s="58"/>
      <c r="Q368" s="13" t="e">
        <v>#N/A</v>
      </c>
      <c r="R368" s="13" t="e">
        <v>#N/A</v>
      </c>
      <c r="S368" s="13"/>
      <c r="T368" s="62"/>
      <c r="U368" s="13"/>
      <c r="V368" s="13"/>
      <c r="W368" s="59"/>
      <c r="X368" s="58"/>
      <c r="Y368" s="68">
        <f ca="1">Table24[[#This Row],[End Date]]+2-TODAY()</f>
        <v>-46242</v>
      </c>
      <c r="Z368" s="13">
        <f>IF(ISBLANK(Table24[[#This Row],[Roster Received By]]),1,0)</f>
        <v>1</v>
      </c>
      <c r="AA368" s="59">
        <f ca="1">IF(Table24[[#This Row],[Start Date]]&gt;TODAY(),1,)</f>
        <v>0</v>
      </c>
    </row>
    <row r="369" spans="1:27" s="46" customFormat="1" x14ac:dyDescent="0.25">
      <c r="B369" s="75"/>
      <c r="C369" s="59" t="e">
        <v>#N/A</v>
      </c>
      <c r="D369" s="59" t="e">
        <v>#N/A</v>
      </c>
      <c r="E369" s="75"/>
      <c r="F369" s="61"/>
      <c r="G369" s="61"/>
      <c r="H369" s="64"/>
      <c r="I369" s="64"/>
      <c r="J369" s="61"/>
      <c r="K369" s="61"/>
      <c r="L369" s="61"/>
      <c r="M369" s="61"/>
      <c r="N369" s="61"/>
      <c r="O369" s="58"/>
      <c r="P369" s="58"/>
      <c r="Q369" s="13" t="e">
        <v>#N/A</v>
      </c>
      <c r="R369" s="13" t="e">
        <v>#N/A</v>
      </c>
      <c r="S369" s="13"/>
      <c r="T369" s="62"/>
      <c r="U369" s="13"/>
      <c r="V369" s="13"/>
      <c r="W369" s="59"/>
      <c r="X369" s="58"/>
      <c r="Y369" s="68">
        <f ca="1">Table24[[#This Row],[End Date]]+2-TODAY()</f>
        <v>-46242</v>
      </c>
      <c r="Z369" s="13">
        <f>IF(ISBLANK(Table24[[#This Row],[Roster Received By]]),1,0)</f>
        <v>1</v>
      </c>
      <c r="AA369" s="59">
        <f ca="1">IF(Table24[[#This Row],[Start Date]]&gt;TODAY(),1,)</f>
        <v>0</v>
      </c>
    </row>
    <row r="370" spans="1:27" s="46" customFormat="1" x14ac:dyDescent="0.25">
      <c r="B370" s="75"/>
      <c r="C370" s="59" t="e">
        <v>#N/A</v>
      </c>
      <c r="D370" s="59" t="e">
        <v>#N/A</v>
      </c>
      <c r="E370" s="75"/>
      <c r="F370" s="61"/>
      <c r="G370" s="61"/>
      <c r="H370" s="64"/>
      <c r="I370" s="64"/>
      <c r="J370" s="61"/>
      <c r="K370" s="61"/>
      <c r="L370" s="61"/>
      <c r="M370" s="61"/>
      <c r="N370" s="61"/>
      <c r="O370" s="58"/>
      <c r="P370" s="58"/>
      <c r="Q370" s="13" t="e">
        <v>#N/A</v>
      </c>
      <c r="R370" s="13" t="e">
        <v>#N/A</v>
      </c>
      <c r="S370" s="13"/>
      <c r="T370" s="62"/>
      <c r="U370" s="13"/>
      <c r="V370" s="13"/>
      <c r="W370" s="59"/>
      <c r="X370" s="58"/>
      <c r="Y370" s="68">
        <f ca="1">Table24[[#This Row],[End Date]]+2-TODAY()</f>
        <v>-46242</v>
      </c>
      <c r="Z370" s="13">
        <f>IF(ISBLANK(Table24[[#This Row],[Roster Received By]]),1,0)</f>
        <v>1</v>
      </c>
      <c r="AA370" s="59">
        <f ca="1">IF(Table24[[#This Row],[Start Date]]&gt;TODAY(),1,)</f>
        <v>0</v>
      </c>
    </row>
    <row r="371" spans="1:27" s="46" customFormat="1" x14ac:dyDescent="0.25">
      <c r="B371" s="75"/>
      <c r="C371" s="59" t="e">
        <v>#N/A</v>
      </c>
      <c r="D371" s="59" t="e">
        <v>#N/A</v>
      </c>
      <c r="E371" s="75"/>
      <c r="F371" s="61"/>
      <c r="G371" s="61"/>
      <c r="H371" s="64"/>
      <c r="I371" s="64"/>
      <c r="J371" s="61"/>
      <c r="K371" s="61"/>
      <c r="L371" s="61"/>
      <c r="M371" s="61"/>
      <c r="N371" s="61"/>
      <c r="O371" s="58"/>
      <c r="P371" s="58"/>
      <c r="Q371" s="13" t="e">
        <v>#N/A</v>
      </c>
      <c r="R371" s="13" t="e">
        <v>#N/A</v>
      </c>
      <c r="S371" s="13"/>
      <c r="T371" s="62"/>
      <c r="U371" s="13"/>
      <c r="V371" s="13"/>
      <c r="W371" s="59"/>
      <c r="X371" s="58"/>
      <c r="Y371" s="68">
        <f ca="1">Table24[[#This Row],[End Date]]+2-TODAY()</f>
        <v>-46242</v>
      </c>
      <c r="Z371" s="13">
        <f>IF(ISBLANK(Table24[[#This Row],[Roster Received By]]),1,0)</f>
        <v>1</v>
      </c>
      <c r="AA371" s="59">
        <f ca="1">IF(Table24[[#This Row],[Start Date]]&gt;TODAY(),1,)</f>
        <v>0</v>
      </c>
    </row>
    <row r="372" spans="1:27" s="46" customFormat="1" x14ac:dyDescent="0.25">
      <c r="B372" s="75"/>
      <c r="C372" s="59" t="e">
        <v>#N/A</v>
      </c>
      <c r="D372" s="59" t="e">
        <v>#N/A</v>
      </c>
      <c r="E372" s="48"/>
      <c r="F372" s="57"/>
      <c r="G372" s="57"/>
      <c r="H372" s="49"/>
      <c r="I372" s="60"/>
      <c r="J372" s="60"/>
      <c r="K372" s="60"/>
      <c r="L372" s="60"/>
      <c r="M372" s="60"/>
      <c r="N372" s="60"/>
      <c r="O372" s="58"/>
      <c r="P372" s="58"/>
      <c r="Q372" s="13" t="e">
        <v>#N/A</v>
      </c>
      <c r="R372" s="13" t="e">
        <v>#N/A</v>
      </c>
      <c r="S372" s="13"/>
      <c r="T372" s="62"/>
      <c r="U372" s="13"/>
      <c r="V372" s="13"/>
      <c r="W372" s="59"/>
      <c r="X372" s="58"/>
      <c r="Y372" s="68">
        <f ca="1">Table24[[#This Row],[End Date]]+2-TODAY()</f>
        <v>-46242</v>
      </c>
      <c r="Z372" s="13">
        <f>IF(ISBLANK(Table24[[#This Row],[Roster Received By]]),1,0)</f>
        <v>1</v>
      </c>
      <c r="AA372" s="59">
        <f ca="1">IF(Table24[[#This Row],[Start Date]]&gt;TODAY(),1,)</f>
        <v>0</v>
      </c>
    </row>
    <row r="373" spans="1:27" s="46" customFormat="1" x14ac:dyDescent="0.25">
      <c r="B373" s="75"/>
      <c r="C373" s="59" t="e">
        <v>#N/A</v>
      </c>
      <c r="D373" s="59" t="e">
        <v>#N/A</v>
      </c>
      <c r="E373" s="75"/>
      <c r="F373" s="69"/>
      <c r="G373" s="69"/>
      <c r="H373" s="64"/>
      <c r="I373" s="64"/>
      <c r="J373" s="61"/>
      <c r="K373" s="61"/>
      <c r="L373" s="61"/>
      <c r="M373" s="61"/>
      <c r="N373" s="61"/>
      <c r="O373" s="58"/>
      <c r="P373" s="58"/>
      <c r="Q373" s="13" t="e">
        <v>#N/A</v>
      </c>
      <c r="R373" s="13" t="e">
        <v>#N/A</v>
      </c>
      <c r="S373" s="13"/>
      <c r="T373" s="62"/>
      <c r="U373" s="13"/>
      <c r="V373" s="13"/>
      <c r="W373" s="59"/>
      <c r="X373" s="58"/>
      <c r="Y373" s="68">
        <f ca="1">Table24[[#This Row],[End Date]]+2-TODAY()</f>
        <v>-46242</v>
      </c>
      <c r="Z373" s="13">
        <f>IF(ISBLANK(Table24[[#This Row],[Roster Received By]]),1,0)</f>
        <v>1</v>
      </c>
      <c r="AA373" s="59">
        <f ca="1">IF(Table24[[#This Row],[Start Date]]&gt;TODAY(),1,)</f>
        <v>0</v>
      </c>
    </row>
    <row r="374" spans="1:27" s="46" customFormat="1" x14ac:dyDescent="0.25">
      <c r="A374" s="58"/>
      <c r="B374" s="75"/>
      <c r="C374" s="59" t="e">
        <v>#N/A</v>
      </c>
      <c r="D374" s="59" t="e">
        <v>#N/A</v>
      </c>
      <c r="E374" s="75"/>
      <c r="F374" s="69"/>
      <c r="G374" s="69"/>
      <c r="H374" s="64"/>
      <c r="I374" s="64"/>
      <c r="J374" s="61"/>
      <c r="K374" s="61"/>
      <c r="L374" s="61"/>
      <c r="M374" s="61"/>
      <c r="N374" s="61"/>
      <c r="O374" s="58"/>
      <c r="P374" s="58"/>
      <c r="Q374" s="13" t="e">
        <v>#N/A</v>
      </c>
      <c r="R374" s="13" t="e">
        <v>#N/A</v>
      </c>
      <c r="S374" s="13"/>
      <c r="T374" s="62"/>
      <c r="U374" s="13"/>
      <c r="V374" s="13"/>
      <c r="W374" s="59"/>
      <c r="X374" s="58"/>
      <c r="Y374" s="68">
        <f ca="1">Table24[[#This Row],[End Date]]+2-TODAY()</f>
        <v>-46242</v>
      </c>
      <c r="Z374" s="13">
        <f>IF(ISBLANK(Table24[[#This Row],[Roster Received By]]),1,0)</f>
        <v>1</v>
      </c>
      <c r="AA374" s="59">
        <f ca="1">IF(Table24[[#This Row],[Start Date]]&gt;TODAY(),1,)</f>
        <v>0</v>
      </c>
    </row>
    <row r="375" spans="1:27" s="46" customFormat="1" x14ac:dyDescent="0.25">
      <c r="B375" s="75"/>
      <c r="C375" s="59" t="e">
        <v>#N/A</v>
      </c>
      <c r="D375" s="59" t="e">
        <v>#N/A</v>
      </c>
      <c r="E375" s="48"/>
      <c r="F375" s="69"/>
      <c r="G375" s="69"/>
      <c r="H375" s="64"/>
      <c r="I375" s="64"/>
      <c r="J375" s="61"/>
      <c r="K375" s="61"/>
      <c r="L375" s="61"/>
      <c r="M375" s="61"/>
      <c r="N375" s="61"/>
      <c r="O375" s="58"/>
      <c r="P375" s="58"/>
      <c r="Q375" s="13" t="e">
        <v>#N/A</v>
      </c>
      <c r="R375" s="13" t="e">
        <v>#N/A</v>
      </c>
      <c r="S375" s="13"/>
      <c r="T375" s="62"/>
      <c r="U375" s="13"/>
      <c r="V375" s="13"/>
      <c r="W375" s="59"/>
      <c r="X375" s="58"/>
      <c r="Y375" s="68">
        <f ca="1">Table24[[#This Row],[End Date]]+2-TODAY()</f>
        <v>-46242</v>
      </c>
      <c r="Z375" s="13">
        <f>IF(ISBLANK(Table24[[#This Row],[Roster Received By]]),1,0)</f>
        <v>1</v>
      </c>
      <c r="AA375" s="59">
        <f ca="1">IF(Table24[[#This Row],[Start Date]]&gt;TODAY(),1,)</f>
        <v>0</v>
      </c>
    </row>
    <row r="376" spans="1:27" s="46" customFormat="1" x14ac:dyDescent="0.25">
      <c r="B376" s="75"/>
      <c r="C376" s="59" t="e">
        <v>#N/A</v>
      </c>
      <c r="D376" s="59" t="e">
        <v>#N/A</v>
      </c>
      <c r="E376" s="75"/>
      <c r="F376" s="69"/>
      <c r="G376" s="69"/>
      <c r="H376" s="64"/>
      <c r="I376" s="64"/>
      <c r="J376" s="61"/>
      <c r="K376" s="61"/>
      <c r="L376" s="61"/>
      <c r="M376" s="61"/>
      <c r="N376" s="61"/>
      <c r="O376" s="58"/>
      <c r="P376" s="58"/>
      <c r="Q376" s="13" t="e">
        <v>#N/A</v>
      </c>
      <c r="R376" s="13" t="e">
        <v>#N/A</v>
      </c>
      <c r="S376" s="13"/>
      <c r="T376" s="62"/>
      <c r="U376" s="13"/>
      <c r="V376" s="13"/>
      <c r="W376" s="59"/>
      <c r="X376" s="58"/>
      <c r="Y376" s="68">
        <f ca="1">Table24[[#This Row],[End Date]]+2-TODAY()</f>
        <v>-46242</v>
      </c>
      <c r="Z376" s="13">
        <f>IF(ISBLANK(Table24[[#This Row],[Roster Received By]]),1,0)</f>
        <v>1</v>
      </c>
      <c r="AA376" s="59">
        <f ca="1">IF(Table24[[#This Row],[Start Date]]&gt;TODAY(),1,)</f>
        <v>0</v>
      </c>
    </row>
    <row r="377" spans="1:27" s="46" customFormat="1" x14ac:dyDescent="0.25">
      <c r="B377" s="75"/>
      <c r="C377" s="59" t="e">
        <v>#N/A</v>
      </c>
      <c r="D377" s="59" t="e">
        <v>#N/A</v>
      </c>
      <c r="E377" s="75"/>
      <c r="F377" s="69"/>
      <c r="G377" s="69"/>
      <c r="H377" s="61"/>
      <c r="I377" s="60"/>
      <c r="J377" s="60"/>
      <c r="K377" s="60"/>
      <c r="L377" s="60"/>
      <c r="M377" s="60"/>
      <c r="N377" s="60"/>
      <c r="O377" s="58"/>
      <c r="P377" s="58"/>
      <c r="Q377" s="13" t="e">
        <v>#N/A</v>
      </c>
      <c r="R377" s="13" t="e">
        <v>#N/A</v>
      </c>
      <c r="S377" s="13"/>
      <c r="T377" s="62"/>
      <c r="U377" s="13"/>
      <c r="V377" s="13"/>
      <c r="W377" s="59"/>
      <c r="X377" s="58"/>
      <c r="Y377" s="68">
        <f ca="1">Table24[[#This Row],[End Date]]+2-TODAY()</f>
        <v>-46242</v>
      </c>
      <c r="Z377" s="13">
        <f>IF(ISBLANK(Table24[[#This Row],[Roster Received By]]),1,0)</f>
        <v>1</v>
      </c>
      <c r="AA377" s="59">
        <f ca="1">IF(Table24[[#This Row],[Start Date]]&gt;TODAY(),1,)</f>
        <v>0</v>
      </c>
    </row>
    <row r="378" spans="1:27" s="46" customFormat="1" x14ac:dyDescent="0.25">
      <c r="B378" s="75"/>
      <c r="C378" s="59" t="e">
        <v>#N/A</v>
      </c>
      <c r="D378" s="59" t="e">
        <v>#N/A</v>
      </c>
      <c r="E378" s="75"/>
      <c r="F378" s="69"/>
      <c r="G378" s="69"/>
      <c r="H378" s="61"/>
      <c r="I378" s="60"/>
      <c r="J378" s="60"/>
      <c r="K378" s="60"/>
      <c r="L378" s="60"/>
      <c r="M378" s="60"/>
      <c r="N378" s="60"/>
      <c r="O378" s="58"/>
      <c r="P378" s="58"/>
      <c r="Q378" s="13" t="e">
        <v>#N/A</v>
      </c>
      <c r="R378" s="13" t="e">
        <v>#N/A</v>
      </c>
      <c r="S378" s="13"/>
      <c r="T378" s="62"/>
      <c r="U378" s="13"/>
      <c r="V378" s="13"/>
      <c r="W378" s="59"/>
      <c r="X378" s="58"/>
      <c r="Y378" s="68">
        <f ca="1">Table24[[#This Row],[End Date]]+2-TODAY()</f>
        <v>-46242</v>
      </c>
      <c r="Z378" s="13">
        <f>IF(ISBLANK(Table24[[#This Row],[Roster Received By]]),1,0)</f>
        <v>1</v>
      </c>
      <c r="AA378" s="59">
        <f ca="1">IF(Table24[[#This Row],[Start Date]]&gt;TODAY(),1,)</f>
        <v>0</v>
      </c>
    </row>
    <row r="379" spans="1:27" s="46" customFormat="1" x14ac:dyDescent="0.25">
      <c r="B379" s="85"/>
      <c r="C379" s="59" t="e">
        <v>#N/A</v>
      </c>
      <c r="D379" s="59" t="e">
        <v>#N/A</v>
      </c>
      <c r="E379" s="75"/>
      <c r="F379" s="69"/>
      <c r="G379" s="69"/>
      <c r="H379" s="61"/>
      <c r="I379" s="60"/>
      <c r="J379" s="60"/>
      <c r="K379" s="60"/>
      <c r="L379" s="60"/>
      <c r="M379" s="60"/>
      <c r="N379" s="60"/>
      <c r="O379" s="58"/>
      <c r="P379" s="58"/>
      <c r="Q379" s="13" t="e">
        <v>#N/A</v>
      </c>
      <c r="R379" s="13" t="e">
        <v>#N/A</v>
      </c>
      <c r="S379" s="13"/>
      <c r="T379" s="62"/>
      <c r="U379" s="13"/>
      <c r="V379" s="13"/>
      <c r="W379" s="59"/>
      <c r="X379" s="58"/>
      <c r="Y379" s="68">
        <f ca="1">Table24[[#This Row],[End Date]]+2-TODAY()</f>
        <v>-46242</v>
      </c>
      <c r="Z379" s="13">
        <f>IF(ISBLANK(Table24[[#This Row],[Roster Received By]]),1,0)</f>
        <v>1</v>
      </c>
      <c r="AA379" s="59">
        <f ca="1">IF(Table24[[#This Row],[Start Date]]&gt;TODAY(),1,)</f>
        <v>0</v>
      </c>
    </row>
    <row r="380" spans="1:27" s="46" customFormat="1" x14ac:dyDescent="0.25">
      <c r="B380" s="75"/>
      <c r="C380" s="59" t="e">
        <v>#N/A</v>
      </c>
      <c r="D380" s="59" t="e">
        <v>#N/A</v>
      </c>
      <c r="E380" s="58"/>
      <c r="F380" s="61"/>
      <c r="G380" s="61"/>
      <c r="H380" s="64"/>
      <c r="I380" s="64"/>
      <c r="J380" s="61"/>
      <c r="K380" s="61"/>
      <c r="L380" s="61"/>
      <c r="M380" s="61"/>
      <c r="N380" s="61"/>
      <c r="O380" s="58"/>
      <c r="P380" s="58"/>
      <c r="Q380" s="13" t="e">
        <v>#N/A</v>
      </c>
      <c r="R380" s="13" t="e">
        <v>#N/A</v>
      </c>
      <c r="S380" s="62"/>
      <c r="T380" s="62"/>
      <c r="U380" s="13"/>
      <c r="V380" s="13"/>
      <c r="W380" s="59"/>
      <c r="X380" s="58"/>
      <c r="Y380" s="68">
        <f ca="1">Table24[[#This Row],[End Date]]+2-TODAY()</f>
        <v>-46242</v>
      </c>
      <c r="Z380" s="13">
        <f>IF(ISBLANK(Table24[[#This Row],[Roster Received By]]),1,0)</f>
        <v>1</v>
      </c>
      <c r="AA380" s="59">
        <f ca="1">IF(Table24[[#This Row],[Start Date]]&gt;TODAY(),1,)</f>
        <v>0</v>
      </c>
    </row>
    <row r="381" spans="1:27" s="46" customFormat="1" x14ac:dyDescent="0.25">
      <c r="B381" s="48"/>
      <c r="C381" s="59" t="e">
        <v>#N/A</v>
      </c>
      <c r="D381" s="59" t="e">
        <v>#N/A</v>
      </c>
      <c r="E381" s="50"/>
      <c r="F381" s="49"/>
      <c r="G381" s="49"/>
      <c r="H381" s="60"/>
      <c r="I381" s="60"/>
      <c r="J381" s="61"/>
      <c r="K381" s="61"/>
      <c r="L381" s="61"/>
      <c r="M381" s="61"/>
      <c r="N381" s="61"/>
      <c r="O381" s="58"/>
      <c r="P381" s="58"/>
      <c r="Q381" s="13" t="e">
        <v>#N/A</v>
      </c>
      <c r="R381" s="13" t="e">
        <v>#N/A</v>
      </c>
      <c r="S381" s="13"/>
      <c r="T381" s="62"/>
      <c r="U381" s="13"/>
      <c r="V381" s="13"/>
      <c r="W381" s="59"/>
      <c r="X381" s="58"/>
      <c r="Y381" s="68">
        <f ca="1">Table24[[#This Row],[End Date]]+2-TODAY()</f>
        <v>-46242</v>
      </c>
      <c r="Z381" s="13">
        <f>IF(ISBLANK(Table24[[#This Row],[Roster Received By]]),1,0)</f>
        <v>1</v>
      </c>
      <c r="AA381" s="59">
        <f ca="1">IF(Table24[[#This Row],[Start Date]]&gt;TODAY(),1,)</f>
        <v>0</v>
      </c>
    </row>
    <row r="382" spans="1:27" s="46" customFormat="1" x14ac:dyDescent="0.25">
      <c r="A382" s="58"/>
      <c r="B382" s="75"/>
      <c r="C382" s="59" t="e">
        <v>#N/A</v>
      </c>
      <c r="D382" s="59" t="e">
        <v>#N/A</v>
      </c>
      <c r="E382" s="81"/>
      <c r="F382" s="61"/>
      <c r="G382" s="61"/>
      <c r="H382" s="61"/>
      <c r="I382" s="60"/>
      <c r="J382" s="60"/>
      <c r="K382" s="60"/>
      <c r="L382" s="60"/>
      <c r="M382" s="60"/>
      <c r="N382" s="60"/>
      <c r="O382" s="58"/>
      <c r="P382" s="58"/>
      <c r="Q382" s="13" t="e">
        <v>#N/A</v>
      </c>
      <c r="R382" s="13" t="e">
        <v>#N/A</v>
      </c>
      <c r="S382" s="13"/>
      <c r="T382" s="62"/>
      <c r="U382" s="13"/>
      <c r="V382" s="13"/>
      <c r="W382" s="59"/>
      <c r="X382" s="58"/>
      <c r="Y382" s="68">
        <f ca="1">Table24[[#This Row],[End Date]]+2-TODAY()</f>
        <v>-46242</v>
      </c>
      <c r="Z382" s="13">
        <f>IF(ISBLANK(Table24[[#This Row],[Roster Received By]]),1,0)</f>
        <v>1</v>
      </c>
      <c r="AA382" s="59">
        <f ca="1">IF(Table24[[#This Row],[Start Date]]&gt;TODAY(),1,)</f>
        <v>0</v>
      </c>
    </row>
    <row r="383" spans="1:27" s="46" customFormat="1" x14ac:dyDescent="0.25">
      <c r="B383" s="75"/>
      <c r="C383" s="59" t="e">
        <v>#N/A</v>
      </c>
      <c r="D383" s="59" t="e">
        <v>#N/A</v>
      </c>
      <c r="E383" s="50"/>
      <c r="F383" s="49"/>
      <c r="G383" s="49"/>
      <c r="H383" s="49"/>
      <c r="I383" s="60"/>
      <c r="J383" s="60"/>
      <c r="K383" s="60"/>
      <c r="L383" s="60"/>
      <c r="M383" s="60"/>
      <c r="N383" s="60"/>
      <c r="O383" s="58"/>
      <c r="P383" s="58"/>
      <c r="Q383" s="13" t="e">
        <v>#N/A</v>
      </c>
      <c r="R383" s="13" t="e">
        <v>#N/A</v>
      </c>
      <c r="S383" s="13"/>
      <c r="T383" s="62"/>
      <c r="U383" s="13"/>
      <c r="V383" s="13"/>
      <c r="W383" s="59"/>
      <c r="X383" s="58"/>
      <c r="Y383" s="68">
        <f ca="1">Table24[[#This Row],[End Date]]+2-TODAY()</f>
        <v>-46242</v>
      </c>
      <c r="Z383" s="13">
        <f>IF(ISBLANK(Table24[[#This Row],[Roster Received By]]),1,0)</f>
        <v>1</v>
      </c>
      <c r="AA383" s="59">
        <f ca="1">IF(Table24[[#This Row],[Start Date]]&gt;TODAY(),1,)</f>
        <v>0</v>
      </c>
    </row>
    <row r="384" spans="1:27" s="46" customFormat="1" x14ac:dyDescent="0.25">
      <c r="B384" s="75"/>
      <c r="C384" s="59" t="e">
        <v>#N/A</v>
      </c>
      <c r="D384" s="59" t="e">
        <v>#N/A</v>
      </c>
      <c r="E384" s="50"/>
      <c r="F384" s="49"/>
      <c r="G384" s="49"/>
      <c r="H384" s="49"/>
      <c r="I384" s="60"/>
      <c r="J384" s="60"/>
      <c r="K384" s="60"/>
      <c r="L384" s="60"/>
      <c r="M384" s="60"/>
      <c r="N384" s="60"/>
      <c r="O384" s="58"/>
      <c r="P384" s="58"/>
      <c r="Q384" s="13" t="e">
        <v>#N/A</v>
      </c>
      <c r="R384" s="13" t="e">
        <v>#N/A</v>
      </c>
      <c r="S384" s="13"/>
      <c r="T384" s="62"/>
      <c r="U384" s="13"/>
      <c r="V384" s="13"/>
      <c r="W384" s="59"/>
      <c r="X384" s="58"/>
      <c r="Y384" s="68">
        <f ca="1">Table24[[#This Row],[End Date]]+2-TODAY()</f>
        <v>-46242</v>
      </c>
      <c r="Z384" s="13">
        <f>IF(ISBLANK(Table24[[#This Row],[Roster Received By]]),1,0)</f>
        <v>1</v>
      </c>
      <c r="AA384" s="59">
        <f ca="1">IF(Table24[[#This Row],[Start Date]]&gt;TODAY(),1,)</f>
        <v>0</v>
      </c>
    </row>
    <row r="385" spans="1:27" s="46" customFormat="1" x14ac:dyDescent="0.25">
      <c r="B385" s="75"/>
      <c r="C385" s="59" t="e">
        <v>#N/A</v>
      </c>
      <c r="D385" s="59" t="e">
        <v>#N/A</v>
      </c>
      <c r="E385" s="50"/>
      <c r="F385" s="49"/>
      <c r="G385" s="49"/>
      <c r="H385" s="60"/>
      <c r="I385" s="60"/>
      <c r="J385" s="61"/>
      <c r="K385" s="61"/>
      <c r="L385" s="61"/>
      <c r="M385" s="61"/>
      <c r="N385" s="61"/>
      <c r="O385" s="58"/>
      <c r="P385" s="58"/>
      <c r="Q385" s="13" t="e">
        <v>#N/A</v>
      </c>
      <c r="R385" s="13" t="e">
        <v>#N/A</v>
      </c>
      <c r="S385" s="13"/>
      <c r="T385" s="62"/>
      <c r="U385" s="13"/>
      <c r="V385" s="13"/>
      <c r="W385" s="59"/>
      <c r="X385" s="58"/>
      <c r="Y385" s="68">
        <f ca="1">Table24[[#This Row],[End Date]]+2-TODAY()</f>
        <v>-46242</v>
      </c>
      <c r="Z385" s="13">
        <f>IF(ISBLANK(Table24[[#This Row],[Roster Received By]]),1,0)</f>
        <v>1</v>
      </c>
      <c r="AA385" s="59">
        <f ca="1">IF(Table24[[#This Row],[Start Date]]&gt;TODAY(),1,)</f>
        <v>0</v>
      </c>
    </row>
    <row r="386" spans="1:27" s="46" customFormat="1" x14ac:dyDescent="0.25">
      <c r="B386" s="75"/>
      <c r="C386" s="59" t="e">
        <v>#N/A</v>
      </c>
      <c r="D386" s="59" t="e">
        <v>#N/A</v>
      </c>
      <c r="E386" s="58"/>
      <c r="F386" s="49"/>
      <c r="G386" s="61"/>
      <c r="H386" s="61"/>
      <c r="I386" s="60"/>
      <c r="J386" s="60"/>
      <c r="K386" s="60"/>
      <c r="L386" s="60"/>
      <c r="M386" s="60"/>
      <c r="N386" s="60"/>
      <c r="O386" s="58"/>
      <c r="P386" s="58"/>
      <c r="Q386" s="13" t="e">
        <v>#N/A</v>
      </c>
      <c r="R386" s="13" t="e">
        <v>#N/A</v>
      </c>
      <c r="S386" s="13"/>
      <c r="T386" s="62"/>
      <c r="U386" s="13"/>
      <c r="V386" s="13"/>
      <c r="W386" s="59"/>
      <c r="X386" s="58"/>
      <c r="Y386" s="68">
        <f ca="1">Table24[[#This Row],[End Date]]+2-TODAY()</f>
        <v>-46242</v>
      </c>
      <c r="Z386" s="13">
        <f>IF(ISBLANK(Table24[[#This Row],[Roster Received By]]),1,0)</f>
        <v>1</v>
      </c>
      <c r="AA386" s="59">
        <f ca="1">IF(Table24[[#This Row],[Start Date]]&gt;TODAY(),1,)</f>
        <v>0</v>
      </c>
    </row>
    <row r="387" spans="1:27" s="46" customFormat="1" x14ac:dyDescent="0.25">
      <c r="B387" s="75"/>
      <c r="C387" s="59" t="e">
        <v>#N/A</v>
      </c>
      <c r="D387" s="59" t="e">
        <v>#N/A</v>
      </c>
      <c r="E387" s="75"/>
      <c r="F387" s="61"/>
      <c r="G387" s="61"/>
      <c r="H387" s="61"/>
      <c r="I387" s="60"/>
      <c r="J387" s="60"/>
      <c r="K387" s="60"/>
      <c r="L387" s="60"/>
      <c r="M387" s="60"/>
      <c r="N387" s="60"/>
      <c r="O387" s="58"/>
      <c r="P387" s="58"/>
      <c r="Q387" s="13" t="e">
        <v>#N/A</v>
      </c>
      <c r="R387" s="13" t="e">
        <v>#N/A</v>
      </c>
      <c r="S387" s="13"/>
      <c r="T387" s="62"/>
      <c r="U387" s="13"/>
      <c r="V387" s="13"/>
      <c r="W387" s="59"/>
      <c r="X387" s="58"/>
      <c r="Y387" s="68">
        <f ca="1">Table24[[#This Row],[End Date]]+2-TODAY()</f>
        <v>-46242</v>
      </c>
      <c r="Z387" s="13">
        <f>IF(ISBLANK(Table24[[#This Row],[Roster Received By]]),1,0)</f>
        <v>1</v>
      </c>
      <c r="AA387" s="59">
        <f ca="1">IF(Table24[[#This Row],[Start Date]]&gt;TODAY(),1,)</f>
        <v>0</v>
      </c>
    </row>
    <row r="388" spans="1:27" s="46" customFormat="1" x14ac:dyDescent="0.25">
      <c r="B388" s="48"/>
      <c r="C388" s="59" t="e">
        <v>#N/A</v>
      </c>
      <c r="D388" s="59" t="e">
        <v>#N/A</v>
      </c>
      <c r="E388" s="50"/>
      <c r="F388" s="49"/>
      <c r="G388" s="49"/>
      <c r="H388" s="60"/>
      <c r="I388" s="60"/>
      <c r="J388" s="61"/>
      <c r="K388" s="61"/>
      <c r="L388" s="61"/>
      <c r="M388" s="61"/>
      <c r="N388" s="61"/>
      <c r="O388" s="58"/>
      <c r="P388" s="58"/>
      <c r="Q388" s="13" t="e">
        <v>#N/A</v>
      </c>
      <c r="R388" s="13" t="e">
        <v>#N/A</v>
      </c>
      <c r="S388" s="13"/>
      <c r="T388" s="62"/>
      <c r="U388" s="13"/>
      <c r="V388" s="13"/>
      <c r="W388" s="59"/>
      <c r="X388" s="58"/>
      <c r="Y388" s="68">
        <f ca="1">Table24[[#This Row],[End Date]]+2-TODAY()</f>
        <v>-46242</v>
      </c>
      <c r="Z388" s="13">
        <f>IF(ISBLANK(Table24[[#This Row],[Roster Received By]]),1,0)</f>
        <v>1</v>
      </c>
      <c r="AA388" s="59">
        <f ca="1">IF(Table24[[#This Row],[Start Date]]&gt;TODAY(),1,)</f>
        <v>0</v>
      </c>
    </row>
    <row r="389" spans="1:27" s="46" customFormat="1" x14ac:dyDescent="0.25">
      <c r="B389" s="75"/>
      <c r="C389" s="59" t="e">
        <v>#N/A</v>
      </c>
      <c r="D389" s="59" t="e">
        <v>#N/A</v>
      </c>
      <c r="E389" s="50"/>
      <c r="F389" s="61"/>
      <c r="G389" s="61"/>
      <c r="H389" s="64"/>
      <c r="I389" s="64"/>
      <c r="J389" s="61"/>
      <c r="K389" s="61"/>
      <c r="L389" s="61"/>
      <c r="M389" s="61"/>
      <c r="N389" s="61"/>
      <c r="O389" s="58"/>
      <c r="P389" s="58"/>
      <c r="Q389" s="13" t="e">
        <v>#N/A</v>
      </c>
      <c r="R389" s="13" t="e">
        <v>#N/A</v>
      </c>
      <c r="S389" s="13"/>
      <c r="T389" s="62"/>
      <c r="U389" s="13"/>
      <c r="V389" s="13"/>
      <c r="W389" s="59"/>
      <c r="X389" s="58"/>
      <c r="Y389" s="68">
        <f ca="1">Table24[[#This Row],[End Date]]+2-TODAY()</f>
        <v>-46242</v>
      </c>
      <c r="Z389" s="13">
        <f>IF(ISBLANK(Table24[[#This Row],[Roster Received By]]),1,0)</f>
        <v>1</v>
      </c>
      <c r="AA389" s="59">
        <f ca="1">IF(Table24[[#This Row],[Start Date]]&gt;TODAY(),1,)</f>
        <v>0</v>
      </c>
    </row>
    <row r="390" spans="1:27" s="46" customFormat="1" x14ac:dyDescent="0.25">
      <c r="A390" s="58"/>
      <c r="B390" s="58"/>
      <c r="C390" s="59" t="e">
        <v>#N/A</v>
      </c>
      <c r="D390" s="59" t="e">
        <v>#N/A</v>
      </c>
      <c r="E390" s="81"/>
      <c r="F390" s="61"/>
      <c r="G390" s="61"/>
      <c r="H390" s="61"/>
      <c r="I390" s="60"/>
      <c r="J390" s="60"/>
      <c r="K390" s="60"/>
      <c r="L390" s="60"/>
      <c r="M390" s="60"/>
      <c r="N390" s="60"/>
      <c r="O390" s="58"/>
      <c r="P390" s="58"/>
      <c r="Q390" s="13" t="e">
        <v>#N/A</v>
      </c>
      <c r="R390" s="13" t="e">
        <v>#N/A</v>
      </c>
      <c r="S390" s="13"/>
      <c r="T390" s="62"/>
      <c r="U390" s="13"/>
      <c r="V390" s="13"/>
      <c r="W390" s="59"/>
      <c r="X390" s="58"/>
      <c r="Y390" s="68">
        <f ca="1">Table24[[#This Row],[End Date]]+2-TODAY()</f>
        <v>-46242</v>
      </c>
      <c r="Z390" s="13">
        <f>IF(ISBLANK(Table24[[#This Row],[Roster Received By]]),1,0)</f>
        <v>1</v>
      </c>
      <c r="AA390" s="59">
        <f ca="1">IF(Table24[[#This Row],[Start Date]]&gt;TODAY(),1,)</f>
        <v>0</v>
      </c>
    </row>
    <row r="391" spans="1:27" s="46" customFormat="1" x14ac:dyDescent="0.25">
      <c r="B391" s="58"/>
      <c r="C391" s="59" t="e">
        <v>#N/A</v>
      </c>
      <c r="D391" s="59" t="e">
        <v>#N/A</v>
      </c>
      <c r="E391" s="81"/>
      <c r="F391" s="61"/>
      <c r="G391" s="61"/>
      <c r="H391" s="61"/>
      <c r="I391" s="60"/>
      <c r="J391" s="60"/>
      <c r="K391" s="60"/>
      <c r="L391" s="60"/>
      <c r="M391" s="60"/>
      <c r="N391" s="60"/>
      <c r="O391" s="58"/>
      <c r="P391" s="58"/>
      <c r="Q391" s="13" t="e">
        <v>#N/A</v>
      </c>
      <c r="R391" s="13" t="e">
        <v>#N/A</v>
      </c>
      <c r="S391" s="13"/>
      <c r="T391" s="62"/>
      <c r="U391" s="13"/>
      <c r="V391" s="13"/>
      <c r="W391" s="59"/>
      <c r="X391" s="58"/>
      <c r="Y391" s="68">
        <f ca="1">Table24[[#This Row],[End Date]]+2-TODAY()</f>
        <v>-46242</v>
      </c>
      <c r="Z391" s="13">
        <f>IF(ISBLANK(Table24[[#This Row],[Roster Received By]]),1,0)</f>
        <v>1</v>
      </c>
      <c r="AA391" s="59">
        <f ca="1">IF(Table24[[#This Row],[Start Date]]&gt;TODAY(),1,)</f>
        <v>0</v>
      </c>
    </row>
    <row r="392" spans="1:27" s="46" customFormat="1" x14ac:dyDescent="0.25">
      <c r="B392" s="75"/>
      <c r="C392" s="59" t="e">
        <v>#N/A</v>
      </c>
      <c r="D392" s="59" t="e">
        <v>#N/A</v>
      </c>
      <c r="E392" s="81"/>
      <c r="F392" s="61"/>
      <c r="G392" s="61"/>
      <c r="H392" s="61"/>
      <c r="I392" s="60"/>
      <c r="J392" s="60"/>
      <c r="K392" s="60"/>
      <c r="L392" s="60"/>
      <c r="M392" s="60"/>
      <c r="N392" s="60"/>
      <c r="O392" s="58"/>
      <c r="P392" s="58"/>
      <c r="Q392" s="13" t="e">
        <v>#N/A</v>
      </c>
      <c r="R392" s="13" t="e">
        <v>#N/A</v>
      </c>
      <c r="S392" s="13"/>
      <c r="T392" s="62"/>
      <c r="U392" s="13"/>
      <c r="V392" s="13"/>
      <c r="W392" s="59"/>
      <c r="X392" s="58"/>
      <c r="Y392" s="68">
        <f ca="1">Table24[[#This Row],[End Date]]+2-TODAY()</f>
        <v>-46242</v>
      </c>
      <c r="Z392" s="13">
        <f>IF(ISBLANK(Table24[[#This Row],[Roster Received By]]),1,0)</f>
        <v>1</v>
      </c>
      <c r="AA392" s="59">
        <f ca="1">IF(Table24[[#This Row],[Start Date]]&gt;TODAY(),1,)</f>
        <v>0</v>
      </c>
    </row>
    <row r="393" spans="1:27" s="46" customFormat="1" x14ac:dyDescent="0.25">
      <c r="B393" s="75"/>
      <c r="C393" s="59" t="e">
        <v>#N/A</v>
      </c>
      <c r="D393" s="59" t="e">
        <v>#N/A</v>
      </c>
      <c r="E393" s="50"/>
      <c r="F393" s="61"/>
      <c r="G393" s="61"/>
      <c r="H393" s="67"/>
      <c r="I393" s="67"/>
      <c r="J393" s="61"/>
      <c r="K393" s="61"/>
      <c r="L393" s="61"/>
      <c r="M393" s="61"/>
      <c r="N393" s="61"/>
      <c r="O393" s="58"/>
      <c r="P393" s="58"/>
      <c r="Q393" s="13" t="e">
        <v>#N/A</v>
      </c>
      <c r="R393" s="13" t="e">
        <v>#N/A</v>
      </c>
      <c r="S393" s="13"/>
      <c r="T393" s="62"/>
      <c r="U393" s="13"/>
      <c r="V393" s="13"/>
      <c r="W393" s="59"/>
      <c r="X393" s="58"/>
      <c r="Y393" s="68">
        <f ca="1">Table24[[#This Row],[End Date]]+2-TODAY()</f>
        <v>-46242</v>
      </c>
      <c r="Z393" s="13">
        <f>IF(ISBLANK(Table24[[#This Row],[Roster Received By]]),1,0)</f>
        <v>1</v>
      </c>
      <c r="AA393" s="59">
        <f ca="1">IF(Table24[[#This Row],[Start Date]]&gt;TODAY(),1,)</f>
        <v>0</v>
      </c>
    </row>
    <row r="394" spans="1:27" s="46" customFormat="1" x14ac:dyDescent="0.25">
      <c r="B394" s="58"/>
      <c r="C394" s="59" t="e">
        <v>#N/A</v>
      </c>
      <c r="D394" s="59" t="e">
        <v>#N/A</v>
      </c>
      <c r="E394" s="58"/>
      <c r="F394" s="61"/>
      <c r="G394" s="61"/>
      <c r="H394" s="61"/>
      <c r="I394" s="60"/>
      <c r="J394" s="60"/>
      <c r="K394" s="60"/>
      <c r="L394" s="60"/>
      <c r="M394" s="60"/>
      <c r="N394" s="60"/>
      <c r="O394" s="58"/>
      <c r="P394" s="58"/>
      <c r="Q394" s="13" t="e">
        <v>#N/A</v>
      </c>
      <c r="R394" s="13" t="e">
        <v>#N/A</v>
      </c>
      <c r="S394" s="13"/>
      <c r="T394" s="62"/>
      <c r="U394" s="13"/>
      <c r="V394" s="13"/>
      <c r="W394" s="59"/>
      <c r="X394" s="58"/>
      <c r="Y394" s="68">
        <f ca="1">Table24[[#This Row],[End Date]]+2-TODAY()</f>
        <v>-46242</v>
      </c>
      <c r="Z394" s="13">
        <f>IF(ISBLANK(Table24[[#This Row],[Roster Received By]]),1,0)</f>
        <v>1</v>
      </c>
      <c r="AA394" s="59">
        <f ca="1">IF(Table24[[#This Row],[Start Date]]&gt;TODAY(),1,)</f>
        <v>0</v>
      </c>
    </row>
    <row r="395" spans="1:27" s="46" customFormat="1" x14ac:dyDescent="0.25">
      <c r="A395" s="58"/>
      <c r="B395" s="58"/>
      <c r="C395" s="59" t="e">
        <v>#N/A</v>
      </c>
      <c r="D395" s="59" t="e">
        <v>#N/A</v>
      </c>
      <c r="E395" s="81"/>
      <c r="F395" s="61"/>
      <c r="G395" s="61"/>
      <c r="H395" s="61"/>
      <c r="I395" s="60"/>
      <c r="J395" s="60"/>
      <c r="K395" s="60"/>
      <c r="L395" s="60"/>
      <c r="M395" s="60"/>
      <c r="N395" s="60"/>
      <c r="O395" s="58"/>
      <c r="P395" s="58"/>
      <c r="Q395" s="13" t="e">
        <v>#N/A</v>
      </c>
      <c r="R395" s="13" t="e">
        <v>#N/A</v>
      </c>
      <c r="S395" s="13"/>
      <c r="T395" s="62"/>
      <c r="U395" s="13"/>
      <c r="V395" s="13"/>
      <c r="W395" s="59"/>
      <c r="X395" s="58"/>
      <c r="Y395" s="68">
        <f ca="1">Table24[[#This Row],[End Date]]+2-TODAY()</f>
        <v>-46242</v>
      </c>
      <c r="Z395" s="13">
        <f>IF(ISBLANK(Table24[[#This Row],[Roster Received By]]),1,0)</f>
        <v>1</v>
      </c>
      <c r="AA395" s="59">
        <f ca="1">IF(Table24[[#This Row],[Start Date]]&gt;TODAY(),1,)</f>
        <v>0</v>
      </c>
    </row>
    <row r="396" spans="1:27" s="46" customFormat="1" x14ac:dyDescent="0.25">
      <c r="B396" s="58"/>
      <c r="C396" s="59" t="e">
        <v>#N/A</v>
      </c>
      <c r="D396" s="59" t="e">
        <v>#N/A</v>
      </c>
      <c r="E396" s="81"/>
      <c r="F396" s="61"/>
      <c r="G396" s="61"/>
      <c r="H396" s="64"/>
      <c r="I396" s="64"/>
      <c r="J396" s="61"/>
      <c r="K396" s="61"/>
      <c r="L396" s="84"/>
      <c r="M396" s="61"/>
      <c r="N396" s="61"/>
      <c r="O396" s="58"/>
      <c r="P396" s="58"/>
      <c r="Q396" s="13" t="e">
        <v>#N/A</v>
      </c>
      <c r="R396" s="13" t="e">
        <v>#N/A</v>
      </c>
      <c r="S396" s="62"/>
      <c r="T396" s="62"/>
      <c r="U396" s="13"/>
      <c r="V396" s="13"/>
      <c r="W396" s="59"/>
      <c r="X396" s="58"/>
      <c r="Y396" s="68">
        <f ca="1">Table24[[#This Row],[End Date]]+2-TODAY()</f>
        <v>-46242</v>
      </c>
      <c r="Z396" s="13">
        <f>IF(ISBLANK(Table24[[#This Row],[Roster Received By]]),1,0)</f>
        <v>1</v>
      </c>
      <c r="AA396" s="59">
        <f ca="1">IF(Table24[[#This Row],[Start Date]]&gt;TODAY(),1,)</f>
        <v>0</v>
      </c>
    </row>
    <row r="397" spans="1:27" s="46" customFormat="1" x14ac:dyDescent="0.25">
      <c r="B397" s="58"/>
      <c r="C397" s="59" t="e">
        <v>#N/A</v>
      </c>
      <c r="D397" s="59" t="e">
        <v>#N/A</v>
      </c>
      <c r="E397" s="81"/>
      <c r="F397" s="61"/>
      <c r="G397" s="61"/>
      <c r="H397" s="64"/>
      <c r="I397" s="64"/>
      <c r="J397" s="61"/>
      <c r="K397" s="61"/>
      <c r="L397" s="61"/>
      <c r="M397" s="61"/>
      <c r="N397" s="61"/>
      <c r="O397" s="58"/>
      <c r="P397" s="58"/>
      <c r="Q397" s="13" t="e">
        <v>#N/A</v>
      </c>
      <c r="R397" s="13" t="e">
        <v>#N/A</v>
      </c>
      <c r="S397" s="13"/>
      <c r="T397" s="62"/>
      <c r="U397" s="13"/>
      <c r="V397" s="13"/>
      <c r="W397" s="13"/>
      <c r="X397" s="58"/>
      <c r="Y397" s="51">
        <f ca="1">Table24[[#This Row],[End Date]]+2-TODAY()</f>
        <v>-46242</v>
      </c>
      <c r="Z397" s="13">
        <f>IF(ISBLANK(Table24[[#This Row],[Roster Received By]]),1,0)</f>
        <v>1</v>
      </c>
      <c r="AA397" s="13">
        <f ca="1">IF(Table24[[#This Row],[Start Date]]&gt;TODAY(),1,)</f>
        <v>0</v>
      </c>
    </row>
    <row r="398" spans="1:27" s="46" customFormat="1" x14ac:dyDescent="0.25">
      <c r="B398" s="58"/>
      <c r="C398" s="59" t="e">
        <v>#N/A</v>
      </c>
      <c r="D398" s="59" t="e">
        <v>#N/A</v>
      </c>
      <c r="E398" s="48"/>
      <c r="F398" s="49"/>
      <c r="G398" s="49"/>
      <c r="H398" s="60"/>
      <c r="I398" s="60"/>
      <c r="J398" s="61"/>
      <c r="K398" s="61"/>
      <c r="L398" s="61"/>
      <c r="M398" s="61"/>
      <c r="N398" s="61"/>
      <c r="O398" s="58"/>
      <c r="P398" s="58"/>
      <c r="Q398" s="13" t="e">
        <v>#N/A</v>
      </c>
      <c r="R398" s="13" t="e">
        <v>#N/A</v>
      </c>
      <c r="S398" s="13"/>
      <c r="T398" s="62"/>
      <c r="U398" s="13"/>
      <c r="V398" s="13"/>
      <c r="W398" s="13"/>
      <c r="X398" s="58"/>
      <c r="Y398" s="51">
        <f ca="1">Table24[[#This Row],[End Date]]+2-TODAY()</f>
        <v>-46242</v>
      </c>
      <c r="Z398" s="13">
        <f>IF(ISBLANK(Table24[[#This Row],[Roster Received By]]),1,0)</f>
        <v>1</v>
      </c>
      <c r="AA398" s="13">
        <f ca="1">IF(Table24[[#This Row],[Start Date]]&gt;TODAY(),1,)</f>
        <v>0</v>
      </c>
    </row>
    <row r="399" spans="1:27" s="46" customFormat="1" x14ac:dyDescent="0.25">
      <c r="B399" s="58"/>
      <c r="C399" s="59" t="e">
        <v>#N/A</v>
      </c>
      <c r="D399" s="59" t="e">
        <v>#N/A</v>
      </c>
      <c r="E399" s="50"/>
      <c r="F399" s="61"/>
      <c r="G399" s="61"/>
      <c r="H399" s="64"/>
      <c r="I399" s="64"/>
      <c r="J399" s="61"/>
      <c r="K399" s="61"/>
      <c r="L399" s="61"/>
      <c r="M399" s="61"/>
      <c r="N399" s="61"/>
      <c r="O399" s="58"/>
      <c r="P399" s="58"/>
      <c r="Q399" s="13" t="e">
        <v>#N/A</v>
      </c>
      <c r="R399" s="13" t="e">
        <v>#N/A</v>
      </c>
      <c r="S399" s="13"/>
      <c r="T399" s="62"/>
      <c r="U399" s="13"/>
      <c r="V399" s="13"/>
      <c r="W399" s="59"/>
      <c r="X399" s="58"/>
      <c r="Y399" s="68">
        <f ca="1">Table24[[#This Row],[End Date]]+2-TODAY()</f>
        <v>-46242</v>
      </c>
      <c r="Z399" s="13">
        <f>IF(ISBLANK(Table24[[#This Row],[Roster Received By]]),1,0)</f>
        <v>1</v>
      </c>
      <c r="AA399" s="59">
        <f ca="1">IF(Table24[[#This Row],[Start Date]]&gt;TODAY(),1,)</f>
        <v>0</v>
      </c>
    </row>
    <row r="400" spans="1:27" s="46" customFormat="1" x14ac:dyDescent="0.25">
      <c r="B400" s="75"/>
      <c r="C400" s="59" t="e">
        <v>#N/A</v>
      </c>
      <c r="D400" s="59" t="e">
        <v>#N/A</v>
      </c>
      <c r="E400" s="50"/>
      <c r="F400" s="61"/>
      <c r="G400" s="61"/>
      <c r="H400" s="64"/>
      <c r="I400" s="64"/>
      <c r="J400" s="61"/>
      <c r="K400" s="61"/>
      <c r="L400" s="61"/>
      <c r="M400" s="61"/>
      <c r="N400" s="61"/>
      <c r="O400" s="58"/>
      <c r="P400" s="58"/>
      <c r="Q400" s="13" t="e">
        <v>#N/A</v>
      </c>
      <c r="R400" s="13" t="e">
        <v>#N/A</v>
      </c>
      <c r="S400" s="13"/>
      <c r="T400" s="62"/>
      <c r="U400" s="13"/>
      <c r="V400" s="13"/>
      <c r="W400" s="59"/>
      <c r="X400" s="58"/>
      <c r="Y400" s="68">
        <f ca="1">Table24[[#This Row],[End Date]]+2-TODAY()</f>
        <v>-46242</v>
      </c>
      <c r="Z400" s="13">
        <f>IF(ISBLANK(Table24[[#This Row],[Roster Received By]]),1,0)</f>
        <v>1</v>
      </c>
      <c r="AA400" s="59">
        <f ca="1">IF(Table24[[#This Row],[Start Date]]&gt;TODAY(),1,)</f>
        <v>0</v>
      </c>
    </row>
    <row r="401" spans="1:27" s="46" customFormat="1" x14ac:dyDescent="0.25">
      <c r="B401" s="58"/>
      <c r="C401" s="59" t="e">
        <v>#N/A</v>
      </c>
      <c r="D401" s="59" t="e">
        <v>#N/A</v>
      </c>
      <c r="E401" s="81"/>
      <c r="F401" s="61"/>
      <c r="G401" s="61"/>
      <c r="H401" s="64"/>
      <c r="I401" s="64"/>
      <c r="J401" s="61"/>
      <c r="K401" s="61"/>
      <c r="L401" s="61"/>
      <c r="M401" s="61"/>
      <c r="N401" s="61"/>
      <c r="O401" s="58"/>
      <c r="P401" s="58"/>
      <c r="Q401" s="13" t="e">
        <v>#N/A</v>
      </c>
      <c r="R401" s="13" t="e">
        <v>#N/A</v>
      </c>
      <c r="S401" s="62"/>
      <c r="T401" s="62"/>
      <c r="U401" s="13"/>
      <c r="V401" s="13"/>
      <c r="W401" s="59"/>
      <c r="X401" s="58"/>
      <c r="Y401" s="68">
        <f ca="1">Table24[[#This Row],[End Date]]+2-TODAY()</f>
        <v>-46242</v>
      </c>
      <c r="Z401" s="13">
        <f>IF(ISBLANK(Table24[[#This Row],[Roster Received By]]),1,0)</f>
        <v>1</v>
      </c>
      <c r="AA401" s="59">
        <f ca="1">IF(Table24[[#This Row],[Start Date]]&gt;TODAY(),1,)</f>
        <v>0</v>
      </c>
    </row>
    <row r="402" spans="1:27" s="46" customFormat="1" x14ac:dyDescent="0.25">
      <c r="B402" s="58"/>
      <c r="C402" s="59" t="e">
        <v>#N/A</v>
      </c>
      <c r="D402" s="59" t="e">
        <v>#N/A</v>
      </c>
      <c r="E402" s="81"/>
      <c r="F402" s="61"/>
      <c r="G402" s="61"/>
      <c r="H402" s="64"/>
      <c r="I402" s="64"/>
      <c r="J402" s="64"/>
      <c r="K402" s="64"/>
      <c r="L402" s="64"/>
      <c r="M402" s="64"/>
      <c r="N402" s="64"/>
      <c r="O402" s="58"/>
      <c r="P402" s="58"/>
      <c r="Q402" s="13" t="e">
        <v>#N/A</v>
      </c>
      <c r="R402" s="13" t="e">
        <v>#N/A</v>
      </c>
      <c r="S402" s="13"/>
      <c r="T402" s="62"/>
      <c r="U402" s="13"/>
      <c r="V402" s="13"/>
      <c r="W402" s="13"/>
      <c r="X402" s="58"/>
      <c r="Y402" s="68">
        <f ca="1">Table24[[#This Row],[End Date]]+2-TODAY()</f>
        <v>-46242</v>
      </c>
      <c r="Z402" s="13">
        <f>IF(ISBLANK(Table24[[#This Row],[Roster Received By]]),1,0)</f>
        <v>1</v>
      </c>
      <c r="AA402" s="59">
        <f ca="1">IF(Table24[[#This Row],[Start Date]]&gt;TODAY(),1,)</f>
        <v>0</v>
      </c>
    </row>
    <row r="403" spans="1:27" s="46" customFormat="1" x14ac:dyDescent="0.25">
      <c r="B403" s="58"/>
      <c r="C403" s="59" t="e">
        <v>#N/A</v>
      </c>
      <c r="D403" s="59" t="e">
        <v>#N/A</v>
      </c>
      <c r="E403" s="58"/>
      <c r="F403" s="61"/>
      <c r="G403" s="61"/>
      <c r="H403" s="61"/>
      <c r="I403" s="60"/>
      <c r="J403" s="60"/>
      <c r="K403" s="60"/>
      <c r="L403" s="60"/>
      <c r="M403" s="60"/>
      <c r="N403" s="60"/>
      <c r="O403" s="58"/>
      <c r="P403" s="58"/>
      <c r="Q403" s="13" t="e">
        <v>#N/A</v>
      </c>
      <c r="R403" s="13" t="e">
        <v>#N/A</v>
      </c>
      <c r="S403" s="13"/>
      <c r="T403" s="62"/>
      <c r="U403" s="13"/>
      <c r="V403" s="13"/>
      <c r="W403" s="59"/>
      <c r="X403" s="58"/>
      <c r="Y403" s="68">
        <f ca="1">Table24[[#This Row],[End Date]]+2-TODAY()</f>
        <v>-46242</v>
      </c>
      <c r="Z403" s="13">
        <f>IF(ISBLANK(Table24[[#This Row],[Roster Received By]]),1,0)</f>
        <v>1</v>
      </c>
      <c r="AA403" s="59">
        <f ca="1">IF(Table24[[#This Row],[Start Date]]&gt;TODAY(),1,)</f>
        <v>0</v>
      </c>
    </row>
    <row r="404" spans="1:27" s="46" customFormat="1" x14ac:dyDescent="0.25">
      <c r="B404" s="58"/>
      <c r="C404" s="59" t="e">
        <v>#N/A</v>
      </c>
      <c r="D404" s="59" t="e">
        <v>#N/A</v>
      </c>
      <c r="E404" s="58"/>
      <c r="F404" s="61"/>
      <c r="G404" s="61"/>
      <c r="H404" s="64"/>
      <c r="I404" s="64"/>
      <c r="J404" s="64"/>
      <c r="K404" s="64"/>
      <c r="L404" s="64"/>
      <c r="M404" s="64"/>
      <c r="N404" s="61"/>
      <c r="O404" s="58"/>
      <c r="P404" s="58"/>
      <c r="Q404" s="13" t="e">
        <v>#N/A</v>
      </c>
      <c r="R404" s="13" t="e">
        <v>#N/A</v>
      </c>
      <c r="S404" s="13"/>
      <c r="T404" s="62"/>
      <c r="U404" s="13"/>
      <c r="V404" s="13"/>
      <c r="W404" s="59"/>
      <c r="X404" s="58"/>
      <c r="Y404" s="68">
        <f ca="1">Table24[[#This Row],[End Date]]+2-TODAY()</f>
        <v>-46242</v>
      </c>
      <c r="Z404" s="13">
        <f>IF(ISBLANK(Table24[[#This Row],[Roster Received By]]),1,0)</f>
        <v>1</v>
      </c>
      <c r="AA404" s="59">
        <f ca="1">IF(Table24[[#This Row],[Start Date]]&gt;TODAY(),1,)</f>
        <v>0</v>
      </c>
    </row>
    <row r="405" spans="1:27" s="46" customFormat="1" x14ac:dyDescent="0.25">
      <c r="B405" s="75"/>
      <c r="C405" s="59" t="e">
        <v>#N/A</v>
      </c>
      <c r="D405" s="59" t="e">
        <v>#N/A</v>
      </c>
      <c r="E405" s="58"/>
      <c r="F405" s="61"/>
      <c r="G405" s="61"/>
      <c r="H405" s="64"/>
      <c r="I405" s="64"/>
      <c r="J405" s="61"/>
      <c r="K405" s="61"/>
      <c r="L405" s="61"/>
      <c r="M405" s="61"/>
      <c r="N405" s="61"/>
      <c r="O405" s="58"/>
      <c r="P405" s="58"/>
      <c r="Q405" s="13" t="e">
        <v>#N/A</v>
      </c>
      <c r="R405" s="13" t="e">
        <v>#N/A</v>
      </c>
      <c r="S405" s="13"/>
      <c r="T405" s="62"/>
      <c r="U405" s="13"/>
      <c r="V405" s="13"/>
      <c r="W405" s="59"/>
      <c r="X405" s="58"/>
      <c r="Y405" s="68">
        <f ca="1">Table24[[#This Row],[End Date]]+2-TODAY()</f>
        <v>-46242</v>
      </c>
      <c r="Z405" s="13">
        <f>IF(ISBLANK(Table24[[#This Row],[Roster Received By]]),1,0)</f>
        <v>1</v>
      </c>
      <c r="AA405" s="59">
        <f ca="1">IF(Table24[[#This Row],[Start Date]]&gt;TODAY(),1,)</f>
        <v>0</v>
      </c>
    </row>
    <row r="406" spans="1:27" s="46" customFormat="1" x14ac:dyDescent="0.25">
      <c r="A406" s="101"/>
      <c r="B406" s="58"/>
      <c r="C406" s="59" t="e">
        <v>#N/A</v>
      </c>
      <c r="D406" s="59" t="e">
        <v>#N/A</v>
      </c>
      <c r="E406" s="58"/>
      <c r="F406" s="61"/>
      <c r="G406" s="61"/>
      <c r="H406" s="64"/>
      <c r="I406" s="64"/>
      <c r="J406" s="61"/>
      <c r="K406" s="61"/>
      <c r="L406" s="61"/>
      <c r="M406" s="61"/>
      <c r="N406" s="61"/>
      <c r="O406" s="58"/>
      <c r="P406" s="58"/>
      <c r="Q406" s="13" t="e">
        <v>#N/A</v>
      </c>
      <c r="R406" s="13" t="e">
        <v>#N/A</v>
      </c>
      <c r="S406" s="62"/>
      <c r="T406" s="62"/>
      <c r="U406" s="13"/>
      <c r="V406" s="13"/>
      <c r="W406" s="59"/>
      <c r="X406" s="58"/>
      <c r="Y406" s="68">
        <f ca="1">Table24[[#This Row],[End Date]]+2-TODAY()</f>
        <v>-46242</v>
      </c>
      <c r="Z406" s="13">
        <f>IF(ISBLANK(Table24[[#This Row],[Roster Received By]]),1,0)</f>
        <v>1</v>
      </c>
      <c r="AA406" s="59">
        <f ca="1">IF(Table24[[#This Row],[Start Date]]&gt;TODAY(),1,)</f>
        <v>0</v>
      </c>
    </row>
    <row r="407" spans="1:27" s="46" customFormat="1" x14ac:dyDescent="0.25">
      <c r="B407" s="58"/>
      <c r="C407" s="59" t="e">
        <v>#N/A</v>
      </c>
      <c r="D407" s="59" t="e">
        <v>#N/A</v>
      </c>
      <c r="E407" s="73"/>
      <c r="F407" s="74"/>
      <c r="G407" s="74"/>
      <c r="H407" s="74"/>
      <c r="I407" s="60"/>
      <c r="J407" s="60"/>
      <c r="K407" s="60"/>
      <c r="L407" s="60"/>
      <c r="M407" s="60"/>
      <c r="N407" s="60"/>
      <c r="O407" s="58"/>
      <c r="P407" s="58"/>
      <c r="Q407" s="13" t="e">
        <v>#N/A</v>
      </c>
      <c r="R407" s="13" t="e">
        <v>#N/A</v>
      </c>
      <c r="S407" s="13"/>
      <c r="T407" s="62"/>
      <c r="U407" s="13"/>
      <c r="V407" s="13"/>
      <c r="W407" s="59"/>
      <c r="X407" s="58"/>
      <c r="Y407" s="68">
        <f ca="1">Table24[[#This Row],[End Date]]+2-TODAY()</f>
        <v>-46242</v>
      </c>
      <c r="Z407" s="13">
        <f>IF(ISBLANK(Table24[[#This Row],[Roster Received By]]),1,0)</f>
        <v>1</v>
      </c>
      <c r="AA407" s="59">
        <f ca="1">IF(Table24[[#This Row],[Start Date]]&gt;TODAY(),1,)</f>
        <v>0</v>
      </c>
    </row>
    <row r="408" spans="1:27" s="46" customFormat="1" x14ac:dyDescent="0.25">
      <c r="B408" s="58"/>
      <c r="C408" s="59" t="e">
        <v>#N/A</v>
      </c>
      <c r="D408" s="59" t="e">
        <v>#N/A</v>
      </c>
      <c r="E408" s="47"/>
      <c r="F408" s="61"/>
      <c r="G408" s="61"/>
      <c r="H408" s="64"/>
      <c r="I408" s="64"/>
      <c r="J408" s="61"/>
      <c r="K408" s="61"/>
      <c r="L408" s="61"/>
      <c r="M408" s="61"/>
      <c r="N408" s="61"/>
      <c r="O408" s="58"/>
      <c r="P408" s="58"/>
      <c r="Q408" s="13" t="e">
        <v>#N/A</v>
      </c>
      <c r="R408" s="13" t="e">
        <v>#N/A</v>
      </c>
      <c r="S408" s="13"/>
      <c r="T408" s="62"/>
      <c r="U408" s="13"/>
      <c r="V408" s="13"/>
      <c r="W408" s="59"/>
      <c r="X408" s="58"/>
      <c r="Y408" s="68">
        <f ca="1">Table24[[#This Row],[End Date]]+2-TODAY()</f>
        <v>-46242</v>
      </c>
      <c r="Z408" s="13">
        <f>IF(ISBLANK(Table24[[#This Row],[Roster Received By]]),1,0)</f>
        <v>1</v>
      </c>
      <c r="AA408" s="59">
        <f ca="1">IF(Table24[[#This Row],[Start Date]]&gt;TODAY(),1,)</f>
        <v>0</v>
      </c>
    </row>
    <row r="409" spans="1:27" s="46" customFormat="1" x14ac:dyDescent="0.25">
      <c r="B409" s="58"/>
      <c r="C409" s="59" t="e">
        <v>#N/A</v>
      </c>
      <c r="D409" s="59" t="e">
        <v>#N/A</v>
      </c>
      <c r="E409" s="75"/>
      <c r="F409" s="69"/>
      <c r="G409" s="69"/>
      <c r="H409" s="64"/>
      <c r="I409" s="64"/>
      <c r="J409" s="61"/>
      <c r="K409" s="61"/>
      <c r="L409" s="61"/>
      <c r="M409" s="61"/>
      <c r="N409" s="61"/>
      <c r="O409" s="58"/>
      <c r="P409" s="58"/>
      <c r="Q409" s="13" t="e">
        <v>#N/A</v>
      </c>
      <c r="R409" s="13" t="e">
        <v>#N/A</v>
      </c>
      <c r="S409" s="13"/>
      <c r="T409" s="62"/>
      <c r="U409" s="13"/>
      <c r="V409" s="13"/>
      <c r="W409" s="59"/>
      <c r="X409" s="58"/>
      <c r="Y409" s="68">
        <f ca="1">Table24[[#This Row],[End Date]]+2-TODAY()</f>
        <v>-46242</v>
      </c>
      <c r="Z409" s="13">
        <f>IF(ISBLANK(Table24[[#This Row],[Roster Received By]]),1,0)</f>
        <v>1</v>
      </c>
      <c r="AA409" s="59">
        <f ca="1">IF(Table24[[#This Row],[Start Date]]&gt;TODAY(),1,)</f>
        <v>0</v>
      </c>
    </row>
    <row r="410" spans="1:27" s="46" customFormat="1" x14ac:dyDescent="0.25">
      <c r="B410" s="58"/>
      <c r="C410" s="59" t="e">
        <v>#N/A</v>
      </c>
      <c r="D410" s="59" t="e">
        <v>#N/A</v>
      </c>
      <c r="E410" s="75"/>
      <c r="F410" s="69"/>
      <c r="G410" s="69"/>
      <c r="H410" s="64"/>
      <c r="I410" s="64"/>
      <c r="J410" s="64"/>
      <c r="K410" s="64"/>
      <c r="L410" s="64"/>
      <c r="M410" s="64"/>
      <c r="N410" s="61"/>
      <c r="O410" s="58"/>
      <c r="P410" s="58"/>
      <c r="Q410" s="13" t="e">
        <v>#N/A</v>
      </c>
      <c r="R410" s="13" t="e">
        <v>#N/A</v>
      </c>
      <c r="S410" s="13"/>
      <c r="T410" s="62"/>
      <c r="U410" s="13"/>
      <c r="V410" s="13"/>
      <c r="W410" s="59"/>
      <c r="X410" s="58"/>
      <c r="Y410" s="68">
        <f ca="1">Table24[[#This Row],[End Date]]+2-TODAY()</f>
        <v>-46242</v>
      </c>
      <c r="Z410" s="13">
        <f>IF(ISBLANK(Table24[[#This Row],[Roster Received By]]),1,0)</f>
        <v>1</v>
      </c>
      <c r="AA410" s="59">
        <f ca="1">IF(Table24[[#This Row],[Start Date]]&gt;TODAY(),1,)</f>
        <v>0</v>
      </c>
    </row>
    <row r="411" spans="1:27" s="46" customFormat="1" x14ac:dyDescent="0.25">
      <c r="B411" s="58"/>
      <c r="C411" s="59" t="e">
        <v>#N/A</v>
      </c>
      <c r="D411" s="59" t="e">
        <v>#N/A</v>
      </c>
      <c r="E411" s="48"/>
      <c r="F411" s="57"/>
      <c r="G411" s="69"/>
      <c r="H411" s="64"/>
      <c r="I411" s="64"/>
      <c r="J411" s="61"/>
      <c r="K411" s="61"/>
      <c r="L411" s="61"/>
      <c r="M411" s="61"/>
      <c r="N411" s="61"/>
      <c r="O411" s="58"/>
      <c r="P411" s="58"/>
      <c r="Q411" s="13" t="e">
        <v>#N/A</v>
      </c>
      <c r="R411" s="13" t="e">
        <v>#N/A</v>
      </c>
      <c r="S411" s="13"/>
      <c r="T411" s="62"/>
      <c r="U411" s="13"/>
      <c r="V411" s="13"/>
      <c r="W411" s="59"/>
      <c r="X411" s="58"/>
      <c r="Y411" s="68">
        <f ca="1">Table24[[#This Row],[End Date]]+2-TODAY()</f>
        <v>-46242</v>
      </c>
      <c r="Z411" s="13">
        <f>IF(ISBLANK(Table24[[#This Row],[Roster Received By]]),1,0)</f>
        <v>1</v>
      </c>
      <c r="AA411" s="59">
        <f ca="1">IF(Table24[[#This Row],[Start Date]]&gt;TODAY(),1,)</f>
        <v>0</v>
      </c>
    </row>
    <row r="412" spans="1:27" s="46" customFormat="1" x14ac:dyDescent="0.25">
      <c r="B412" s="58"/>
      <c r="C412" s="59" t="e">
        <v>#N/A</v>
      </c>
      <c r="D412" s="59" t="e">
        <v>#N/A</v>
      </c>
      <c r="E412" s="81"/>
      <c r="F412" s="69"/>
      <c r="G412" s="69"/>
      <c r="H412" s="61"/>
      <c r="I412" s="60"/>
      <c r="J412" s="60"/>
      <c r="K412" s="60"/>
      <c r="L412" s="60"/>
      <c r="M412" s="60"/>
      <c r="N412" s="60"/>
      <c r="O412" s="58"/>
      <c r="P412" s="58"/>
      <c r="Q412" s="13" t="e">
        <v>#N/A</v>
      </c>
      <c r="R412" s="13" t="e">
        <v>#N/A</v>
      </c>
      <c r="S412" s="13"/>
      <c r="T412" s="62"/>
      <c r="U412" s="13"/>
      <c r="V412" s="13"/>
      <c r="W412" s="59"/>
      <c r="X412" s="58"/>
      <c r="Y412" s="68">
        <f ca="1">Table24[[#This Row],[End Date]]+2-TODAY()</f>
        <v>-46242</v>
      </c>
      <c r="Z412" s="13">
        <f>IF(ISBLANK(Table24[[#This Row],[Roster Received By]]),1,0)</f>
        <v>1</v>
      </c>
      <c r="AA412" s="59">
        <f ca="1">IF(Table24[[#This Row],[Start Date]]&gt;TODAY(),1,)</f>
        <v>0</v>
      </c>
    </row>
    <row r="413" spans="1:27" s="46" customFormat="1" x14ac:dyDescent="0.25">
      <c r="B413" s="58"/>
      <c r="C413" s="59" t="e">
        <v>#N/A</v>
      </c>
      <c r="D413" s="59" t="e">
        <v>#N/A</v>
      </c>
      <c r="E413" s="81"/>
      <c r="F413" s="69"/>
      <c r="G413" s="69"/>
      <c r="H413" s="61"/>
      <c r="I413" s="60"/>
      <c r="J413" s="60"/>
      <c r="K413" s="60"/>
      <c r="L413" s="60"/>
      <c r="M413" s="60"/>
      <c r="N413" s="60"/>
      <c r="O413" s="58"/>
      <c r="P413" s="58"/>
      <c r="Q413" s="13" t="e">
        <v>#N/A</v>
      </c>
      <c r="R413" s="13" t="e">
        <v>#N/A</v>
      </c>
      <c r="S413" s="13"/>
      <c r="T413" s="62"/>
      <c r="U413" s="13"/>
      <c r="V413" s="13"/>
      <c r="W413" s="59"/>
      <c r="X413" s="58"/>
      <c r="Y413" s="68">
        <f ca="1">Table24[[#This Row],[End Date]]+2-TODAY()</f>
        <v>-46242</v>
      </c>
      <c r="Z413" s="13">
        <f>IF(ISBLANK(Table24[[#This Row],[Roster Received By]]),1,0)</f>
        <v>1</v>
      </c>
      <c r="AA413" s="59">
        <f ca="1">IF(Table24[[#This Row],[Start Date]]&gt;TODAY(),1,)</f>
        <v>0</v>
      </c>
    </row>
    <row r="414" spans="1:27" s="46" customFormat="1" x14ac:dyDescent="0.25">
      <c r="B414" s="58"/>
      <c r="C414" s="59" t="e">
        <v>#N/A</v>
      </c>
      <c r="D414" s="59" t="e">
        <v>#N/A</v>
      </c>
      <c r="E414" s="81"/>
      <c r="F414" s="69"/>
      <c r="G414" s="69"/>
      <c r="H414" s="61"/>
      <c r="I414" s="60"/>
      <c r="J414" s="60"/>
      <c r="K414" s="60"/>
      <c r="L414" s="60"/>
      <c r="M414" s="60"/>
      <c r="N414" s="60"/>
      <c r="O414" s="58"/>
      <c r="P414" s="58"/>
      <c r="Q414" s="13" t="e">
        <v>#N/A</v>
      </c>
      <c r="R414" s="13" t="e">
        <v>#N/A</v>
      </c>
      <c r="S414" s="13"/>
      <c r="T414" s="62"/>
      <c r="U414" s="13"/>
      <c r="V414" s="13"/>
      <c r="W414" s="59"/>
      <c r="X414" s="58"/>
      <c r="Y414" s="68">
        <f ca="1">Table24[[#This Row],[End Date]]+2-TODAY()</f>
        <v>-46242</v>
      </c>
      <c r="Z414" s="13">
        <f>IF(ISBLANK(Table24[[#This Row],[Roster Received By]]),1,0)</f>
        <v>1</v>
      </c>
      <c r="AA414" s="59">
        <f ca="1">IF(Table24[[#This Row],[Start Date]]&gt;TODAY(),1,)</f>
        <v>0</v>
      </c>
    </row>
    <row r="415" spans="1:27" s="46" customFormat="1" x14ac:dyDescent="0.25">
      <c r="B415" s="58"/>
      <c r="C415" s="59" t="e">
        <v>#N/A</v>
      </c>
      <c r="D415" s="59" t="e">
        <v>#N/A</v>
      </c>
      <c r="E415" s="81"/>
      <c r="F415" s="61"/>
      <c r="G415" s="61"/>
      <c r="H415" s="61"/>
      <c r="I415" s="60"/>
      <c r="J415" s="60"/>
      <c r="K415" s="60"/>
      <c r="L415" s="60"/>
      <c r="M415" s="60"/>
      <c r="N415" s="60"/>
      <c r="O415" s="58"/>
      <c r="P415" s="58"/>
      <c r="Q415" s="13" t="e">
        <v>#N/A</v>
      </c>
      <c r="R415" s="13" t="e">
        <v>#N/A</v>
      </c>
      <c r="S415" s="13"/>
      <c r="T415" s="62"/>
      <c r="U415" s="13"/>
      <c r="V415" s="13"/>
      <c r="W415" s="59"/>
      <c r="X415" s="58"/>
      <c r="Y415" s="68">
        <f ca="1">Table24[[#This Row],[End Date]]+2-TODAY()</f>
        <v>-46242</v>
      </c>
      <c r="Z415" s="13">
        <f>IF(ISBLANK(Table24[[#This Row],[Roster Received By]]),1,0)</f>
        <v>1</v>
      </c>
      <c r="AA415" s="59">
        <f ca="1">IF(Table24[[#This Row],[Start Date]]&gt;TODAY(),1,)</f>
        <v>0</v>
      </c>
    </row>
    <row r="416" spans="1:27" s="46" customFormat="1" x14ac:dyDescent="0.25">
      <c r="B416" s="58"/>
      <c r="C416" s="59" t="e">
        <v>#N/A</v>
      </c>
      <c r="D416" s="59" t="e">
        <v>#N/A</v>
      </c>
      <c r="E416" s="81"/>
      <c r="F416" s="61"/>
      <c r="G416" s="61"/>
      <c r="H416" s="67"/>
      <c r="I416" s="67"/>
      <c r="J416" s="61"/>
      <c r="K416" s="61"/>
      <c r="L416" s="61"/>
      <c r="M416" s="61"/>
      <c r="N416" s="61"/>
      <c r="O416" s="58"/>
      <c r="P416" s="58"/>
      <c r="Q416" s="13" t="e">
        <v>#N/A</v>
      </c>
      <c r="R416" s="13" t="e">
        <v>#N/A</v>
      </c>
      <c r="S416" s="13"/>
      <c r="T416" s="62"/>
      <c r="U416" s="13"/>
      <c r="V416" s="13"/>
      <c r="W416" s="59"/>
      <c r="X416" s="58"/>
      <c r="Y416" s="68">
        <f ca="1">Table24[[#This Row],[End Date]]+2-TODAY()</f>
        <v>-46242</v>
      </c>
      <c r="Z416" s="13">
        <f>IF(ISBLANK(Table24[[#This Row],[Roster Received By]]),1,0)</f>
        <v>1</v>
      </c>
      <c r="AA416" s="59">
        <f ca="1">IF(Table24[[#This Row],[Start Date]]&gt;TODAY(),1,)</f>
        <v>0</v>
      </c>
    </row>
    <row r="417" spans="1:27" s="46" customFormat="1" x14ac:dyDescent="0.25">
      <c r="A417" s="58"/>
      <c r="B417" s="58"/>
      <c r="C417" s="59" t="e">
        <v>#N/A</v>
      </c>
      <c r="D417" s="59" t="e">
        <v>#N/A</v>
      </c>
      <c r="E417" s="81"/>
      <c r="F417" s="61"/>
      <c r="G417" s="61"/>
      <c r="H417" s="67"/>
      <c r="I417" s="67"/>
      <c r="J417" s="61"/>
      <c r="K417" s="61"/>
      <c r="L417" s="61"/>
      <c r="M417" s="61"/>
      <c r="N417" s="61"/>
      <c r="O417" s="58"/>
      <c r="P417" s="58"/>
      <c r="Q417" s="13" t="e">
        <v>#N/A</v>
      </c>
      <c r="R417" s="13" t="e">
        <v>#N/A</v>
      </c>
      <c r="S417" s="13"/>
      <c r="T417" s="62"/>
      <c r="U417" s="13"/>
      <c r="V417" s="13"/>
      <c r="W417" s="59"/>
      <c r="X417" s="58"/>
      <c r="Y417" s="68">
        <f ca="1">Table24[[#This Row],[End Date]]+2-TODAY()</f>
        <v>-46242</v>
      </c>
      <c r="Z417" s="13">
        <f>IF(ISBLANK(Table24[[#This Row],[Roster Received By]]),1,0)</f>
        <v>1</v>
      </c>
      <c r="AA417" s="59">
        <f ca="1">IF(Table24[[#This Row],[Start Date]]&gt;TODAY(),1,)</f>
        <v>0</v>
      </c>
    </row>
    <row r="418" spans="1:27" s="46" customFormat="1" x14ac:dyDescent="0.25">
      <c r="B418" s="58"/>
      <c r="C418" s="59" t="e">
        <v>#N/A</v>
      </c>
      <c r="D418" s="59" t="e">
        <v>#N/A</v>
      </c>
      <c r="E418" s="81"/>
      <c r="F418" s="61"/>
      <c r="G418" s="61"/>
      <c r="H418" s="61"/>
      <c r="I418" s="60"/>
      <c r="J418" s="60"/>
      <c r="K418" s="60"/>
      <c r="L418" s="60"/>
      <c r="M418" s="60"/>
      <c r="N418" s="60"/>
      <c r="O418" s="58"/>
      <c r="P418" s="58"/>
      <c r="Q418" s="13" t="e">
        <v>#N/A</v>
      </c>
      <c r="R418" s="13" t="e">
        <v>#N/A</v>
      </c>
      <c r="S418" s="13"/>
      <c r="T418" s="62"/>
      <c r="U418" s="13"/>
      <c r="V418" s="13"/>
      <c r="W418" s="59"/>
      <c r="X418" s="58"/>
      <c r="Y418" s="68">
        <f ca="1">Table24[[#This Row],[End Date]]+2-TODAY()</f>
        <v>-46242</v>
      </c>
      <c r="Z418" s="13">
        <f>IF(ISBLANK(Table24[[#This Row],[Roster Received By]]),1,0)</f>
        <v>1</v>
      </c>
      <c r="AA418" s="59">
        <f ca="1">IF(Table24[[#This Row],[Start Date]]&gt;TODAY(),1,)</f>
        <v>0</v>
      </c>
    </row>
    <row r="419" spans="1:27" s="46" customFormat="1" x14ac:dyDescent="0.25">
      <c r="B419" s="58"/>
      <c r="C419" s="59" t="e">
        <v>#N/A</v>
      </c>
      <c r="D419" s="59" t="e">
        <v>#N/A</v>
      </c>
      <c r="E419" s="58"/>
      <c r="F419" s="61"/>
      <c r="G419" s="61"/>
      <c r="H419" s="61"/>
      <c r="I419" s="60"/>
      <c r="J419" s="60"/>
      <c r="K419" s="60"/>
      <c r="L419" s="60"/>
      <c r="M419" s="60"/>
      <c r="N419" s="60"/>
      <c r="O419" s="58"/>
      <c r="P419" s="58"/>
      <c r="Q419" s="13" t="e">
        <v>#N/A</v>
      </c>
      <c r="R419" s="13" t="e">
        <v>#N/A</v>
      </c>
      <c r="S419" s="13"/>
      <c r="T419" s="62"/>
      <c r="U419" s="13"/>
      <c r="V419" s="13"/>
      <c r="W419" s="59"/>
      <c r="X419" s="58"/>
      <c r="Y419" s="68">
        <f ca="1">Table24[[#This Row],[End Date]]+2-TODAY()</f>
        <v>-46242</v>
      </c>
      <c r="Z419" s="13">
        <f>IF(ISBLANK(Table24[[#This Row],[Roster Received By]]),1,0)</f>
        <v>1</v>
      </c>
      <c r="AA419" s="59">
        <f ca="1">IF(Table24[[#This Row],[Start Date]]&gt;TODAY(),1,)</f>
        <v>0</v>
      </c>
    </row>
    <row r="420" spans="1:27" s="46" customFormat="1" x14ac:dyDescent="0.25">
      <c r="B420" s="58"/>
      <c r="C420" s="59" t="e">
        <v>#N/A</v>
      </c>
      <c r="D420" s="59" t="e">
        <v>#N/A</v>
      </c>
      <c r="E420" s="58"/>
      <c r="F420" s="61"/>
      <c r="G420" s="61"/>
      <c r="H420" s="64"/>
      <c r="I420" s="71"/>
      <c r="J420" s="71"/>
      <c r="K420" s="71"/>
      <c r="L420" s="71"/>
      <c r="M420" s="71"/>
      <c r="N420" s="71"/>
      <c r="O420" s="58"/>
      <c r="P420" s="58"/>
      <c r="Q420" s="13" t="e">
        <v>#N/A</v>
      </c>
      <c r="R420" s="13" t="e">
        <v>#N/A</v>
      </c>
      <c r="S420" s="62"/>
      <c r="T420" s="72"/>
      <c r="U420" s="72"/>
      <c r="V420" s="72"/>
      <c r="W420" s="72"/>
      <c r="X420" s="58"/>
      <c r="Y420" s="72"/>
    </row>
    <row r="421" spans="1:27" s="46" customFormat="1" x14ac:dyDescent="0.25">
      <c r="B421" s="58"/>
      <c r="C421" s="59" t="e">
        <v>#N/A</v>
      </c>
      <c r="D421" s="59" t="e">
        <v>#N/A</v>
      </c>
      <c r="E421" s="58"/>
      <c r="F421" s="61"/>
      <c r="G421" s="61"/>
      <c r="H421" s="64"/>
      <c r="I421" s="64"/>
      <c r="J421" s="61"/>
      <c r="K421" s="61"/>
      <c r="L421" s="61"/>
      <c r="M421" s="61"/>
      <c r="N421" s="61"/>
      <c r="O421" s="58"/>
      <c r="P421" s="58"/>
      <c r="Q421" s="13" t="e">
        <v>#N/A</v>
      </c>
      <c r="R421" s="13" t="e">
        <v>#N/A</v>
      </c>
      <c r="S421" s="62"/>
      <c r="T421" s="62"/>
      <c r="U421" s="13"/>
      <c r="V421" s="13"/>
      <c r="W421" s="59"/>
      <c r="X421" s="58"/>
      <c r="Y421" s="68">
        <f ca="1">Table24[[#This Row],[End Date]]+2-TODAY()</f>
        <v>-46242</v>
      </c>
      <c r="Z421" s="13">
        <f>IF(ISBLANK(Table24[[#This Row],[Roster Received By]]),1,0)</f>
        <v>1</v>
      </c>
      <c r="AA421" s="59">
        <f ca="1">IF(Table24[[#This Row],[Start Date]]&gt;TODAY(),1,)</f>
        <v>0</v>
      </c>
    </row>
    <row r="422" spans="1:27" s="46" customFormat="1" x14ac:dyDescent="0.25">
      <c r="B422" s="58"/>
      <c r="C422" s="59" t="e">
        <v>#N/A</v>
      </c>
      <c r="D422" s="59" t="e">
        <v>#N/A</v>
      </c>
      <c r="E422" s="47"/>
      <c r="F422" s="61"/>
      <c r="G422" s="61"/>
      <c r="H422" s="64"/>
      <c r="I422" s="64"/>
      <c r="J422" s="61"/>
      <c r="K422" s="61"/>
      <c r="L422" s="61"/>
      <c r="M422" s="61"/>
      <c r="N422" s="61"/>
      <c r="O422" s="58"/>
      <c r="P422" s="58"/>
      <c r="Q422" s="13" t="e">
        <v>#N/A</v>
      </c>
      <c r="R422" s="13" t="e">
        <v>#N/A</v>
      </c>
      <c r="S422" s="13"/>
      <c r="T422" s="62"/>
      <c r="U422" s="13"/>
      <c r="V422" s="13"/>
      <c r="W422" s="13"/>
      <c r="X422" s="58"/>
      <c r="Y422" s="51">
        <f ca="1">Table24[[#This Row],[End Date]]+2-TODAY()</f>
        <v>-46242</v>
      </c>
      <c r="Z422" s="13">
        <f>IF(ISBLANK(Table24[[#This Row],[Roster Received By]]),1,0)</f>
        <v>1</v>
      </c>
      <c r="AA422" s="13">
        <f ca="1">IF(Table24[[#This Row],[Start Date]]&gt;TODAY(),1,)</f>
        <v>0</v>
      </c>
    </row>
    <row r="423" spans="1:27" s="46" customFormat="1" x14ac:dyDescent="0.25">
      <c r="B423" s="58"/>
      <c r="C423" s="59" t="e">
        <v>#N/A</v>
      </c>
      <c r="D423" s="59" t="e">
        <v>#N/A</v>
      </c>
      <c r="E423" s="58"/>
      <c r="F423" s="61"/>
      <c r="G423" s="61"/>
      <c r="H423" s="64"/>
      <c r="I423" s="64"/>
      <c r="J423" s="61"/>
      <c r="K423" s="61"/>
      <c r="L423" s="61"/>
      <c r="M423" s="61"/>
      <c r="N423" s="61"/>
      <c r="O423" s="58"/>
      <c r="P423" s="58"/>
      <c r="Q423" s="13" t="e">
        <v>#N/A</v>
      </c>
      <c r="R423" s="13" t="e">
        <v>#N/A</v>
      </c>
      <c r="S423" s="13"/>
      <c r="T423" s="62"/>
      <c r="U423" s="13"/>
      <c r="V423" s="13"/>
      <c r="W423" s="59"/>
      <c r="X423" s="58"/>
      <c r="Y423" s="68">
        <f ca="1">Table24[[#This Row],[End Date]]+2-TODAY()</f>
        <v>-46242</v>
      </c>
      <c r="Z423" s="13">
        <f>IF(ISBLANK(Table24[[#This Row],[Roster Received By]]),1,0)</f>
        <v>1</v>
      </c>
      <c r="AA423" s="59">
        <f ca="1">IF(Table24[[#This Row],[Start Date]]&gt;TODAY(),1,)</f>
        <v>0</v>
      </c>
    </row>
    <row r="424" spans="1:27" s="46" customFormat="1" x14ac:dyDescent="0.25">
      <c r="B424" s="58"/>
      <c r="C424" s="59" t="e">
        <v>#N/A</v>
      </c>
      <c r="D424" s="59" t="e">
        <v>#N/A</v>
      </c>
      <c r="E424" s="47"/>
      <c r="F424" s="61"/>
      <c r="G424" s="61"/>
      <c r="H424" s="64"/>
      <c r="I424" s="64"/>
      <c r="J424" s="61"/>
      <c r="K424" s="61"/>
      <c r="L424" s="61"/>
      <c r="M424" s="61"/>
      <c r="N424" s="61"/>
      <c r="O424" s="58"/>
      <c r="P424" s="58"/>
      <c r="Q424" s="13" t="e">
        <v>#N/A</v>
      </c>
      <c r="R424" s="13" t="e">
        <v>#N/A</v>
      </c>
      <c r="S424" s="13"/>
      <c r="T424" s="62"/>
      <c r="U424" s="13"/>
      <c r="V424" s="13"/>
      <c r="W424" s="59"/>
      <c r="X424" s="58"/>
      <c r="Y424" s="68">
        <f ca="1">Table24[[#This Row],[End Date]]+2-TODAY()</f>
        <v>-46242</v>
      </c>
      <c r="Z424" s="13">
        <f>IF(ISBLANK(Table24[[#This Row],[Roster Received By]]),1,0)</f>
        <v>1</v>
      </c>
      <c r="AA424" s="59">
        <f ca="1">IF(Table24[[#This Row],[Start Date]]&gt;TODAY(),1,)</f>
        <v>0</v>
      </c>
    </row>
    <row r="425" spans="1:27" s="46" customFormat="1" x14ac:dyDescent="0.25">
      <c r="B425" s="58"/>
      <c r="C425" s="59" t="e">
        <v>#N/A</v>
      </c>
      <c r="D425" s="59" t="e">
        <v>#N/A</v>
      </c>
      <c r="E425" s="58"/>
      <c r="F425" s="61"/>
      <c r="G425" s="61"/>
      <c r="H425" s="64"/>
      <c r="I425" s="64"/>
      <c r="J425" s="61"/>
      <c r="K425" s="61"/>
      <c r="L425" s="61"/>
      <c r="M425" s="61"/>
      <c r="N425" s="61"/>
      <c r="O425" s="58"/>
      <c r="P425" s="58"/>
      <c r="Q425" s="13" t="e">
        <v>#N/A</v>
      </c>
      <c r="R425" s="13" t="e">
        <v>#N/A</v>
      </c>
      <c r="S425" s="13"/>
      <c r="T425" s="62"/>
      <c r="U425" s="13"/>
      <c r="V425" s="13"/>
      <c r="W425" s="13"/>
      <c r="X425" s="58"/>
      <c r="Y425" s="68">
        <f ca="1">Table24[[#This Row],[End Date]]+2-TODAY()</f>
        <v>-46242</v>
      </c>
      <c r="Z425" s="13">
        <f>IF(ISBLANK(Table24[[#This Row],[Roster Received By]]),1,0)</f>
        <v>1</v>
      </c>
      <c r="AA425" s="59">
        <f ca="1">IF(Table24[[#This Row],[Start Date]]&gt;TODAY(),1,)</f>
        <v>0</v>
      </c>
    </row>
    <row r="426" spans="1:27" s="46" customFormat="1" x14ac:dyDescent="0.25">
      <c r="A426" s="58"/>
      <c r="B426" s="58"/>
      <c r="C426" s="59" t="e">
        <v>#N/A</v>
      </c>
      <c r="D426" s="59" t="e">
        <v>#N/A</v>
      </c>
      <c r="E426" s="58"/>
      <c r="F426" s="61"/>
      <c r="G426" s="61"/>
      <c r="H426" s="64"/>
      <c r="I426" s="64"/>
      <c r="J426" s="61"/>
      <c r="K426" s="61"/>
      <c r="L426" s="61"/>
      <c r="M426" s="61"/>
      <c r="N426" s="61"/>
      <c r="O426" s="58"/>
      <c r="P426" s="58"/>
      <c r="Q426" s="13" t="e">
        <v>#N/A</v>
      </c>
      <c r="R426" s="13" t="e">
        <v>#N/A</v>
      </c>
      <c r="S426" s="13"/>
      <c r="T426" s="62"/>
      <c r="U426" s="13"/>
      <c r="V426" s="13"/>
      <c r="W426" s="59"/>
      <c r="X426" s="58"/>
      <c r="Y426" s="68">
        <f ca="1">Table24[[#This Row],[End Date]]+2-TODAY()</f>
        <v>-46242</v>
      </c>
      <c r="Z426" s="13">
        <f>IF(ISBLANK(Table24[[#This Row],[Roster Received By]]),1,0)</f>
        <v>1</v>
      </c>
      <c r="AA426" s="59">
        <f ca="1">IF(Table24[[#This Row],[Start Date]]&gt;TODAY(),1,)</f>
        <v>0</v>
      </c>
    </row>
    <row r="427" spans="1:27" s="46" customFormat="1" x14ac:dyDescent="0.25">
      <c r="B427" s="58"/>
      <c r="C427" s="59" t="e">
        <v>#N/A</v>
      </c>
      <c r="D427" s="59" t="e">
        <v>#N/A</v>
      </c>
      <c r="E427" s="58"/>
      <c r="F427" s="61"/>
      <c r="G427" s="61"/>
      <c r="H427" s="64"/>
      <c r="I427" s="64"/>
      <c r="J427" s="61"/>
      <c r="K427" s="61"/>
      <c r="L427" s="61"/>
      <c r="M427" s="61"/>
      <c r="N427" s="61"/>
      <c r="O427" s="58"/>
      <c r="P427" s="58"/>
      <c r="Q427" s="13" t="e">
        <v>#N/A</v>
      </c>
      <c r="R427" s="13" t="e">
        <v>#N/A</v>
      </c>
      <c r="S427" s="13"/>
      <c r="T427" s="62"/>
      <c r="U427" s="13"/>
      <c r="V427" s="13"/>
      <c r="W427" s="59"/>
      <c r="X427" s="58"/>
      <c r="Y427" s="68">
        <f ca="1">Table24[[#This Row],[End Date]]+2-TODAY()</f>
        <v>-46242</v>
      </c>
      <c r="Z427" s="13">
        <f>IF(ISBLANK(Table24[[#This Row],[Roster Received By]]),1,0)</f>
        <v>1</v>
      </c>
      <c r="AA427" s="59">
        <f ca="1">IF(Table24[[#This Row],[Start Date]]&gt;TODAY(),1,)</f>
        <v>0</v>
      </c>
    </row>
    <row r="428" spans="1:27" s="46" customFormat="1" x14ac:dyDescent="0.25">
      <c r="B428" s="58"/>
      <c r="C428" s="59" t="e">
        <v>#N/A</v>
      </c>
      <c r="D428" s="59" t="e">
        <v>#N/A</v>
      </c>
      <c r="E428" s="58"/>
      <c r="F428" s="61"/>
      <c r="G428" s="61"/>
      <c r="H428" s="64"/>
      <c r="I428" s="64"/>
      <c r="J428" s="61"/>
      <c r="K428" s="61"/>
      <c r="L428" s="61"/>
      <c r="M428" s="61"/>
      <c r="N428" s="61"/>
      <c r="O428" s="58"/>
      <c r="P428" s="58"/>
      <c r="Q428" s="13" t="e">
        <v>#N/A</v>
      </c>
      <c r="R428" s="13" t="e">
        <v>#N/A</v>
      </c>
      <c r="S428" s="62"/>
      <c r="T428" s="62"/>
      <c r="U428" s="13"/>
      <c r="V428" s="13"/>
      <c r="W428" s="13"/>
      <c r="X428" s="58"/>
      <c r="Y428" s="51">
        <f ca="1">Table24[[#This Row],[End Date]]+2-TODAY()</f>
        <v>-46242</v>
      </c>
      <c r="Z428" s="13">
        <f>IF(ISBLANK(Table24[[#This Row],[Roster Received By]]),1,0)</f>
        <v>1</v>
      </c>
      <c r="AA428" s="13">
        <f ca="1">IF(Table24[[#This Row],[Start Date]]&gt;TODAY(),1,)</f>
        <v>0</v>
      </c>
    </row>
    <row r="429" spans="1:27" s="46" customFormat="1" x14ac:dyDescent="0.25">
      <c r="B429" s="58"/>
      <c r="C429" s="59" t="e">
        <v>#N/A</v>
      </c>
      <c r="D429" s="59" t="e">
        <v>#N/A</v>
      </c>
      <c r="E429" s="47"/>
      <c r="F429" s="61"/>
      <c r="G429" s="61"/>
      <c r="H429" s="64"/>
      <c r="I429" s="64"/>
      <c r="J429" s="61"/>
      <c r="K429" s="61"/>
      <c r="L429" s="61"/>
      <c r="M429" s="61"/>
      <c r="N429" s="61"/>
      <c r="O429" s="58"/>
      <c r="P429" s="58"/>
      <c r="Q429" s="13" t="e">
        <v>#N/A</v>
      </c>
      <c r="R429" s="13" t="e">
        <v>#N/A</v>
      </c>
      <c r="S429" s="13"/>
      <c r="T429" s="62"/>
      <c r="U429" s="13"/>
      <c r="V429" s="13"/>
      <c r="W429" s="59"/>
      <c r="X429" s="58"/>
      <c r="Y429" s="68">
        <f ca="1">Table24[[#This Row],[End Date]]+2-TODAY()</f>
        <v>-46242</v>
      </c>
      <c r="Z429" s="13">
        <f>IF(ISBLANK(Table24[[#This Row],[Roster Received By]]),1,0)</f>
        <v>1</v>
      </c>
      <c r="AA429" s="59">
        <f ca="1">IF(Table24[[#This Row],[Start Date]]&gt;TODAY(),1,)</f>
        <v>0</v>
      </c>
    </row>
    <row r="430" spans="1:27" s="46" customFormat="1" x14ac:dyDescent="0.25">
      <c r="B430" s="58"/>
      <c r="C430" s="59" t="e">
        <v>#N/A</v>
      </c>
      <c r="D430" s="59" t="e">
        <v>#N/A</v>
      </c>
      <c r="E430" s="58"/>
      <c r="F430" s="61"/>
      <c r="G430" s="61"/>
      <c r="H430" s="61"/>
      <c r="I430" s="60"/>
      <c r="J430" s="60"/>
      <c r="K430" s="60"/>
      <c r="L430" s="60"/>
      <c r="M430" s="60"/>
      <c r="N430" s="60"/>
      <c r="O430" s="58"/>
      <c r="P430" s="58"/>
      <c r="Q430" s="13" t="e">
        <v>#N/A</v>
      </c>
      <c r="R430" s="13" t="e">
        <v>#N/A</v>
      </c>
      <c r="S430" s="13"/>
      <c r="T430" s="62"/>
      <c r="U430" s="13"/>
      <c r="V430" s="13"/>
      <c r="W430" s="59"/>
      <c r="X430" s="58"/>
      <c r="Y430" s="68">
        <f ca="1">Table24[[#This Row],[End Date]]+2-TODAY()</f>
        <v>-46242</v>
      </c>
      <c r="Z430" s="13">
        <f>IF(ISBLANK(Table24[[#This Row],[Roster Received By]]),1,0)</f>
        <v>1</v>
      </c>
      <c r="AA430" s="59">
        <f ca="1">IF(Table24[[#This Row],[Start Date]]&gt;TODAY(),1,)</f>
        <v>0</v>
      </c>
    </row>
    <row r="431" spans="1:27" s="46" customFormat="1" x14ac:dyDescent="0.25">
      <c r="A431" s="58"/>
      <c r="B431" s="58"/>
      <c r="C431" s="59" t="e">
        <v>#N/A</v>
      </c>
      <c r="D431" s="59" t="e">
        <v>#N/A</v>
      </c>
      <c r="E431" s="58"/>
      <c r="F431" s="61"/>
      <c r="G431" s="61"/>
      <c r="H431" s="64"/>
      <c r="I431" s="64"/>
      <c r="J431" s="61"/>
      <c r="K431" s="61"/>
      <c r="L431" s="61"/>
      <c r="M431" s="61"/>
      <c r="N431" s="61"/>
      <c r="O431" s="58"/>
      <c r="P431" s="58"/>
      <c r="Q431" s="13" t="e">
        <v>#N/A</v>
      </c>
      <c r="R431" s="13" t="e">
        <v>#N/A</v>
      </c>
      <c r="S431" s="13"/>
      <c r="T431" s="62"/>
      <c r="U431" s="13"/>
      <c r="V431" s="13"/>
      <c r="W431" s="59"/>
      <c r="X431" s="58"/>
      <c r="Y431" s="68">
        <f ca="1">Table24[[#This Row],[End Date]]+2-TODAY()</f>
        <v>-46242</v>
      </c>
      <c r="Z431" s="13">
        <f>IF(ISBLANK(Table24[[#This Row],[Roster Received By]]),1,0)</f>
        <v>1</v>
      </c>
      <c r="AA431" s="59">
        <f ca="1">IF(Table24[[#This Row],[Start Date]]&gt;TODAY(),1,)</f>
        <v>0</v>
      </c>
    </row>
    <row r="432" spans="1:27" s="46" customFormat="1" x14ac:dyDescent="0.25">
      <c r="A432" s="58"/>
      <c r="B432" s="58"/>
      <c r="C432" s="59" t="e">
        <v>#N/A</v>
      </c>
      <c r="D432" s="59" t="e">
        <v>#N/A</v>
      </c>
      <c r="E432" s="47"/>
      <c r="F432" s="61"/>
      <c r="G432" s="61"/>
      <c r="H432" s="64"/>
      <c r="I432" s="64"/>
      <c r="J432" s="61"/>
      <c r="K432" s="61"/>
      <c r="L432" s="61"/>
      <c r="M432" s="61"/>
      <c r="N432" s="61"/>
      <c r="O432" s="58"/>
      <c r="P432" s="58"/>
      <c r="Q432" s="13" t="e">
        <v>#N/A</v>
      </c>
      <c r="R432" s="13" t="e">
        <v>#N/A</v>
      </c>
      <c r="S432" s="13"/>
      <c r="T432" s="62"/>
      <c r="U432" s="13"/>
      <c r="V432" s="13"/>
      <c r="W432" s="59"/>
      <c r="X432" s="58"/>
      <c r="Y432" s="68">
        <f ca="1">Table24[[#This Row],[End Date]]+2-TODAY()</f>
        <v>-46242</v>
      </c>
      <c r="Z432" s="13">
        <f>IF(ISBLANK(Table24[[#This Row],[Roster Received By]]),1,0)</f>
        <v>1</v>
      </c>
      <c r="AA432" s="59">
        <f ca="1">IF(Table24[[#This Row],[Start Date]]&gt;TODAY(),1,)</f>
        <v>0</v>
      </c>
    </row>
    <row r="433" spans="1:27" s="46" customFormat="1" x14ac:dyDescent="0.25">
      <c r="B433" s="58"/>
      <c r="C433" s="59" t="e">
        <v>#N/A</v>
      </c>
      <c r="D433" s="59" t="e">
        <v>#N/A</v>
      </c>
      <c r="E433" s="58"/>
      <c r="F433" s="61"/>
      <c r="G433" s="61"/>
      <c r="H433" s="61"/>
      <c r="I433" s="60"/>
      <c r="J433" s="60"/>
      <c r="K433" s="60"/>
      <c r="L433" s="60"/>
      <c r="M433" s="60"/>
      <c r="N433" s="60"/>
      <c r="O433" s="58"/>
      <c r="P433" s="58"/>
      <c r="Q433" s="13" t="e">
        <v>#N/A</v>
      </c>
      <c r="R433" s="13" t="e">
        <v>#N/A</v>
      </c>
      <c r="S433" s="13"/>
      <c r="T433" s="62"/>
      <c r="U433" s="13"/>
      <c r="V433" s="13"/>
      <c r="W433" s="59"/>
      <c r="X433" s="58"/>
      <c r="Y433" s="68">
        <f ca="1">Table24[[#This Row],[End Date]]+2-TODAY()</f>
        <v>-46242</v>
      </c>
      <c r="Z433" s="13">
        <f>IF(ISBLANK(Table24[[#This Row],[Roster Received By]]),1,0)</f>
        <v>1</v>
      </c>
      <c r="AA433" s="59">
        <f ca="1">IF(Table24[[#This Row],[Start Date]]&gt;TODAY(),1,)</f>
        <v>0</v>
      </c>
    </row>
    <row r="434" spans="1:27" s="46" customFormat="1" x14ac:dyDescent="0.25">
      <c r="B434" s="58"/>
      <c r="C434" s="59" t="e">
        <v>#N/A</v>
      </c>
      <c r="D434" s="59" t="e">
        <v>#N/A</v>
      </c>
      <c r="E434" s="47"/>
      <c r="F434" s="61"/>
      <c r="G434" s="61"/>
      <c r="H434" s="64"/>
      <c r="I434" s="64"/>
      <c r="J434" s="61"/>
      <c r="K434" s="61"/>
      <c r="L434" s="61"/>
      <c r="M434" s="61"/>
      <c r="N434" s="61"/>
      <c r="O434" s="58"/>
      <c r="P434" s="58"/>
      <c r="Q434" s="13" t="e">
        <v>#N/A</v>
      </c>
      <c r="R434" s="13" t="e">
        <v>#N/A</v>
      </c>
      <c r="S434" s="13"/>
      <c r="T434" s="62"/>
      <c r="U434" s="13"/>
      <c r="V434" s="13"/>
      <c r="W434" s="59"/>
      <c r="X434" s="58"/>
      <c r="Y434" s="68">
        <f ca="1">Table24[[#This Row],[End Date]]+2-TODAY()</f>
        <v>-46242</v>
      </c>
      <c r="Z434" s="13">
        <f>IF(ISBLANK(Table24[[#This Row],[Roster Received By]]),1,0)</f>
        <v>1</v>
      </c>
      <c r="AA434" s="59">
        <f ca="1">IF(Table24[[#This Row],[Start Date]]&gt;TODAY(),1,)</f>
        <v>0</v>
      </c>
    </row>
    <row r="435" spans="1:27" s="46" customFormat="1" x14ac:dyDescent="0.25">
      <c r="B435" s="58"/>
      <c r="C435" s="59" t="e">
        <v>#N/A</v>
      </c>
      <c r="D435" s="59" t="e">
        <v>#N/A</v>
      </c>
      <c r="E435" s="47"/>
      <c r="F435" s="61"/>
      <c r="G435" s="61"/>
      <c r="H435" s="64"/>
      <c r="I435" s="64"/>
      <c r="J435" s="61"/>
      <c r="K435" s="61"/>
      <c r="L435" s="61"/>
      <c r="M435" s="61"/>
      <c r="N435" s="61"/>
      <c r="O435" s="58"/>
      <c r="P435" s="58"/>
      <c r="Q435" s="13" t="e">
        <v>#N/A</v>
      </c>
      <c r="R435" s="13" t="e">
        <v>#N/A</v>
      </c>
      <c r="S435" s="13"/>
      <c r="T435" s="62"/>
      <c r="U435" s="13"/>
      <c r="V435" s="13"/>
      <c r="W435" s="13"/>
      <c r="X435" s="58"/>
      <c r="Y435" s="51">
        <f ca="1">Table24[[#This Row],[End Date]]+2-TODAY()</f>
        <v>-46242</v>
      </c>
      <c r="Z435" s="13">
        <f>IF(ISBLANK(Table24[[#This Row],[Roster Received By]]),1,0)</f>
        <v>1</v>
      </c>
      <c r="AA435" s="13">
        <f ca="1">IF(Table24[[#This Row],[Start Date]]&gt;TODAY(),1,)</f>
        <v>0</v>
      </c>
    </row>
    <row r="436" spans="1:27" s="46" customFormat="1" x14ac:dyDescent="0.25">
      <c r="B436" s="58"/>
      <c r="C436" s="59" t="e">
        <v>#N/A</v>
      </c>
      <c r="D436" s="59" t="e">
        <v>#N/A</v>
      </c>
      <c r="E436" s="58"/>
      <c r="F436" s="61"/>
      <c r="G436" s="61"/>
      <c r="H436" s="64"/>
      <c r="I436" s="64"/>
      <c r="J436" s="61"/>
      <c r="K436" s="61"/>
      <c r="L436" s="61"/>
      <c r="M436" s="61"/>
      <c r="N436" s="61"/>
      <c r="O436" s="58"/>
      <c r="P436" s="58"/>
      <c r="Q436" s="13" t="e">
        <v>#N/A</v>
      </c>
      <c r="R436" s="13" t="e">
        <v>#N/A</v>
      </c>
      <c r="S436" s="13"/>
      <c r="T436" s="62"/>
      <c r="U436" s="13"/>
      <c r="V436" s="13"/>
      <c r="W436" s="13"/>
      <c r="X436" s="58"/>
      <c r="Y436" s="51">
        <f ca="1">Table24[[#This Row],[End Date]]+2-TODAY()</f>
        <v>-46242</v>
      </c>
      <c r="Z436" s="13">
        <f>IF(ISBLANK(Table24[[#This Row],[Roster Received By]]),1,0)</f>
        <v>1</v>
      </c>
      <c r="AA436" s="13">
        <f ca="1">IF(Table24[[#This Row],[Start Date]]&gt;TODAY(),1,)</f>
        <v>0</v>
      </c>
    </row>
    <row r="437" spans="1:27" s="46" customFormat="1" x14ac:dyDescent="0.25">
      <c r="B437" s="58"/>
      <c r="C437" s="59" t="e">
        <v>#N/A</v>
      </c>
      <c r="D437" s="59" t="e">
        <v>#N/A</v>
      </c>
      <c r="E437" s="58"/>
      <c r="F437" s="61"/>
      <c r="G437" s="61"/>
      <c r="H437" s="64"/>
      <c r="I437" s="64"/>
      <c r="J437" s="61"/>
      <c r="K437" s="61"/>
      <c r="L437" s="61"/>
      <c r="M437" s="61"/>
      <c r="N437" s="61"/>
      <c r="O437" s="58"/>
      <c r="P437" s="58"/>
      <c r="Q437" s="13" t="e">
        <v>#N/A</v>
      </c>
      <c r="R437" s="13" t="e">
        <v>#N/A</v>
      </c>
      <c r="S437" s="62"/>
      <c r="T437" s="62"/>
      <c r="U437" s="13"/>
      <c r="V437" s="13"/>
      <c r="W437" s="59"/>
      <c r="X437" s="58"/>
      <c r="Y437" s="68">
        <f ca="1">Table24[[#This Row],[End Date]]+2-TODAY()</f>
        <v>-46242</v>
      </c>
      <c r="Z437" s="13">
        <f>IF(ISBLANK(Table24[[#This Row],[Roster Received By]]),1,0)</f>
        <v>1</v>
      </c>
      <c r="AA437" s="59">
        <f ca="1">IF(Table24[[#This Row],[Start Date]]&gt;TODAY(),1,)</f>
        <v>0</v>
      </c>
    </row>
    <row r="438" spans="1:27" s="46" customFormat="1" x14ac:dyDescent="0.25">
      <c r="B438" s="75"/>
      <c r="C438" s="59" t="e">
        <v>#N/A</v>
      </c>
      <c r="D438" s="59" t="e">
        <v>#N/A</v>
      </c>
      <c r="E438" s="58"/>
      <c r="F438" s="49"/>
      <c r="G438" s="61"/>
      <c r="H438" s="61"/>
      <c r="I438" s="60"/>
      <c r="J438" s="60"/>
      <c r="K438" s="60"/>
      <c r="L438" s="60"/>
      <c r="M438" s="60"/>
      <c r="N438" s="60"/>
      <c r="O438" s="58"/>
      <c r="P438" s="58"/>
      <c r="Q438" s="13" t="e">
        <v>#N/A</v>
      </c>
      <c r="R438" s="13" t="e">
        <v>#N/A</v>
      </c>
      <c r="S438" s="13"/>
      <c r="T438" s="62"/>
      <c r="U438" s="13"/>
      <c r="V438" s="13"/>
      <c r="W438" s="59"/>
      <c r="X438" s="58"/>
      <c r="Y438" s="68">
        <f ca="1">Table24[[#This Row],[End Date]]+2-TODAY()</f>
        <v>-46242</v>
      </c>
      <c r="Z438" s="13">
        <f>IF(ISBLANK(Table24[[#This Row],[Roster Received By]]),1,0)</f>
        <v>1</v>
      </c>
      <c r="AA438" s="59">
        <f ca="1">IF(Table24[[#This Row],[Start Date]]&gt;TODAY(),1,)</f>
        <v>0</v>
      </c>
    </row>
    <row r="439" spans="1:27" s="46" customFormat="1" x14ac:dyDescent="0.25">
      <c r="A439" s="58"/>
      <c r="B439" s="75"/>
      <c r="C439" s="59" t="e">
        <v>#N/A</v>
      </c>
      <c r="D439" s="59" t="e">
        <v>#N/A</v>
      </c>
      <c r="E439" s="58"/>
      <c r="F439" s="61"/>
      <c r="G439" s="61"/>
      <c r="H439" s="64"/>
      <c r="I439" s="64"/>
      <c r="J439" s="61"/>
      <c r="K439" s="61"/>
      <c r="L439" s="61"/>
      <c r="M439" s="61"/>
      <c r="N439" s="61"/>
      <c r="O439" s="58"/>
      <c r="P439" s="58"/>
      <c r="Q439" s="13" t="e">
        <v>#N/A</v>
      </c>
      <c r="R439" s="13" t="e">
        <v>#N/A</v>
      </c>
      <c r="S439" s="13"/>
      <c r="T439" s="62"/>
      <c r="U439" s="13"/>
      <c r="V439" s="13"/>
      <c r="W439" s="59"/>
      <c r="X439" s="58"/>
      <c r="Y439" s="68">
        <f ca="1">Table24[[#This Row],[End Date]]+2-TODAY()</f>
        <v>-46242</v>
      </c>
      <c r="Z439" s="13">
        <f>IF(ISBLANK(Table24[[#This Row],[Roster Received By]]),1,0)</f>
        <v>1</v>
      </c>
      <c r="AA439" s="59">
        <f ca="1">IF(Table24[[#This Row],[Start Date]]&gt;TODAY(),1,)</f>
        <v>0</v>
      </c>
    </row>
    <row r="440" spans="1:27" s="46" customFormat="1" x14ac:dyDescent="0.25">
      <c r="B440" s="75"/>
      <c r="C440" s="59" t="e">
        <v>#N/A</v>
      </c>
      <c r="D440" s="59" t="e">
        <v>#N/A</v>
      </c>
      <c r="E440" s="58"/>
      <c r="F440" s="61"/>
      <c r="G440" s="61"/>
      <c r="H440" s="64"/>
      <c r="I440" s="64"/>
      <c r="J440" s="61"/>
      <c r="K440" s="61"/>
      <c r="L440" s="61"/>
      <c r="M440" s="61"/>
      <c r="N440" s="61"/>
      <c r="O440" s="58"/>
      <c r="P440" s="58"/>
      <c r="Q440" s="13" t="e">
        <v>#N/A</v>
      </c>
      <c r="R440" s="13" t="e">
        <v>#N/A</v>
      </c>
      <c r="S440" s="62"/>
      <c r="T440" s="62"/>
      <c r="U440" s="13"/>
      <c r="V440" s="13"/>
      <c r="W440" s="59"/>
      <c r="X440" s="58"/>
      <c r="Y440" s="68">
        <f ca="1">Table24[[#This Row],[End Date]]+2-TODAY()</f>
        <v>-46242</v>
      </c>
      <c r="Z440" s="13">
        <f>IF(ISBLANK(Table24[[#This Row],[Roster Received By]]),1,0)</f>
        <v>1</v>
      </c>
      <c r="AA440" s="59">
        <f ca="1">IF(Table24[[#This Row],[Start Date]]&gt;TODAY(),1,)</f>
        <v>0</v>
      </c>
    </row>
    <row r="441" spans="1:27" s="46" customFormat="1" x14ac:dyDescent="0.25">
      <c r="B441" s="58"/>
      <c r="C441" s="59" t="e">
        <v>#N/A</v>
      </c>
      <c r="D441" s="59" t="e">
        <v>#N/A</v>
      </c>
      <c r="E441" s="58"/>
      <c r="F441" s="61"/>
      <c r="G441" s="61"/>
      <c r="H441" s="61"/>
      <c r="I441" s="60"/>
      <c r="J441" s="60"/>
      <c r="K441" s="60"/>
      <c r="L441" s="60"/>
      <c r="M441" s="60"/>
      <c r="N441" s="60"/>
      <c r="O441" s="58"/>
      <c r="P441" s="58"/>
      <c r="Q441" s="13" t="e">
        <v>#N/A</v>
      </c>
      <c r="R441" s="13" t="e">
        <v>#N/A</v>
      </c>
      <c r="S441" s="13"/>
      <c r="T441" s="62"/>
      <c r="U441" s="13"/>
      <c r="V441" s="13"/>
      <c r="W441" s="59"/>
      <c r="X441" s="58"/>
      <c r="Y441" s="68">
        <f ca="1">Table24[[#This Row],[End Date]]+2-TODAY()</f>
        <v>-46242</v>
      </c>
      <c r="Z441" s="13">
        <f>IF(ISBLANK(Table24[[#This Row],[Roster Received By]]),1,0)</f>
        <v>1</v>
      </c>
      <c r="AA441" s="59">
        <f ca="1">IF(Table24[[#This Row],[Start Date]]&gt;TODAY(),1,)</f>
        <v>0</v>
      </c>
    </row>
    <row r="442" spans="1:27" s="46" customFormat="1" x14ac:dyDescent="0.25">
      <c r="B442" s="75"/>
      <c r="C442" s="59" t="e">
        <v>#N/A</v>
      </c>
      <c r="D442" s="59" t="e">
        <v>#N/A</v>
      </c>
      <c r="E442" s="58"/>
      <c r="F442" s="61"/>
      <c r="G442" s="61"/>
      <c r="H442" s="61"/>
      <c r="I442" s="60"/>
      <c r="J442" s="60"/>
      <c r="K442" s="60"/>
      <c r="L442" s="60"/>
      <c r="M442" s="60"/>
      <c r="N442" s="60"/>
      <c r="O442" s="58"/>
      <c r="P442" s="58"/>
      <c r="Q442" s="13" t="e">
        <v>#N/A</v>
      </c>
      <c r="R442" s="13" t="e">
        <v>#N/A</v>
      </c>
      <c r="S442" s="13"/>
      <c r="T442" s="62"/>
      <c r="U442" s="13"/>
      <c r="V442" s="13"/>
      <c r="W442" s="59"/>
      <c r="X442" s="58"/>
      <c r="Y442" s="68">
        <f ca="1">Table24[[#This Row],[End Date]]+2-TODAY()</f>
        <v>-46242</v>
      </c>
      <c r="Z442" s="13">
        <f>IF(ISBLANK(Table24[[#This Row],[Roster Received By]]),1,0)</f>
        <v>1</v>
      </c>
      <c r="AA442" s="59">
        <f ca="1">IF(Table24[[#This Row],[Start Date]]&gt;TODAY(),1,)</f>
        <v>0</v>
      </c>
    </row>
    <row r="443" spans="1:27" s="46" customFormat="1" x14ac:dyDescent="0.25">
      <c r="B443" s="58"/>
      <c r="C443" s="59" t="e">
        <v>#N/A</v>
      </c>
      <c r="D443" s="59" t="e">
        <v>#N/A</v>
      </c>
      <c r="E443" s="58"/>
      <c r="F443" s="61"/>
      <c r="G443" s="61"/>
      <c r="H443" s="64"/>
      <c r="I443" s="64"/>
      <c r="J443" s="61"/>
      <c r="K443" s="61"/>
      <c r="L443" s="61"/>
      <c r="M443" s="61"/>
      <c r="N443" s="61"/>
      <c r="O443" s="58"/>
      <c r="P443" s="58"/>
      <c r="Q443" s="13" t="e">
        <v>#N/A</v>
      </c>
      <c r="R443" s="13" t="e">
        <v>#N/A</v>
      </c>
      <c r="S443" s="13"/>
      <c r="T443" s="62"/>
      <c r="U443" s="13"/>
      <c r="V443" s="13"/>
      <c r="W443" s="13"/>
      <c r="X443" s="58"/>
      <c r="Y443" s="51">
        <f ca="1">Table24[[#This Row],[End Date]]+2-TODAY()</f>
        <v>-46242</v>
      </c>
      <c r="Z443" s="13">
        <f>IF(ISBLANK(Table24[[#This Row],[Roster Received By]]),1,0)</f>
        <v>1</v>
      </c>
      <c r="AA443" s="13">
        <f ca="1">IF(Table24[[#This Row],[Start Date]]&gt;TODAY(),1,)</f>
        <v>0</v>
      </c>
    </row>
    <row r="444" spans="1:27" s="46" customFormat="1" x14ac:dyDescent="0.25">
      <c r="A444" s="58"/>
      <c r="B444" s="75"/>
      <c r="C444" s="59" t="e">
        <v>#N/A</v>
      </c>
      <c r="D444" s="59" t="e">
        <v>#N/A</v>
      </c>
      <c r="E444" s="58"/>
      <c r="F444" s="49"/>
      <c r="G444" s="49"/>
      <c r="H444" s="49"/>
      <c r="I444" s="60"/>
      <c r="J444" s="60"/>
      <c r="K444" s="60"/>
      <c r="L444" s="60"/>
      <c r="M444" s="60"/>
      <c r="N444" s="60"/>
      <c r="O444" s="58"/>
      <c r="P444" s="58"/>
      <c r="Q444" s="13" t="e">
        <v>#N/A</v>
      </c>
      <c r="R444" s="13" t="e">
        <v>#N/A</v>
      </c>
      <c r="S444" s="13"/>
      <c r="T444" s="62"/>
      <c r="U444" s="13"/>
      <c r="V444" s="13"/>
      <c r="W444" s="59"/>
      <c r="X444" s="58"/>
      <c r="Y444" s="68">
        <f ca="1">Table24[[#This Row],[End Date]]+2-TODAY()</f>
        <v>-46242</v>
      </c>
      <c r="Z444" s="13">
        <f>IF(ISBLANK(Table24[[#This Row],[Roster Received By]]),1,0)</f>
        <v>1</v>
      </c>
      <c r="AA444" s="59">
        <f ca="1">IF(Table24[[#This Row],[Start Date]]&gt;TODAY(),1,)</f>
        <v>0</v>
      </c>
    </row>
    <row r="445" spans="1:27" s="46" customFormat="1" x14ac:dyDescent="0.25">
      <c r="B445" s="58"/>
      <c r="C445" s="59" t="e">
        <v>#N/A</v>
      </c>
      <c r="D445" s="59" t="e">
        <v>#N/A</v>
      </c>
      <c r="E445" s="58"/>
      <c r="F445" s="61"/>
      <c r="G445" s="61"/>
      <c r="H445" s="61"/>
      <c r="I445" s="60"/>
      <c r="J445" s="60"/>
      <c r="K445" s="60"/>
      <c r="L445" s="60"/>
      <c r="M445" s="60"/>
      <c r="N445" s="60"/>
      <c r="O445" s="58"/>
      <c r="P445" s="58"/>
      <c r="Q445" s="13" t="e">
        <v>#N/A</v>
      </c>
      <c r="R445" s="13" t="e">
        <v>#N/A</v>
      </c>
      <c r="S445" s="13"/>
      <c r="T445" s="62"/>
      <c r="U445" s="13"/>
      <c r="V445" s="13"/>
      <c r="W445" s="59"/>
      <c r="X445" s="58"/>
      <c r="Y445" s="68">
        <f ca="1">Table24[[#This Row],[End Date]]+2-TODAY()</f>
        <v>-46242</v>
      </c>
      <c r="Z445" s="13">
        <f>IF(ISBLANK(Table24[[#This Row],[Roster Received By]]),1,0)</f>
        <v>1</v>
      </c>
      <c r="AA445" s="59">
        <f ca="1">IF(Table24[[#This Row],[Start Date]]&gt;TODAY(),1,)</f>
        <v>0</v>
      </c>
    </row>
    <row r="446" spans="1:27" s="46" customFormat="1" x14ac:dyDescent="0.25">
      <c r="B446" s="58"/>
      <c r="C446" s="59" t="e">
        <v>#N/A</v>
      </c>
      <c r="D446" s="59" t="e">
        <v>#N/A</v>
      </c>
      <c r="E446" s="58"/>
      <c r="F446" s="61"/>
      <c r="G446" s="61"/>
      <c r="H446" s="61"/>
      <c r="I446" s="60"/>
      <c r="J446" s="60"/>
      <c r="K446" s="60"/>
      <c r="L446" s="60"/>
      <c r="M446" s="60"/>
      <c r="N446" s="60"/>
      <c r="O446" s="58"/>
      <c r="P446" s="58"/>
      <c r="Q446" s="13" t="e">
        <v>#N/A</v>
      </c>
      <c r="R446" s="13" t="e">
        <v>#N/A</v>
      </c>
      <c r="S446" s="13"/>
      <c r="T446" s="62"/>
      <c r="U446" s="13"/>
      <c r="V446" s="13"/>
      <c r="W446" s="59"/>
      <c r="X446" s="58"/>
      <c r="Y446" s="68">
        <f ca="1">Table24[[#This Row],[End Date]]+2-TODAY()</f>
        <v>-46242</v>
      </c>
      <c r="Z446" s="13">
        <f>IF(ISBLANK(Table24[[#This Row],[Roster Received By]]),1,0)</f>
        <v>1</v>
      </c>
      <c r="AA446" s="59">
        <f ca="1">IF(Table24[[#This Row],[Start Date]]&gt;TODAY(),1,)</f>
        <v>0</v>
      </c>
    </row>
    <row r="447" spans="1:27" s="46" customFormat="1" x14ac:dyDescent="0.25">
      <c r="B447" s="58"/>
      <c r="C447" s="59" t="e">
        <v>#N/A</v>
      </c>
      <c r="D447" s="59" t="e">
        <v>#N/A</v>
      </c>
      <c r="E447" s="58"/>
      <c r="F447" s="61"/>
      <c r="G447" s="61"/>
      <c r="H447" s="61"/>
      <c r="I447" s="60"/>
      <c r="J447" s="60"/>
      <c r="K447" s="60"/>
      <c r="L447" s="60"/>
      <c r="M447" s="60"/>
      <c r="N447" s="60"/>
      <c r="O447" s="58"/>
      <c r="P447" s="58"/>
      <c r="Q447" s="13" t="e">
        <v>#N/A</v>
      </c>
      <c r="R447" s="13" t="e">
        <v>#N/A</v>
      </c>
      <c r="S447" s="13"/>
      <c r="T447" s="62"/>
      <c r="U447" s="13"/>
      <c r="V447" s="13"/>
      <c r="W447" s="59"/>
      <c r="X447" s="58"/>
      <c r="Y447" s="68">
        <f ca="1">Table24[[#This Row],[End Date]]+2-TODAY()</f>
        <v>-46242</v>
      </c>
      <c r="Z447" s="13">
        <f>IF(ISBLANK(Table24[[#This Row],[Roster Received By]]),1,0)</f>
        <v>1</v>
      </c>
      <c r="AA447" s="59">
        <f ca="1">IF(Table24[[#This Row],[Start Date]]&gt;TODAY(),1,)</f>
        <v>0</v>
      </c>
    </row>
    <row r="448" spans="1:27" s="46" customFormat="1" x14ac:dyDescent="0.25">
      <c r="A448" s="101"/>
      <c r="B448" s="58"/>
      <c r="C448" s="59" t="e">
        <v>#N/A</v>
      </c>
      <c r="D448" s="59" t="e">
        <v>#N/A</v>
      </c>
      <c r="E448" s="58"/>
      <c r="F448" s="61"/>
      <c r="G448" s="61"/>
      <c r="H448" s="64"/>
      <c r="I448" s="64"/>
      <c r="J448" s="61"/>
      <c r="K448" s="61"/>
      <c r="L448" s="61"/>
      <c r="M448" s="61"/>
      <c r="N448" s="61"/>
      <c r="O448" s="58"/>
      <c r="P448" s="58"/>
      <c r="Q448" s="13" t="e">
        <v>#N/A</v>
      </c>
      <c r="R448" s="13" t="e">
        <v>#N/A</v>
      </c>
      <c r="S448" s="62"/>
      <c r="T448" s="62"/>
      <c r="U448" s="13"/>
      <c r="V448" s="13"/>
      <c r="W448" s="59"/>
      <c r="X448" s="58"/>
      <c r="Y448" s="68">
        <f ca="1">Table24[[#This Row],[End Date]]+2-TODAY()</f>
        <v>-46242</v>
      </c>
      <c r="Z448" s="13">
        <f>IF(ISBLANK(Table24[[#This Row],[Roster Received By]]),1,0)</f>
        <v>1</v>
      </c>
      <c r="AA448" s="59">
        <f ca="1">IF(Table24[[#This Row],[Start Date]]&gt;TODAY(),1,)</f>
        <v>0</v>
      </c>
    </row>
    <row r="449" spans="1:27" s="46" customFormat="1" x14ac:dyDescent="0.25">
      <c r="B449" s="58"/>
      <c r="C449" s="59" t="e">
        <v>#N/A</v>
      </c>
      <c r="D449" s="59" t="e">
        <v>#N/A</v>
      </c>
      <c r="E449" s="58"/>
      <c r="F449" s="61"/>
      <c r="G449" s="61"/>
      <c r="H449" s="61"/>
      <c r="I449" s="60"/>
      <c r="J449" s="60"/>
      <c r="K449" s="60"/>
      <c r="L449" s="60"/>
      <c r="M449" s="60"/>
      <c r="N449" s="60"/>
      <c r="O449" s="58"/>
      <c r="P449" s="58"/>
      <c r="Q449" s="13" t="e">
        <v>#N/A</v>
      </c>
      <c r="R449" s="13" t="e">
        <v>#N/A</v>
      </c>
      <c r="S449" s="13"/>
      <c r="T449" s="62"/>
      <c r="U449" s="13"/>
      <c r="V449" s="13"/>
      <c r="W449" s="59"/>
      <c r="X449" s="58"/>
      <c r="Y449" s="68">
        <f ca="1">Table24[[#This Row],[End Date]]+2-TODAY()</f>
        <v>-46242</v>
      </c>
      <c r="Z449" s="13">
        <f>IF(ISBLANK(Table24[[#This Row],[Roster Received By]]),1,0)</f>
        <v>1</v>
      </c>
      <c r="AA449" s="59">
        <f ca="1">IF(Table24[[#This Row],[Start Date]]&gt;TODAY(),1,)</f>
        <v>0</v>
      </c>
    </row>
    <row r="450" spans="1:27" s="46" customFormat="1" x14ac:dyDescent="0.25">
      <c r="A450" s="58"/>
      <c r="B450" s="58"/>
      <c r="C450" s="59" t="e">
        <v>#N/A</v>
      </c>
      <c r="D450" s="59" t="e">
        <v>#N/A</v>
      </c>
      <c r="E450" s="58"/>
      <c r="F450" s="61"/>
      <c r="G450" s="61"/>
      <c r="H450" s="61"/>
      <c r="I450" s="60"/>
      <c r="J450" s="60"/>
      <c r="K450" s="60"/>
      <c r="L450" s="60"/>
      <c r="M450" s="60"/>
      <c r="N450" s="60"/>
      <c r="O450" s="58"/>
      <c r="P450" s="58"/>
      <c r="Q450" s="13" t="e">
        <v>#N/A</v>
      </c>
      <c r="R450" s="13" t="e">
        <v>#N/A</v>
      </c>
      <c r="S450" s="13"/>
      <c r="T450" s="62"/>
      <c r="U450" s="13"/>
      <c r="V450" s="13"/>
      <c r="W450" s="59"/>
      <c r="X450" s="58"/>
      <c r="Y450" s="68">
        <f ca="1">Table24[[#This Row],[End Date]]+2-TODAY()</f>
        <v>-46242</v>
      </c>
      <c r="Z450" s="13">
        <f>IF(ISBLANK(Table24[[#This Row],[Roster Received By]]),1,0)</f>
        <v>1</v>
      </c>
      <c r="AA450" s="59">
        <f ca="1">IF(Table24[[#This Row],[Start Date]]&gt;TODAY(),1,)</f>
        <v>0</v>
      </c>
    </row>
    <row r="451" spans="1:27" s="46" customFormat="1" x14ac:dyDescent="0.25">
      <c r="B451" s="58"/>
      <c r="C451" s="59" t="e">
        <v>#N/A</v>
      </c>
      <c r="D451" s="59" t="e">
        <v>#N/A</v>
      </c>
      <c r="E451" s="58"/>
      <c r="F451" s="61"/>
      <c r="G451" s="61"/>
      <c r="H451" s="64"/>
      <c r="I451" s="64"/>
      <c r="J451" s="61"/>
      <c r="K451" s="61"/>
      <c r="L451" s="61"/>
      <c r="M451" s="61"/>
      <c r="N451" s="61"/>
      <c r="O451" s="58"/>
      <c r="P451" s="58"/>
      <c r="Q451" s="13" t="e">
        <v>#N/A</v>
      </c>
      <c r="R451" s="13" t="e">
        <v>#N/A</v>
      </c>
      <c r="S451" s="62"/>
      <c r="T451" s="62"/>
      <c r="U451" s="13"/>
      <c r="V451" s="13"/>
      <c r="W451" s="59"/>
      <c r="X451" s="58"/>
      <c r="Y451" s="68">
        <f ca="1">Table24[[#This Row],[End Date]]+2-TODAY()</f>
        <v>-46242</v>
      </c>
      <c r="Z451" s="13">
        <f>IF(ISBLANK(Table24[[#This Row],[Roster Received By]]),1,0)</f>
        <v>1</v>
      </c>
      <c r="AA451" s="59">
        <f ca="1">IF(Table24[[#This Row],[Start Date]]&gt;TODAY(),1,)</f>
        <v>0</v>
      </c>
    </row>
    <row r="452" spans="1:27" s="46" customFormat="1" x14ac:dyDescent="0.25">
      <c r="B452" s="58"/>
      <c r="C452" s="59" t="e">
        <v>#N/A</v>
      </c>
      <c r="D452" s="59" t="e">
        <v>#N/A</v>
      </c>
      <c r="E452" s="58"/>
      <c r="F452" s="61"/>
      <c r="G452" s="61"/>
      <c r="H452" s="64"/>
      <c r="I452" s="64"/>
      <c r="J452" s="61"/>
      <c r="K452" s="61"/>
      <c r="L452" s="61"/>
      <c r="M452" s="61"/>
      <c r="N452" s="61"/>
      <c r="O452" s="58"/>
      <c r="P452" s="58"/>
      <c r="Q452" s="13" t="e">
        <v>#N/A</v>
      </c>
      <c r="R452" s="13" t="e">
        <v>#N/A</v>
      </c>
      <c r="S452" s="13"/>
      <c r="T452" s="62"/>
      <c r="U452" s="13"/>
      <c r="V452" s="13"/>
      <c r="W452" s="59"/>
      <c r="X452" s="58"/>
      <c r="Y452" s="68">
        <f ca="1">Table24[[#This Row],[End Date]]+2-TODAY()</f>
        <v>-46242</v>
      </c>
      <c r="Z452" s="13">
        <f>IF(ISBLANK(Table24[[#This Row],[Roster Received By]]),1,0)</f>
        <v>1</v>
      </c>
      <c r="AA452" s="59">
        <f ca="1">IF(Table24[[#This Row],[Start Date]]&gt;TODAY(),1,)</f>
        <v>0</v>
      </c>
    </row>
    <row r="453" spans="1:27" s="46" customFormat="1" x14ac:dyDescent="0.25">
      <c r="B453" s="58"/>
      <c r="C453" s="59" t="e">
        <v>#N/A</v>
      </c>
      <c r="D453" s="59" t="e">
        <v>#N/A</v>
      </c>
      <c r="E453" s="58"/>
      <c r="F453" s="61"/>
      <c r="G453" s="61"/>
      <c r="H453" s="64"/>
      <c r="I453" s="64"/>
      <c r="J453" s="61"/>
      <c r="K453" s="61"/>
      <c r="L453" s="61"/>
      <c r="M453" s="61"/>
      <c r="N453" s="61"/>
      <c r="O453" s="58"/>
      <c r="P453" s="58"/>
      <c r="Q453" s="13" t="e">
        <v>#N/A</v>
      </c>
      <c r="R453" s="13" t="e">
        <v>#N/A</v>
      </c>
      <c r="S453" s="62"/>
      <c r="T453" s="62"/>
      <c r="U453" s="13"/>
      <c r="V453" s="13"/>
      <c r="W453" s="59"/>
      <c r="X453" s="58"/>
      <c r="Y453" s="68">
        <f ca="1">Table24[[#This Row],[End Date]]+2-TODAY()</f>
        <v>-46242</v>
      </c>
      <c r="Z453" s="13">
        <f>IF(ISBLANK(Table24[[#This Row],[Roster Received By]]),1,0)</f>
        <v>1</v>
      </c>
      <c r="AA453" s="59">
        <f ca="1">IF(Table24[[#This Row],[Start Date]]&gt;TODAY(),1,)</f>
        <v>0</v>
      </c>
    </row>
    <row r="454" spans="1:27" s="46" customFormat="1" x14ac:dyDescent="0.25">
      <c r="B454" s="58"/>
      <c r="C454" s="59" t="e">
        <v>#N/A</v>
      </c>
      <c r="D454" s="59" t="e">
        <v>#N/A</v>
      </c>
      <c r="E454" s="58"/>
      <c r="F454" s="61"/>
      <c r="G454" s="61"/>
      <c r="H454" s="64"/>
      <c r="I454" s="64"/>
      <c r="J454" s="61"/>
      <c r="K454" s="61"/>
      <c r="L454" s="61"/>
      <c r="M454" s="61"/>
      <c r="N454" s="61"/>
      <c r="O454" s="58"/>
      <c r="P454" s="58"/>
      <c r="Q454" s="13" t="e">
        <v>#N/A</v>
      </c>
      <c r="R454" s="13" t="e">
        <v>#N/A</v>
      </c>
      <c r="S454" s="13"/>
      <c r="T454" s="62"/>
      <c r="U454" s="13"/>
      <c r="V454" s="13"/>
      <c r="W454" s="13"/>
      <c r="X454" s="58"/>
      <c r="Y454" s="51">
        <f ca="1">Table24[[#This Row],[End Date]]+2-TODAY()</f>
        <v>-46242</v>
      </c>
      <c r="Z454" s="13">
        <f>IF(ISBLANK(Table24[[#This Row],[Roster Received By]]),1,0)</f>
        <v>1</v>
      </c>
      <c r="AA454" s="13">
        <f ca="1">IF(Table24[[#This Row],[Start Date]]&gt;TODAY(),1,)</f>
        <v>0</v>
      </c>
    </row>
    <row r="455" spans="1:27" s="46" customFormat="1" x14ac:dyDescent="0.25">
      <c r="B455" s="58"/>
      <c r="C455" s="59" t="e">
        <v>#N/A</v>
      </c>
      <c r="D455" s="59" t="e">
        <v>#N/A</v>
      </c>
      <c r="E455" s="58"/>
      <c r="F455" s="61"/>
      <c r="G455" s="61"/>
      <c r="H455" s="64"/>
      <c r="I455" s="64"/>
      <c r="J455" s="61"/>
      <c r="K455" s="61"/>
      <c r="L455" s="61"/>
      <c r="M455" s="61"/>
      <c r="N455" s="61"/>
      <c r="O455" s="58"/>
      <c r="P455" s="58"/>
      <c r="Q455" s="13" t="e">
        <v>#N/A</v>
      </c>
      <c r="R455" s="13" t="e">
        <v>#N/A</v>
      </c>
      <c r="S455" s="13"/>
      <c r="T455" s="62"/>
      <c r="U455" s="13"/>
      <c r="V455" s="13"/>
      <c r="W455" s="59"/>
      <c r="X455" s="58"/>
      <c r="Y455" s="68">
        <f ca="1">Table24[[#This Row],[End Date]]+2-TODAY()</f>
        <v>-46242</v>
      </c>
      <c r="Z455" s="13">
        <f>IF(ISBLANK(Table24[[#This Row],[Roster Received By]]),1,0)</f>
        <v>1</v>
      </c>
      <c r="AA455" s="59">
        <f ca="1">IF(Table24[[#This Row],[Start Date]]&gt;TODAY(),1,)</f>
        <v>0</v>
      </c>
    </row>
    <row r="456" spans="1:27" s="46" customFormat="1" x14ac:dyDescent="0.25">
      <c r="B456" s="58"/>
      <c r="C456" s="59" t="e">
        <v>#N/A</v>
      </c>
      <c r="D456" s="59" t="e">
        <v>#N/A</v>
      </c>
      <c r="E456" s="47"/>
      <c r="F456" s="61"/>
      <c r="G456" s="61"/>
      <c r="H456" s="64"/>
      <c r="I456" s="64"/>
      <c r="J456" s="61"/>
      <c r="K456" s="61"/>
      <c r="L456" s="61"/>
      <c r="M456" s="61"/>
      <c r="N456" s="61"/>
      <c r="O456" s="58"/>
      <c r="P456" s="58"/>
      <c r="Q456" s="13" t="e">
        <v>#N/A</v>
      </c>
      <c r="R456" s="13" t="e">
        <v>#N/A</v>
      </c>
      <c r="S456" s="13"/>
      <c r="T456" s="62"/>
      <c r="U456" s="13"/>
      <c r="V456" s="13"/>
      <c r="W456" s="59"/>
      <c r="X456" s="58"/>
      <c r="Y456" s="68">
        <f ca="1">Table24[[#This Row],[End Date]]+2-TODAY()</f>
        <v>-46242</v>
      </c>
      <c r="Z456" s="13">
        <f>IF(ISBLANK(Table24[[#This Row],[Roster Received By]]),1,0)</f>
        <v>1</v>
      </c>
      <c r="AA456" s="59">
        <f ca="1">IF(Table24[[#This Row],[Start Date]]&gt;TODAY(),1,)</f>
        <v>0</v>
      </c>
    </row>
    <row r="457" spans="1:27" s="46" customFormat="1" x14ac:dyDescent="0.25">
      <c r="B457" s="58"/>
      <c r="C457" s="59" t="e">
        <v>#N/A</v>
      </c>
      <c r="D457" s="59" t="e">
        <v>#N/A</v>
      </c>
      <c r="E457" s="58"/>
      <c r="F457" s="61"/>
      <c r="G457" s="61"/>
      <c r="H457" s="64"/>
      <c r="I457" s="64"/>
      <c r="J457" s="61"/>
      <c r="K457" s="61"/>
      <c r="L457" s="61"/>
      <c r="M457" s="61"/>
      <c r="N457" s="61"/>
      <c r="O457" s="58"/>
      <c r="P457" s="58"/>
      <c r="Q457" s="13" t="e">
        <v>#N/A</v>
      </c>
      <c r="R457" s="13" t="e">
        <v>#N/A</v>
      </c>
      <c r="S457" s="62"/>
      <c r="T457" s="62"/>
      <c r="U457" s="13"/>
      <c r="V457" s="13"/>
      <c r="W457" s="59"/>
      <c r="X457" s="58"/>
      <c r="Y457" s="68">
        <f ca="1">Table24[[#This Row],[End Date]]+2-TODAY()</f>
        <v>-46242</v>
      </c>
      <c r="Z457" s="13">
        <f>IF(ISBLANK(Table24[[#This Row],[Roster Received By]]),1,0)</f>
        <v>1</v>
      </c>
      <c r="AA457" s="59">
        <f ca="1">IF(Table24[[#This Row],[Start Date]]&gt;TODAY(),1,)</f>
        <v>0</v>
      </c>
    </row>
    <row r="458" spans="1:27" s="46" customFormat="1" ht="15.75" thickBot="1" x14ac:dyDescent="0.3">
      <c r="A458" s="102"/>
      <c r="B458" s="102"/>
      <c r="C458" s="103" t="e">
        <v>#N/A</v>
      </c>
      <c r="D458" s="103" t="e">
        <v>#N/A</v>
      </c>
      <c r="E458" s="58"/>
      <c r="F458" s="61"/>
      <c r="G458" s="61"/>
      <c r="H458" s="64"/>
      <c r="I458" s="64"/>
      <c r="J458" s="104"/>
      <c r="K458" s="104"/>
      <c r="L458" s="104"/>
      <c r="M458" s="104"/>
      <c r="N458" s="104"/>
      <c r="O458" s="58"/>
      <c r="P458" s="58"/>
      <c r="Q458" s="13" t="e">
        <v>#N/A</v>
      </c>
      <c r="R458" s="13" t="e">
        <v>#N/A</v>
      </c>
      <c r="S458" s="105"/>
      <c r="T458" s="62"/>
      <c r="U458" s="13"/>
      <c r="V458" s="13"/>
      <c r="W458" s="13"/>
      <c r="X458" s="58"/>
      <c r="Y458" s="51">
        <f ca="1">Table24[[#This Row],[End Date]]+2-TODAY()</f>
        <v>-46242</v>
      </c>
      <c r="Z458" s="13">
        <f>IF(ISBLANK(Table24[[#This Row],[Roster Received By]]),1,0)</f>
        <v>1</v>
      </c>
      <c r="AA458" s="13">
        <f ca="1">IF(Table24[[#This Row],[Start Date]]&gt;TODAY(),1,)</f>
        <v>0</v>
      </c>
    </row>
    <row r="459" spans="1:27" ht="15.75" thickTop="1" x14ac:dyDescent="0.25">
      <c r="A459" s="128" t="s">
        <v>243</v>
      </c>
      <c r="B459" s="128">
        <f>SUBTOTAL(103,Table24[Course Title])</f>
        <v>161</v>
      </c>
      <c r="C459" s="128"/>
      <c r="D459" s="128"/>
      <c r="E459" s="128"/>
      <c r="F459" s="129"/>
      <c r="G459" s="129"/>
      <c r="H459" s="128"/>
      <c r="I459" s="128"/>
      <c r="J459" s="128"/>
      <c r="K459" s="128"/>
      <c r="L459" s="128"/>
      <c r="M459" s="128"/>
      <c r="N459" s="128"/>
      <c r="O459" s="128"/>
      <c r="P459" s="128"/>
      <c r="Q459" s="130" t="e">
        <f>SUBTOTAL(109,Q4:Q458)</f>
        <v>#N/A</v>
      </c>
      <c r="R459" s="130" t="e">
        <f>SUBTOTAL(109,Table24[Course Length (Days)])</f>
        <v>#N/A</v>
      </c>
      <c r="S459" s="130">
        <f>SUBTOTAL(109,S4:S458)</f>
        <v>0</v>
      </c>
      <c r="T459" s="130">
        <f>SUBTOTAL(109,T4:T458)</f>
        <v>0</v>
      </c>
      <c r="U459" s="130">
        <f>SUBTOTAL(109,U4:U458)</f>
        <v>0</v>
      </c>
      <c r="V459" s="130">
        <f>SUBTOTAL(109,V4:V458)</f>
        <v>0</v>
      </c>
      <c r="W459" s="130">
        <f>SUBTOTAL(109,W4:W458)</f>
        <v>0</v>
      </c>
      <c r="X459" s="128">
        <f>SUBTOTAL(103,Table24[Roster Received By])</f>
        <v>0</v>
      </c>
      <c r="Y459" s="131"/>
      <c r="Z459" s="128"/>
      <c r="AA459" s="128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183:D458 C107:D181 C4:D101" name="CIN CDP_1"/>
    <protectedRange algorithmName="SHA-512" hashValue="n6K25g9uzAcpntxjqTQaPVdKX1eij75CLB1gBuUNBybVL5B3VaxVW/Tcen54TXijIel0fCN9KO3xZiLZCJMSZw==" saltValue="89UdTK4UUElaUoKBccfOYw==" spinCount="100000" sqref="C102:D103" name="CIN CDP_1_1"/>
    <protectedRange algorithmName="SHA-512" hashValue="n6K25g9uzAcpntxjqTQaPVdKX1eij75CLB1gBuUNBybVL5B3VaxVW/Tcen54TXijIel0fCN9KO3xZiLZCJMSZw==" saltValue="89UdTK4UUElaUoKBccfOYw==" spinCount="100000" sqref="C104:D105" name="CIN CDP_2"/>
    <protectedRange algorithmName="SHA-512" hashValue="n6K25g9uzAcpntxjqTQaPVdKX1eij75CLB1gBuUNBybVL5B3VaxVW/Tcen54TXijIel0fCN9KO3xZiLZCJMSZw==" saltValue="89UdTK4UUElaUoKBccfOYw==" spinCount="100000" sqref="C106:D106" name="CIN CDP_3"/>
    <protectedRange algorithmName="SHA-512" hashValue="n6K25g9uzAcpntxjqTQaPVdKX1eij75CLB1gBuUNBybVL5B3VaxVW/Tcen54TXijIel0fCN9KO3xZiLZCJMSZw==" saltValue="89UdTK4UUElaUoKBccfOYw==" spinCount="100000" sqref="C182:D182" name="CIN CDP_1_1_2"/>
  </protectedRanges>
  <conditionalFormatting sqref="A19:A42 J24:N30 F27:G30 E31:G31 F32:G32 E33:G34 F35:G35 F36:H36 J37:N37 F37:F38 E39:F39 J39:N39 E40:H40 E43 E44:F48 A44:A55 F49:F52 E53:F53 E54 A57:A59 J63:N63 A64 A79:A85 A96 E107:G107 E108:E116 A110 A120 A130:A134 A143:A145 J147:N147 A147:A153 I149:N149 J152:N152 A155:A171 B155:B172 J158:N162 J165:N165 E167:E168 J167:N168 E170:E172 A173:B173 J174:N174 B174:B181 E174:E181 A175:A176 J176:N177 A178 J180:N181 J183:N186 E183:E190 B183:B191 A185:A189 F186:G186 F188:H190 E192:E198 A192:B200 E200 B201:B202 A201:A214 B208 A216:A230 B217:B219 B222 B226 A232:A236 J236:N236 A240 A248 A269 A280 A287 E288:E295 E297:E310 F299:H299 F301:H301 E312:E315 A315 A328 A371 E381:E386 E388:E393 M394:N394 E395:E397 E399:E403 A411 E412:E419 A417 A422">
    <cfRule type="expression" dxfId="1221" priority="297">
      <formula>$T19="McQueen, Jennifer"</formula>
    </cfRule>
    <cfRule type="expression" dxfId="1220" priority="296">
      <formula>$T19="Jenne, Richard"</formula>
    </cfRule>
    <cfRule type="expression" dxfId="1219" priority="295">
      <formula>$T19="Benzick, Sue"</formula>
    </cfRule>
  </conditionalFormatting>
  <conditionalFormatting sqref="A136:A141 E150:E153">
    <cfRule type="expression" dxfId="1218" priority="119">
      <formula>$T136="Jenne, Richard"</formula>
    </cfRule>
    <cfRule type="expression" dxfId="1217" priority="120">
      <formula>$T136="McQueen, Jennifer"</formula>
    </cfRule>
    <cfRule type="expression" dxfId="1216" priority="118">
      <formula>$T136="Benzick, Sue"</formula>
    </cfRule>
  </conditionalFormatting>
  <conditionalFormatting sqref="A182:B182">
    <cfRule type="expression" dxfId="1215" priority="138">
      <formula>$T182="McQueen, Jennifer"</formula>
    </cfRule>
    <cfRule type="expression" dxfId="1214" priority="137">
      <formula>$T182="Jenne, Richard"</formula>
    </cfRule>
    <cfRule type="expression" dxfId="1213" priority="136">
      <formula>$T182="Benzick, Sue"</formula>
    </cfRule>
  </conditionalFormatting>
  <conditionalFormatting sqref="E117:G117 E118:E126 E199:G199 H219:I219 H220 H221:I226 I234 H235:I236 H239:I245 H255:I256 H258:I258 H274:I274 H275 H276:I280 H288:I288">
    <cfRule type="expression" dxfId="1212" priority="270">
      <formula>#REF!="McQueen, Jennifer"</formula>
    </cfRule>
    <cfRule type="expression" dxfId="1211" priority="269">
      <formula>#REF!="Jenne, Richard"</formula>
    </cfRule>
    <cfRule type="expression" dxfId="1210" priority="268">
      <formula>#REF!="Benzick, Sue"</formula>
    </cfRule>
  </conditionalFormatting>
  <conditionalFormatting sqref="E213:G217">
    <cfRule type="expression" dxfId="1209" priority="247">
      <formula>#REF!="Benzick, Sue"</formula>
    </cfRule>
    <cfRule type="expression" dxfId="1208" priority="248">
      <formula>#REF!="Jenne, Richard"</formula>
    </cfRule>
    <cfRule type="expression" dxfId="1207" priority="249">
      <formula>#REF!="McQueen, Jennifer"</formula>
    </cfRule>
  </conditionalFormatting>
  <conditionalFormatting sqref="E445:G445 E458:G458">
    <cfRule type="expression" dxfId="1206" priority="237">
      <formula>#REF!="McQueen, Jennifer"</formula>
    </cfRule>
    <cfRule type="expression" dxfId="1205" priority="235">
      <formula>#REF!="Benzick, Sue"</formula>
    </cfRule>
    <cfRule type="expression" dxfId="1204" priority="236">
      <formula>#REF!="Jenne, Richard"</formula>
    </cfRule>
  </conditionalFormatting>
  <conditionalFormatting sqref="E200:H200 E201:G205 F206:G206 E207:G207 E208:I210 E211:H211 H229:I233 H247:I248 H250:I250 H263:I264 H269:I269 H271:I272 H282:I282 H287:N287">
    <cfRule type="expression" dxfId="1203" priority="253">
      <formula>#REF!="Benzick, Sue"</formula>
    </cfRule>
    <cfRule type="expression" dxfId="1202" priority="254">
      <formula>#REF!="Jenne, Richard"</formula>
    </cfRule>
    <cfRule type="expression" dxfId="1201" priority="255">
      <formula>#REF!="McQueen, Jennifer"</formula>
    </cfRule>
  </conditionalFormatting>
  <conditionalFormatting sqref="E218:H218">
    <cfRule type="expression" dxfId="1200" priority="250">
      <formula>#REF!="Benzick, Sue"</formula>
    </cfRule>
    <cfRule type="expression" dxfId="1199" priority="251">
      <formula>#REF!="Jenne, Richard"</formula>
    </cfRule>
    <cfRule type="expression" dxfId="1198" priority="252">
      <formula>#REF!="McQueen, Jennifer"</formula>
    </cfRule>
  </conditionalFormatting>
  <conditionalFormatting sqref="F98">
    <cfRule type="expression" dxfId="1197" priority="97">
      <formula>$R98="Benzick, Sue"</formula>
    </cfRule>
    <cfRule type="expression" dxfId="1196" priority="99">
      <formula>$R98="McQueen, Jennifer"</formula>
    </cfRule>
    <cfRule type="expression" dxfId="1195" priority="98">
      <formula>$R98="Jenne, Richard"</formula>
    </cfRule>
  </conditionalFormatting>
  <conditionalFormatting sqref="F100">
    <cfRule type="expression" dxfId="1194" priority="80">
      <formula>$R100="Jenne, Richard"</formula>
    </cfRule>
    <cfRule type="expression" dxfId="1193" priority="79">
      <formula>$R100="Benzick, Sue"</formula>
    </cfRule>
    <cfRule type="expression" dxfId="1192" priority="81">
      <formula>$R100="McQueen, Jennifer"</formula>
    </cfRule>
  </conditionalFormatting>
  <conditionalFormatting sqref="F129">
    <cfRule type="expression" dxfId="1191" priority="95">
      <formula>$R129="Jenne, Richard"</formula>
    </cfRule>
    <cfRule type="expression" dxfId="1190" priority="96">
      <formula>$R129="McQueen, Jennifer"</formula>
    </cfRule>
    <cfRule type="expression" dxfId="1189" priority="94">
      <formula>$R129="Benzick, Sue"</formula>
    </cfRule>
  </conditionalFormatting>
  <conditionalFormatting sqref="F155 F164">
    <cfRule type="expression" dxfId="1188" priority="231">
      <formula>$S157="McQueen, Jennifer"</formula>
    </cfRule>
    <cfRule type="expression" dxfId="1187" priority="230">
      <formula>$S157="Jenne, Richard"</formula>
    </cfRule>
    <cfRule type="expression" dxfId="1186" priority="229">
      <formula>$S157="Benzick, Sue"</formula>
    </cfRule>
  </conditionalFormatting>
  <conditionalFormatting sqref="F159:F160 F163">
    <cfRule type="expression" dxfId="1185" priority="233">
      <formula>$S160="Jenne, Richard"</formula>
    </cfRule>
    <cfRule type="expression" dxfId="1184" priority="232">
      <formula>$S160="Benzick, Sue"</formula>
    </cfRule>
    <cfRule type="expression" dxfId="1183" priority="234">
      <formula>$S160="McQueen, Jennifer"</formula>
    </cfRule>
  </conditionalFormatting>
  <conditionalFormatting sqref="F162">
    <cfRule type="expression" dxfId="1182" priority="225">
      <formula>#REF!="McQueen, Jennifer"</formula>
    </cfRule>
    <cfRule type="expression" dxfId="1181" priority="224">
      <formula>#REF!="Jenne, Richard"</formula>
    </cfRule>
    <cfRule type="expression" dxfId="1180" priority="223">
      <formula>#REF!="Benzick, Sue"</formula>
    </cfRule>
  </conditionalFormatting>
  <conditionalFormatting sqref="F166">
    <cfRule type="expression" dxfId="1179" priority="221">
      <formula>$S170="Jenne, Richard"</formula>
    </cfRule>
    <cfRule type="expression" dxfId="1178" priority="220">
      <formula>$S170="Benzick, Sue"</formula>
    </cfRule>
    <cfRule type="expression" dxfId="1177" priority="222">
      <formula>$S170="McQueen, Jennifer"</formula>
    </cfRule>
  </conditionalFormatting>
  <conditionalFormatting sqref="F193 F195">
    <cfRule type="expression" dxfId="1176" priority="289">
      <formula>$T194="Benzick, Sue"</formula>
    </cfRule>
    <cfRule type="expression" dxfId="1175" priority="291">
      <formula>$T194="McQueen, Jennifer"</formula>
    </cfRule>
    <cfRule type="expression" dxfId="1174" priority="290">
      <formula>$T194="Jenne, Richard"</formula>
    </cfRule>
  </conditionalFormatting>
  <conditionalFormatting sqref="F194">
    <cfRule type="expression" dxfId="1173" priority="312">
      <formula>#REF!="McQueen, Jennifer"</formula>
    </cfRule>
    <cfRule type="expression" dxfId="1172" priority="310">
      <formula>#REF!="Benzick, Sue"</formula>
    </cfRule>
    <cfRule type="expression" dxfId="1171" priority="311">
      <formula>#REF!="Jenne, Richard"</formula>
    </cfRule>
  </conditionalFormatting>
  <conditionalFormatting sqref="F302">
    <cfRule type="expression" dxfId="1170" priority="307">
      <formula>#REF!="Benzick, Sue"</formula>
    </cfRule>
    <cfRule type="expression" dxfId="1169" priority="308">
      <formula>#REF!="Jenne, Richard"</formula>
    </cfRule>
    <cfRule type="expression" dxfId="1168" priority="309">
      <formula>#REF!="McQueen, Jennifer"</formula>
    </cfRule>
  </conditionalFormatting>
  <conditionalFormatting sqref="F55:G55 E56:H56 E79:F80 F81:F85 F87 F95:F96 F140:G140 F153 J217:M217">
    <cfRule type="expression" dxfId="1167" priority="292">
      <formula>$R55="Benzick, Sue"</formula>
    </cfRule>
    <cfRule type="expression" dxfId="1166" priority="294">
      <formula>$R55="McQueen, Jennifer"</formula>
    </cfRule>
    <cfRule type="expression" dxfId="1165" priority="293">
      <formula>$R55="Jenne, Richard"</formula>
    </cfRule>
  </conditionalFormatting>
  <conditionalFormatting sqref="F92:G93">
    <cfRule type="expression" dxfId="1164" priority="107">
      <formula>#REF!="Jenne, Richard"</formula>
    </cfRule>
    <cfRule type="expression" dxfId="1163" priority="108">
      <formula>#REF!="McQueen, Jennifer"</formula>
    </cfRule>
    <cfRule type="expression" dxfId="1162" priority="106">
      <formula>#REF!="Benzick, Sue"</formula>
    </cfRule>
  </conditionalFormatting>
  <conditionalFormatting sqref="F99:G99">
    <cfRule type="expression" dxfId="1161" priority="110">
      <formula>#REF!="Jenne, Richard"</formula>
    </cfRule>
    <cfRule type="expression" dxfId="1160" priority="111">
      <formula>#REF!="McQueen, Jennifer"</formula>
    </cfRule>
    <cfRule type="expression" dxfId="1159" priority="109">
      <formula>#REF!="Benzick, Sue"</formula>
    </cfRule>
  </conditionalFormatting>
  <conditionalFormatting sqref="F114:G116">
    <cfRule type="expression" dxfId="1158" priority="83">
      <formula>#REF!="Jenne, Richard"</formula>
    </cfRule>
    <cfRule type="expression" dxfId="1157" priority="82">
      <formula>#REF!="Benzick, Sue"</formula>
    </cfRule>
    <cfRule type="expression" dxfId="1156" priority="84">
      <formula>#REF!="McQueen, Jennifer"</formula>
    </cfRule>
  </conditionalFormatting>
  <conditionalFormatting sqref="F118:G118">
    <cfRule type="expression" dxfId="1155" priority="115">
      <formula>$T118="Benzick, Sue"</formula>
    </cfRule>
    <cfRule type="expression" dxfId="1154" priority="117">
      <formula>$T118="McQueen, Jennifer"</formula>
    </cfRule>
    <cfRule type="expression" dxfId="1153" priority="116">
      <formula>$T118="Jenne, Richard"</formula>
    </cfRule>
  </conditionalFormatting>
  <conditionalFormatting sqref="F119:G121">
    <cfRule type="expression" dxfId="1152" priority="113">
      <formula>#REF!="Jenne, Richard"</formula>
    </cfRule>
    <cfRule type="expression" dxfId="1151" priority="114">
      <formula>#REF!="McQueen, Jennifer"</formula>
    </cfRule>
    <cfRule type="expression" dxfId="1150" priority="112">
      <formula>#REF!="Benzick, Sue"</formula>
    </cfRule>
  </conditionalFormatting>
  <conditionalFormatting sqref="F130:G133">
    <cfRule type="expression" dxfId="1149" priority="88">
      <formula>#REF!="Benzick, Sue"</formula>
    </cfRule>
    <cfRule type="expression" dxfId="1148" priority="90">
      <formula>#REF!="McQueen, Jennifer"</formula>
    </cfRule>
    <cfRule type="expression" dxfId="1147" priority="89">
      <formula>#REF!="Jenne, Richard"</formula>
    </cfRule>
  </conditionalFormatting>
  <conditionalFormatting sqref="F162:G162">
    <cfRule type="expression" dxfId="1146" priority="226">
      <formula>#REF!="Benzick, Sue"</formula>
    </cfRule>
    <cfRule type="expression" dxfId="1145" priority="228">
      <formula>#REF!="McQueen, Jennifer"</formula>
    </cfRule>
    <cfRule type="expression" dxfId="1144" priority="227">
      <formula>#REF!="Jenne, Richard"</formula>
    </cfRule>
  </conditionalFormatting>
  <conditionalFormatting sqref="F113:H113 H119:I121">
    <cfRule type="expression" dxfId="1143" priority="271">
      <formula>#REF!="Benzick, Sue"</formula>
    </cfRule>
    <cfRule type="expression" dxfId="1142" priority="272">
      <formula>#REF!="Jenne, Richard"</formula>
    </cfRule>
    <cfRule type="expression" dxfId="1141" priority="273">
      <formula>#REF!="McQueen, Jennifer"</formula>
    </cfRule>
  </conditionalFormatting>
  <conditionalFormatting sqref="F136:H136 E137:I137 H138 H139:I140 H143:I148 H149 H150:I150 H152:I152 I153 H160:H161 H162:I162 H165:I165 H167:I168 H170:I170 H172:I174 H177:I177 I184 H185:I186 H187 H191">
    <cfRule type="expression" dxfId="1140" priority="265">
      <formula>#REF!="Benzick, Sue"</formula>
    </cfRule>
    <cfRule type="expression" dxfId="1139" priority="266">
      <formula>#REF!="Jenne, Richard"</formula>
    </cfRule>
    <cfRule type="expression" dxfId="1138" priority="267">
      <formula>#REF!="McQueen, Jennifer"</formula>
    </cfRule>
  </conditionalFormatting>
  <conditionalFormatting sqref="F296:H296 H397:I402 H403">
    <cfRule type="expression" dxfId="1137" priority="245">
      <formula>#REF!="Jenne, Richard"</formula>
    </cfRule>
    <cfRule type="expression" dxfId="1136" priority="244">
      <formula>#REF!="Benzick, Sue"</formula>
    </cfRule>
    <cfRule type="expression" dxfId="1135" priority="246">
      <formula>#REF!="McQueen, Jennifer"</formula>
    </cfRule>
  </conditionalFormatting>
  <conditionalFormatting sqref="F297:H298 F382:H382 F384:H384 F385:G386">
    <cfRule type="expression" dxfId="1134" priority="243">
      <formula>$P297="McQueen, Jennifer"</formula>
    </cfRule>
    <cfRule type="expression" dxfId="1133" priority="242">
      <formula>$P297="Jenne, Richard"</formula>
    </cfRule>
    <cfRule type="expression" dxfId="1132" priority="241">
      <formula>$P297="Benzick, Sue"</formula>
    </cfRule>
  </conditionalFormatting>
  <conditionalFormatting sqref="F381:H381 F383:H383 F387:H388 F389:G390 F391:H393 F394:I394 F395:H396 F397:G398 H404:I404 H406:I409">
    <cfRule type="expression" dxfId="1131" priority="239">
      <formula>#REF!="Jenne, Richard"</formula>
    </cfRule>
    <cfRule type="expression" dxfId="1130" priority="238">
      <formula>#REF!="Benzick, Sue"</formula>
    </cfRule>
    <cfRule type="expression" dxfId="1129" priority="240">
      <formula>#REF!="McQueen, Jennifer"</formula>
    </cfRule>
  </conditionalFormatting>
  <conditionalFormatting sqref="G16:I20 G21:N21 G22:I22 F23:I26 H27:I30 H31:H35 J31:N36 I31:I63 H37:H39 J40:N40 H41:H43 J53:N53 J55:N57 H57:H59 J60:N61 H62:H63 I64:N64 J87:N87 K88:N91 I90:I91 H91 H92:I96 H97 H98:I98 I99:N100 H101:I102 J103:N104 I103:I116 J112:N112 I122 K122:N122 H123:I124 I125:I126 K125:N126 N128:N129 I129:M129 K130:N130 I130:I133 J132:N132 K133:N133 J141:N141 I151:N151 J153:N153 J155:N155 I156 K156:N156 I157:K157 M157:N157 H158:I159 J163:N163 I164:K164 M164:N164 H166:N166 I169:N169 H171:N171 I173:N173 I178:N179 H180:I181 H183:I183 I192:N192 I194:N198 H200:N200 H203 H206:N206 I211 H212:I217 I218 I227:N228 I237:N238 I249:N249 I251:N253 I254 I259:N262 I265:N268 I270:N270 I273:N273 I281:N281 I283:N284 I286:N286 I290:N290 I293:N294 H295:I295 I296:N299 H300:I300 I301:N301 I305:N305 H306:I306 H307:N307 I308:N311 H314:I314 I316:N316 I319:N321 I325:N325 I329:N330 I333:N333 I336:N336 I340:N340 I345:N345 I349:N349 I351:N351 I353:N353 H354:I354 I359:N359 H362:I362 I364:N367 I374:N374 I378:N384 I387:N388 I391:N391 I392 I393:N393 I395:N396 I405:N405 I410:N411 H412:I412 I413:N414 H415:I416 I417:N417 H418:I418 I419 H420:I429 I430:N431 H432:I432 I433:N434 H435:I436 H443:I450 F446:G457 I451 H452:I458">
    <cfRule type="expression" dxfId="1128" priority="287">
      <formula>#REF!="Jenne, Richard"</formula>
    </cfRule>
    <cfRule type="expression" dxfId="1127" priority="288">
      <formula>#REF!="McQueen, Jennifer"</formula>
    </cfRule>
    <cfRule type="expression" dxfId="1126" priority="286">
      <formula>#REF!="Benzick, Sue"</formula>
    </cfRule>
  </conditionalFormatting>
  <conditionalFormatting sqref="G182:N182">
    <cfRule type="expression" dxfId="1125" priority="133">
      <formula>#REF!="Benzick, Sue"</formula>
    </cfRule>
    <cfRule type="expression" dxfId="1124" priority="134">
      <formula>#REF!="Jenne, Richard"</formula>
    </cfRule>
    <cfRule type="expression" dxfId="1123" priority="135">
      <formula>#REF!="McQueen, Jennifer"</formula>
    </cfRule>
  </conditionalFormatting>
  <conditionalFormatting sqref="H46:H55 H114:H118 H127:I128 H129:H133 H134:I134 H135 H142 H169 H173 H175:H176 H184">
    <cfRule type="expression" dxfId="1122" priority="257">
      <formula>#REF!="Jenne, Richard"</formula>
    </cfRule>
    <cfRule type="expression" dxfId="1121" priority="258">
      <formula>#REF!="McQueen, Jennifer"</formula>
    </cfRule>
    <cfRule type="expression" dxfId="1120" priority="256">
      <formula>#REF!="Benzick, Sue"</formula>
    </cfRule>
  </conditionalFormatting>
  <conditionalFormatting sqref="H65 I65:I76 J66:N76 H77:I89 E127:G127 E128:E133 I154:N154">
    <cfRule type="expression" dxfId="1119" priority="259">
      <formula>#REF!="Benzick, Sue"</formula>
    </cfRule>
    <cfRule type="expression" dxfId="1118" priority="261">
      <formula>#REF!="McQueen, Jennifer"</formula>
    </cfRule>
    <cfRule type="expression" dxfId="1117" priority="260">
      <formula>#REF!="Jenne, Richard"</formula>
    </cfRule>
  </conditionalFormatting>
  <conditionalFormatting sqref="H125:H126">
    <cfRule type="expression" dxfId="1116" priority="282">
      <formula>#REF!="McQueen, Jennifer"</formula>
    </cfRule>
    <cfRule type="expression" dxfId="1115" priority="281">
      <formula>#REF!="Jenne, Richard"</formula>
    </cfRule>
    <cfRule type="expression" dxfId="1114" priority="280">
      <formula>#REF!="Benzick, Sue"</formula>
    </cfRule>
  </conditionalFormatting>
  <conditionalFormatting sqref="H234">
    <cfRule type="expression" dxfId="1113" priority="131">
      <formula>#REF!="Jenne, Richard"</formula>
    </cfRule>
    <cfRule type="expression" dxfId="1112" priority="130">
      <formula>#REF!="Benzick, Sue"</formula>
    </cfRule>
    <cfRule type="expression" dxfId="1111" priority="132">
      <formula>#REF!="McQueen, Jennifer"</formula>
    </cfRule>
  </conditionalFormatting>
  <conditionalFormatting sqref="H4:I15 H105:H112 F108:G110 F122:H122">
    <cfRule type="expression" dxfId="1110" priority="283">
      <formula>#REF!="Benzick, Sue"</formula>
    </cfRule>
    <cfRule type="expression" dxfId="1109" priority="284">
      <formula>#REF!="Jenne, Richard"</formula>
    </cfRule>
    <cfRule type="expression" dxfId="1108" priority="285">
      <formula>#REF!="McQueen, Jennifer"</formula>
    </cfRule>
  </conditionalFormatting>
  <conditionalFormatting sqref="I97">
    <cfRule type="expression" dxfId="1107" priority="216">
      <formula>#REF!="McQueen, Jennifer"</formula>
    </cfRule>
    <cfRule type="expression" dxfId="1106" priority="215">
      <formula>#REF!="Jenne, Richard"</formula>
    </cfRule>
    <cfRule type="expression" dxfId="1105" priority="214">
      <formula>#REF!="Benzick, Sue"</formula>
    </cfRule>
  </conditionalFormatting>
  <conditionalFormatting sqref="I135">
    <cfRule type="expression" dxfId="1104" priority="77">
      <formula>#REF!="Jenne, Richard"</formula>
    </cfRule>
    <cfRule type="expression" dxfId="1103" priority="78">
      <formula>#REF!="McQueen, Jennifer"</formula>
    </cfRule>
    <cfRule type="expression" dxfId="1102" priority="76">
      <formula>#REF!="Benzick, Sue"</formula>
    </cfRule>
  </conditionalFormatting>
  <conditionalFormatting sqref="I136">
    <cfRule type="expression" dxfId="1101" priority="19">
      <formula>$T136="Benzick, Sue"</formula>
    </cfRule>
    <cfRule type="expression" dxfId="1100" priority="21">
      <formula>$T136="McQueen, Jennifer"</formula>
    </cfRule>
    <cfRule type="expression" dxfId="1099" priority="20">
      <formula>$T136="Jenne, Richard"</formula>
    </cfRule>
  </conditionalFormatting>
  <conditionalFormatting sqref="I138">
    <cfRule type="expression" dxfId="1098" priority="27">
      <formula>$T138="McQueen, Jennifer"</formula>
    </cfRule>
    <cfRule type="expression" dxfId="1097" priority="26">
      <formula>$T138="Jenne, Richard"</formula>
    </cfRule>
    <cfRule type="expression" dxfId="1096" priority="25">
      <formula>$T138="Benzick, Sue"</formula>
    </cfRule>
  </conditionalFormatting>
  <conditionalFormatting sqref="I141:I142">
    <cfRule type="expression" dxfId="1095" priority="35">
      <formula>$T141="Jenne, Richard"</formula>
    </cfRule>
    <cfRule type="expression" dxfId="1094" priority="36">
      <formula>$T141="McQueen, Jennifer"</formula>
    </cfRule>
    <cfRule type="expression" dxfId="1093" priority="34">
      <formula>$T141="Benzick, Sue"</formula>
    </cfRule>
  </conditionalFormatting>
  <conditionalFormatting sqref="I155">
    <cfRule type="expression" dxfId="1092" priority="18">
      <formula>$T155="McQueen, Jennifer"</formula>
    </cfRule>
    <cfRule type="expression" dxfId="1091" priority="17">
      <formula>$T155="Jenne, Richard"</formula>
    </cfRule>
    <cfRule type="expression" dxfId="1090" priority="16">
      <formula>$T155="Benzick, Sue"</formula>
    </cfRule>
  </conditionalFormatting>
  <conditionalFormatting sqref="I160">
    <cfRule type="expression" dxfId="1089" priority="9">
      <formula>$T160="McQueen, Jennifer"</formula>
    </cfRule>
    <cfRule type="expression" dxfId="1088" priority="8">
      <formula>$T160="Jenne, Richard"</formula>
    </cfRule>
    <cfRule type="expression" dxfId="1087" priority="7">
      <formula>$T160="Benzick, Sue"</formula>
    </cfRule>
  </conditionalFormatting>
  <conditionalFormatting sqref="I161">
    <cfRule type="expression" dxfId="1086" priority="127">
      <formula>#REF!="Benzick, Sue"</formula>
    </cfRule>
    <cfRule type="expression" dxfId="1085" priority="128">
      <formula>#REF!="Jenne, Richard"</formula>
    </cfRule>
    <cfRule type="expression" dxfId="1084" priority="129">
      <formula>#REF!="McQueen, Jennifer"</formula>
    </cfRule>
  </conditionalFormatting>
  <conditionalFormatting sqref="I163">
    <cfRule type="expression" dxfId="1083" priority="5">
      <formula>$T163="Jenne, Richard"</formula>
    </cfRule>
    <cfRule type="expression" dxfId="1082" priority="4">
      <formula>$T163="Benzick, Sue"</formula>
    </cfRule>
    <cfRule type="expression" dxfId="1081" priority="6">
      <formula>$T163="McQueen, Jennifer"</formula>
    </cfRule>
  </conditionalFormatting>
  <conditionalFormatting sqref="I175:I176">
    <cfRule type="expression" dxfId="1080" priority="149">
      <formula>#REF!="Jenne, Richard"</formula>
    </cfRule>
    <cfRule type="expression" dxfId="1079" priority="148">
      <formula>#REF!="Benzick, Sue"</formula>
    </cfRule>
    <cfRule type="expression" dxfId="1078" priority="150">
      <formula>#REF!="McQueen, Jennifer"</formula>
    </cfRule>
  </conditionalFormatting>
  <conditionalFormatting sqref="I203">
    <cfRule type="expression" dxfId="1077" priority="212">
      <formula>#REF!="Jenne, Richard"</formula>
    </cfRule>
    <cfRule type="expression" dxfId="1076" priority="211">
      <formula>#REF!="Benzick, Sue"</formula>
    </cfRule>
    <cfRule type="expression" dxfId="1075" priority="213">
      <formula>#REF!="McQueen, Jennifer"</formula>
    </cfRule>
  </conditionalFormatting>
  <conditionalFormatting sqref="I220">
    <cfRule type="expression" dxfId="1074" priority="177">
      <formula>#REF!="McQueen, Jennifer"</formula>
    </cfRule>
    <cfRule type="expression" dxfId="1073" priority="176">
      <formula>#REF!="Jenne, Richard"</formula>
    </cfRule>
    <cfRule type="expression" dxfId="1072" priority="175">
      <formula>#REF!="Benzick, Sue"</formula>
    </cfRule>
  </conditionalFormatting>
  <conditionalFormatting sqref="I246">
    <cfRule type="expression" dxfId="1071" priority="169">
      <formula>#REF!="Benzick, Sue"</formula>
    </cfRule>
    <cfRule type="expression" dxfId="1070" priority="170">
      <formula>#REF!="Jenne, Richard"</formula>
    </cfRule>
    <cfRule type="expression" dxfId="1069" priority="171">
      <formula>#REF!="McQueen, Jennifer"</formula>
    </cfRule>
  </conditionalFormatting>
  <conditionalFormatting sqref="I285">
    <cfRule type="expression" dxfId="1068" priority="205">
      <formula>#REF!="Benzick, Sue"</formula>
    </cfRule>
    <cfRule type="expression" dxfId="1067" priority="206">
      <formula>#REF!="Jenne, Richard"</formula>
    </cfRule>
    <cfRule type="expression" dxfId="1066" priority="207">
      <formula>#REF!="McQueen, Jennifer"</formula>
    </cfRule>
  </conditionalFormatting>
  <conditionalFormatting sqref="I332">
    <cfRule type="expression" dxfId="1065" priority="208">
      <formula>#REF!="Benzick, Sue"</formula>
    </cfRule>
    <cfRule type="expression" dxfId="1064" priority="209">
      <formula>#REF!="Jenne, Richard"</formula>
    </cfRule>
    <cfRule type="expression" dxfId="1063" priority="210">
      <formula>#REF!="McQueen, Jennifer"</formula>
    </cfRule>
  </conditionalFormatting>
  <conditionalFormatting sqref="I187:N190">
    <cfRule type="expression" dxfId="1062" priority="189">
      <formula>#REF!="McQueen, Jennifer"</formula>
    </cfRule>
    <cfRule type="expression" dxfId="1061" priority="188">
      <formula>#REF!="Jenne, Richard"</formula>
    </cfRule>
    <cfRule type="expression" dxfId="1060" priority="187">
      <formula>#REF!="Benzick, Sue"</formula>
    </cfRule>
  </conditionalFormatting>
  <conditionalFormatting sqref="I257:N257">
    <cfRule type="expression" dxfId="1059" priority="123">
      <formula>#REF!="McQueen, Jennifer"</formula>
    </cfRule>
    <cfRule type="expression" dxfId="1058" priority="122">
      <formula>#REF!="Jenne, Richard"</formula>
    </cfRule>
    <cfRule type="expression" dxfId="1057" priority="121">
      <formula>#REF!="Benzick, Sue"</formula>
    </cfRule>
  </conditionalFormatting>
  <conditionalFormatting sqref="I275:N275">
    <cfRule type="expression" dxfId="1056" priority="126">
      <formula>#REF!="McQueen, Jennifer"</formula>
    </cfRule>
    <cfRule type="expression" dxfId="1055" priority="125">
      <formula>#REF!="Jenne, Richard"</formula>
    </cfRule>
    <cfRule type="expression" dxfId="1054" priority="124">
      <formula>#REF!="Benzick, Sue"</formula>
    </cfRule>
  </conditionalFormatting>
  <conditionalFormatting sqref="I403:N403">
    <cfRule type="expression" dxfId="1053" priority="186">
      <formula>#REF!="McQueen, Jennifer"</formula>
    </cfRule>
    <cfRule type="expression" dxfId="1052" priority="185">
      <formula>#REF!="Jenne, Richard"</formula>
    </cfRule>
    <cfRule type="expression" dxfId="1051" priority="184">
      <formula>#REF!="Benzick, Sue"</formula>
    </cfRule>
  </conditionalFormatting>
  <conditionalFormatting sqref="I437:N442">
    <cfRule type="expression" dxfId="1050" priority="218">
      <formula>#REF!="Jenne, Richard"</formula>
    </cfRule>
    <cfRule type="expression" dxfId="1049" priority="217">
      <formula>#REF!="Benzick, Sue"</formula>
    </cfRule>
    <cfRule type="expression" dxfId="1048" priority="219">
      <formula>#REF!="McQueen, Jennifer"</formula>
    </cfRule>
  </conditionalFormatting>
  <conditionalFormatting sqref="J47">
    <cfRule type="expression" dxfId="1047" priority="202">
      <formula>#REF!="Benzick, Sue"</formula>
    </cfRule>
    <cfRule type="expression" dxfId="1046" priority="203">
      <formula>#REF!="Jenne, Richard"</formula>
    </cfRule>
    <cfRule type="expression" dxfId="1045" priority="204">
      <formula>#REF!="McQueen, Jennifer"</formula>
    </cfRule>
  </conditionalFormatting>
  <conditionalFormatting sqref="J88:J91">
    <cfRule type="expression" dxfId="1044" priority="50">
      <formula>#REF!="Jenne, Richard"</formula>
    </cfRule>
    <cfRule type="expression" dxfId="1043" priority="51">
      <formula>#REF!="McQueen, Jennifer"</formula>
    </cfRule>
    <cfRule type="expression" dxfId="1042" priority="49">
      <formula>#REF!="Benzick, Sue"</formula>
    </cfRule>
  </conditionalFormatting>
  <conditionalFormatting sqref="J101:J102">
    <cfRule type="expression" dxfId="1041" priority="65">
      <formula>#REF!="Jenne, Richard"</formula>
    </cfRule>
    <cfRule type="expression" dxfId="1040" priority="66">
      <formula>#REF!="McQueen, Jennifer"</formula>
    </cfRule>
    <cfRule type="expression" dxfId="1039" priority="64">
      <formula>#REF!="Benzick, Sue"</formula>
    </cfRule>
  </conditionalFormatting>
  <conditionalFormatting sqref="J118:J127">
    <cfRule type="expression" dxfId="1038" priority="53">
      <formula>#REF!="Jenne, Richard"</formula>
    </cfRule>
    <cfRule type="expression" dxfId="1037" priority="52">
      <formula>#REF!="Benzick, Sue"</formula>
    </cfRule>
    <cfRule type="expression" dxfId="1036" priority="54">
      <formula>#REF!="McQueen, Jennifer"</formula>
    </cfRule>
  </conditionalFormatting>
  <conditionalFormatting sqref="J130">
    <cfRule type="expression" dxfId="1035" priority="63">
      <formula>#REF!="McQueen, Jennifer"</formula>
    </cfRule>
    <cfRule type="expression" dxfId="1034" priority="62">
      <formula>#REF!="Jenne, Richard"</formula>
    </cfRule>
    <cfRule type="expression" dxfId="1033" priority="61">
      <formula>#REF!="Benzick, Sue"</formula>
    </cfRule>
  </conditionalFormatting>
  <conditionalFormatting sqref="J133">
    <cfRule type="expression" dxfId="1032" priority="60">
      <formula>#REF!="McQueen, Jennifer"</formula>
    </cfRule>
    <cfRule type="expression" dxfId="1031" priority="59">
      <formula>#REF!="Jenne, Richard"</formula>
    </cfRule>
    <cfRule type="expression" dxfId="1030" priority="58">
      <formula>#REF!="Benzick, Sue"</formula>
    </cfRule>
  </conditionalFormatting>
  <conditionalFormatting sqref="J137">
    <cfRule type="expression" dxfId="1029" priority="22">
      <formula>$T137="Benzick, Sue"</formula>
    </cfRule>
    <cfRule type="expression" dxfId="1028" priority="23">
      <formula>$T137="Jenne, Richard"</formula>
    </cfRule>
    <cfRule type="expression" dxfId="1027" priority="24">
      <formula>$T137="McQueen, Jennifer"</formula>
    </cfRule>
  </conditionalFormatting>
  <conditionalFormatting sqref="J139:J140">
    <cfRule type="expression" dxfId="1026" priority="28">
      <formula>$T139="Benzick, Sue"</formula>
    </cfRule>
    <cfRule type="expression" dxfId="1025" priority="29">
      <formula>$T139="Jenne, Richard"</formula>
    </cfRule>
    <cfRule type="expression" dxfId="1024" priority="30">
      <formula>$T139="McQueen, Jennifer"</formula>
    </cfRule>
  </conditionalFormatting>
  <conditionalFormatting sqref="J156">
    <cfRule type="expression" dxfId="1023" priority="13">
      <formula>$T156="Benzick, Sue"</formula>
    </cfRule>
    <cfRule type="expression" dxfId="1022" priority="14">
      <formula>$T156="Jenne, Richard"</formula>
    </cfRule>
    <cfRule type="expression" dxfId="1021" priority="15">
      <formula>$T156="McQueen, Jennifer"</formula>
    </cfRule>
  </conditionalFormatting>
  <conditionalFormatting sqref="J220">
    <cfRule type="expression" dxfId="1020" priority="174">
      <formula>$T220="McQueen, Jennifer"</formula>
    </cfRule>
    <cfRule type="expression" dxfId="1019" priority="173">
      <formula>$T220="Jenne, Richard"</formula>
    </cfRule>
    <cfRule type="expression" dxfId="1018" priority="172">
      <formula>$T220="Benzick, Sue"</formula>
    </cfRule>
  </conditionalFormatting>
  <conditionalFormatting sqref="J246">
    <cfRule type="expression" dxfId="1017" priority="168">
      <formula>$T246="McQueen, Jennifer"</formula>
    </cfRule>
    <cfRule type="expression" dxfId="1016" priority="166">
      <formula>$T246="Benzick, Sue"</formula>
    </cfRule>
    <cfRule type="expression" dxfId="1015" priority="167">
      <formula>$T246="Jenne, Richard"</formula>
    </cfRule>
  </conditionalFormatting>
  <conditionalFormatting sqref="J254">
    <cfRule type="expression" dxfId="1014" priority="163">
      <formula>$T254="Benzick, Sue"</formula>
    </cfRule>
    <cfRule type="expression" dxfId="1013" priority="165">
      <formula>$T254="McQueen, Jennifer"</formula>
    </cfRule>
    <cfRule type="expression" dxfId="1012" priority="164">
      <formula>$T254="Jenne, Richard"</formula>
    </cfRule>
  </conditionalFormatting>
  <conditionalFormatting sqref="J392">
    <cfRule type="expression" dxfId="1011" priority="161">
      <formula>$T392="Jenne, Richard"</formula>
    </cfRule>
    <cfRule type="expression" dxfId="1010" priority="162">
      <formula>$T392="McQueen, Jennifer"</formula>
    </cfRule>
    <cfRule type="expression" dxfId="1009" priority="160">
      <formula>$T392="Benzick, Sue"</formula>
    </cfRule>
  </conditionalFormatting>
  <conditionalFormatting sqref="J449">
    <cfRule type="expression" dxfId="1008" priority="159">
      <formula>$T449="McQueen, Jennifer"</formula>
    </cfRule>
    <cfRule type="expression" dxfId="1007" priority="158">
      <formula>$T449="Jenne, Richard"</formula>
    </cfRule>
    <cfRule type="expression" dxfId="1006" priority="157">
      <formula>$T449="Benzick, Sue"</formula>
    </cfRule>
  </conditionalFormatting>
  <conditionalFormatting sqref="J4:N20 T4:T76 A16:A18 S16:S22 S24:S33 S35 S37:S53 F57:G58 S57:S68 E59:G59 E60:H60 F61:H61 E62:G62 J62:N62 F63:G63 F64:H64 E64:E65 J65:N65 F65:F66 A65:A76 E67:F76 S77:T128 J86:N86 J92:L92 N92 A94:A95 J94:L95 N94:N95 E97:E98 H100 J105:N105 A106:A109 J110:N110 J113:N113 K119:N121 K123:N123 T129 S130:T141 A135 E138 K139:N139 E141:H141 E143:G143 S143:T143 J143:N144 E144 S144:S145 T144:T149 F145 K145 M145:N145 F147:G149 S147:S149 J150:N150 F150:F151 S150:T190 F154 E155:E159 E161:E164 E166 E173 F186:F187 S192:T204 J200:N200 J202:N202 T205:T206 S207:T231 J209:N209 J211:N215 A215 J218:N219 J222:N222 J232:N232 S232:S236 T232:T245 J235:N235 T247 J248:N248 S248:T248 T249:T458 A282 A331 J332:N332 A412 A423">
    <cfRule type="expression" dxfId="1005" priority="300">
      <formula>$S4="McQueen, Jennifer"</formula>
    </cfRule>
    <cfRule type="expression" dxfId="1004" priority="298">
      <formula>$S4="Benzick, Sue"</formula>
    </cfRule>
    <cfRule type="expression" dxfId="1003" priority="299">
      <formula>$S4="Jenne, Richard"</formula>
    </cfRule>
  </conditionalFormatting>
  <conditionalFormatting sqref="J22:N22">
    <cfRule type="expression" dxfId="1002" priority="156">
      <formula>$S22="McQueen, Jennifer"</formula>
    </cfRule>
    <cfRule type="expression" dxfId="1001" priority="154">
      <formula>$S22="Benzick, Sue"</formula>
    </cfRule>
    <cfRule type="expression" dxfId="1000" priority="155">
      <formula>$S22="Jenne, Richard"</formula>
    </cfRule>
  </conditionalFormatting>
  <conditionalFormatting sqref="J49:N52">
    <cfRule type="expression" dxfId="999" priority="181">
      <formula>$T49="Benzick, Sue"</formula>
    </cfRule>
    <cfRule type="expression" dxfId="998" priority="182">
      <formula>$T49="Jenne, Richard"</formula>
    </cfRule>
    <cfRule type="expression" dxfId="997" priority="183">
      <formula>$T49="McQueen, Jennifer"</formula>
    </cfRule>
  </conditionalFormatting>
  <conditionalFormatting sqref="J59:N59">
    <cfRule type="expression" dxfId="996" priority="178">
      <formula>$T59="Benzick, Sue"</formula>
    </cfRule>
    <cfRule type="expression" dxfId="995" priority="179">
      <formula>$T59="Jenne, Richard"</formula>
    </cfRule>
    <cfRule type="expression" dxfId="994" priority="180">
      <formula>$T59="McQueen, Jennifer"</formula>
    </cfRule>
  </conditionalFormatting>
  <conditionalFormatting sqref="J115:N116 I117:L117 N117 I118 K118:N118">
    <cfRule type="expression" dxfId="993" priority="152">
      <formula>#REF!="Jenne, Richard"</formula>
    </cfRule>
    <cfRule type="expression" dxfId="992" priority="151">
      <formula>#REF!="Benzick, Sue"</formula>
    </cfRule>
    <cfRule type="expression" dxfId="991" priority="153">
      <formula>#REF!="McQueen, Jennifer"</formula>
    </cfRule>
  </conditionalFormatting>
  <conditionalFormatting sqref="K47">
    <cfRule type="expression" dxfId="990" priority="200">
      <formula>#REF!="Jenne, Richard"</formula>
    </cfRule>
    <cfRule type="expression" dxfId="989" priority="201">
      <formula>#REF!="McQueen, Jennifer"</formula>
    </cfRule>
    <cfRule type="expression" dxfId="988" priority="199">
      <formula>#REF!="Benzick, Sue"</formula>
    </cfRule>
  </conditionalFormatting>
  <conditionalFormatting sqref="L47">
    <cfRule type="expression" dxfId="987" priority="197">
      <formula>#REF!="Jenne, Richard"</formula>
    </cfRule>
    <cfRule type="expression" dxfId="986" priority="196">
      <formula>#REF!="Benzick, Sue"</formula>
    </cfRule>
    <cfRule type="expression" dxfId="985" priority="198">
      <formula>#REF!="McQueen, Jennifer"</formula>
    </cfRule>
  </conditionalFormatting>
  <conditionalFormatting sqref="L157">
    <cfRule type="expression" dxfId="984" priority="12">
      <formula>$T157="McQueen, Jennifer"</formula>
    </cfRule>
    <cfRule type="expression" dxfId="983" priority="11">
      <formula>$T157="Jenne, Richard"</formula>
    </cfRule>
    <cfRule type="expression" dxfId="982" priority="10">
      <formula>$T157="Benzick, Sue"</formula>
    </cfRule>
  </conditionalFormatting>
  <conditionalFormatting sqref="L164">
    <cfRule type="expression" dxfId="981" priority="2">
      <formula>$T164="Jenne, Richard"</formula>
    </cfRule>
    <cfRule type="expression" dxfId="980" priority="1">
      <formula>$T164="Benzick, Sue"</formula>
    </cfRule>
    <cfRule type="expression" dxfId="979" priority="3">
      <formula>$T164="McQueen, Jennifer"</formula>
    </cfRule>
  </conditionalFormatting>
  <conditionalFormatting sqref="M47">
    <cfRule type="expression" dxfId="978" priority="195">
      <formula>#REF!="McQueen, Jennifer"</formula>
    </cfRule>
    <cfRule type="expression" dxfId="977" priority="194">
      <formula>#REF!="Jenne, Richard"</formula>
    </cfRule>
    <cfRule type="expression" dxfId="976" priority="193">
      <formula>#REF!="Benzick, Sue"</formula>
    </cfRule>
  </conditionalFormatting>
  <conditionalFormatting sqref="M92:M96">
    <cfRule type="expression" dxfId="975" priority="70">
      <formula>#REF!="Benzick, Sue"</formula>
    </cfRule>
    <cfRule type="expression" dxfId="974" priority="71">
      <formula>#REF!="Jenne, Richard"</formula>
    </cfRule>
    <cfRule type="expression" dxfId="973" priority="72">
      <formula>#REF!="McQueen, Jennifer"</formula>
    </cfRule>
  </conditionalFormatting>
  <conditionalFormatting sqref="M117">
    <cfRule type="expression" dxfId="972" priority="68">
      <formula>#REF!="Jenne, Richard"</formula>
    </cfRule>
    <cfRule type="expression" dxfId="971" priority="67">
      <formula>#REF!="Benzick, Sue"</formula>
    </cfRule>
    <cfRule type="expression" dxfId="970" priority="69">
      <formula>#REF!="McQueen, Jennifer"</formula>
    </cfRule>
  </conditionalFormatting>
  <conditionalFormatting sqref="N47">
    <cfRule type="expression" dxfId="969" priority="192">
      <formula>#REF!="McQueen, Jennifer"</formula>
    </cfRule>
    <cfRule type="expression" dxfId="968" priority="191">
      <formula>#REF!="Jenne, Richard"</formula>
    </cfRule>
    <cfRule type="expression" dxfId="967" priority="190">
      <formula>#REF!="Benzick, Sue"</formula>
    </cfRule>
  </conditionalFormatting>
  <conditionalFormatting sqref="N97:N98">
    <cfRule type="expression" dxfId="966" priority="74">
      <formula>#REF!="Jenne, Richard"</formula>
    </cfRule>
    <cfRule type="expression" dxfId="965" priority="75">
      <formula>#REF!="McQueen, Jennifer"</formula>
    </cfRule>
    <cfRule type="expression" dxfId="964" priority="73">
      <formula>#REF!="Benzick, Sue"</formula>
    </cfRule>
  </conditionalFormatting>
  <conditionalFormatting sqref="W4:W22 W130:W141 W182">
    <cfRule type="expression" dxfId="963" priority="142">
      <formula>$X4="Benzick, Sue"</formula>
    </cfRule>
    <cfRule type="expression" dxfId="962" priority="143">
      <formula>$X4="Jenne, Richard"</formula>
    </cfRule>
    <cfRule type="expression" dxfId="961" priority="144">
      <formula>$X4="McQueen, Jennifer"</formula>
    </cfRule>
  </conditionalFormatting>
  <conditionalFormatting sqref="W335:W337">
    <cfRule type="expression" dxfId="960" priority="301">
      <formula>$Y335="Benzick, Sue"</formula>
    </cfRule>
    <cfRule type="expression" dxfId="959" priority="303">
      <formula>$Y335="McQueen, Jennifer"</formula>
    </cfRule>
    <cfRule type="expression" dxfId="958" priority="302">
      <formula>$Y335="Jenne, Richard"</formula>
    </cfRule>
  </conditionalFormatting>
  <conditionalFormatting sqref="Y4:Y141 J23:N23 W24:W33 W35 W37:W53 W57:W68 W77:W128 W143:W157 Y143:Y190 Y192:Y245 Y247:Y458">
    <cfRule type="expression" dxfId="957" priority="304">
      <formula>$X4="Benzick, Sue"</formula>
    </cfRule>
    <cfRule type="expression" dxfId="956" priority="305">
      <formula>$X4="Jenne, Richard"</formula>
    </cfRule>
    <cfRule type="expression" dxfId="955" priority="306">
      <formula>$X4="McQueen, Jennifer"</formula>
    </cfRule>
  </conditionalFormatting>
  <dataValidations count="4">
    <dataValidation allowBlank="1" showInputMessage="1" showErrorMessage="1" sqref="S247:S458 S192:S245 S143:S190 S4:S141" xr:uid="{97157EB6-2C71-49DE-874B-E57713A9CC44}"/>
    <dataValidation type="list" allowBlank="1" showInputMessage="1" showErrorMessage="1" sqref="A60:A62 A179:A181 A183" xr:uid="{6A517CD9-A46C-4C33-B867-D2873C0695E0}">
      <formula1>Location</formula1>
    </dataValidation>
    <dataValidation type="list" allowBlank="1" showInputMessage="1" showErrorMessage="1" sqref="B460:B466 B468:B738 B4:B458" xr:uid="{E603CEEB-9109-49FC-9FA5-34416865A0A7}">
      <formula1>Class</formula1>
    </dataValidation>
    <dataValidation type="list" allowBlank="1" showInputMessage="1" showErrorMessage="1" sqref="O460:O682" xr:uid="{3522E8B9-22A7-4EED-8A66-EC091F7C6E81}">
      <formula1>Instructor</formula1>
    </dataValidation>
  </dataValidations>
  <printOptions horizontalCentered="1" verticalCentered="1"/>
  <pageMargins left="0.7" right="0.7" top="0.75" bottom="0.75" header="0.3" footer="0.3"/>
  <pageSetup paperSize="5" scale="59" fitToHeight="0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CE9E8-13EC-4B9E-A279-9E528C42A9C8}">
  <sheetPr>
    <pageSetUpPr fitToPage="1"/>
  </sheetPr>
  <dimension ref="A1:AA163"/>
  <sheetViews>
    <sheetView zoomScale="85" zoomScaleNormal="85" workbookViewId="0">
      <selection activeCell="A3" sqref="A3"/>
    </sheetView>
  </sheetViews>
  <sheetFormatPr defaultColWidth="8.7109375" defaultRowHeight="15" x14ac:dyDescent="0.25"/>
  <cols>
    <col min="1" max="1" width="29" style="8" customWidth="1"/>
    <col min="2" max="2" width="68.5703125" style="9" bestFit="1" customWidth="1"/>
    <col min="3" max="3" width="14.28515625" style="2" customWidth="1"/>
    <col min="4" max="4" width="16.28515625" style="11" customWidth="1"/>
    <col min="5" max="5" width="22.7109375" style="9" customWidth="1"/>
    <col min="6" max="6" width="17" style="10" customWidth="1"/>
    <col min="7" max="7" width="15.7109375" style="10" customWidth="1"/>
    <col min="8" max="9" width="14.7109375" style="30" bestFit="1" customWidth="1"/>
    <col min="10" max="14" width="14.7109375" style="30" hidden="1" customWidth="1"/>
    <col min="15" max="15" width="20" style="9" bestFit="1" customWidth="1"/>
    <col min="16" max="16" width="18.42578125" style="9" hidden="1" customWidth="1"/>
    <col min="17" max="17" width="20.28515625" style="8" customWidth="1"/>
    <col min="18" max="18" width="22.42578125" style="8" customWidth="1"/>
    <col min="19" max="19" width="20.28515625" style="12" hidden="1" customWidth="1"/>
    <col min="20" max="20" width="16" style="29" hidden="1" customWidth="1"/>
    <col min="21" max="21" width="12.28515625" style="29" hidden="1" customWidth="1"/>
    <col min="22" max="22" width="16.42578125" style="29" hidden="1" customWidth="1"/>
    <col min="23" max="23" width="15.7109375" style="29" hidden="1" customWidth="1"/>
    <col min="24" max="24" width="16.5703125" style="8" hidden="1" customWidth="1"/>
    <col min="25" max="25" width="16" style="29" hidden="1" customWidth="1"/>
    <col min="26" max="27" width="11" style="8" hidden="1" customWidth="1"/>
    <col min="28" max="16384" width="8.7109375" style="8"/>
  </cols>
  <sheetData>
    <row r="1" spans="1:27" x14ac:dyDescent="0.25">
      <c r="A1" s="8" t="s">
        <v>291</v>
      </c>
      <c r="B1" s="8"/>
      <c r="H1" s="10"/>
      <c r="I1" s="10"/>
      <c r="J1" s="10"/>
      <c r="K1" s="10"/>
      <c r="L1" s="10"/>
      <c r="M1" s="10"/>
      <c r="N1" s="10"/>
    </row>
    <row r="2" spans="1:27" ht="8.65" customHeight="1" x14ac:dyDescent="0.25">
      <c r="A2" s="9"/>
    </row>
    <row r="3" spans="1:27" s="27" customFormat="1" ht="72" customHeight="1" thickBot="1" x14ac:dyDescent="0.3">
      <c r="A3" s="23" t="s">
        <v>195</v>
      </c>
      <c r="B3" s="23" t="s">
        <v>8</v>
      </c>
      <c r="C3" s="23" t="s">
        <v>9</v>
      </c>
      <c r="D3" s="82" t="s">
        <v>10</v>
      </c>
      <c r="E3" s="23" t="s">
        <v>11</v>
      </c>
      <c r="F3" s="61" t="s">
        <v>292</v>
      </c>
      <c r="G3" s="61" t="s">
        <v>293</v>
      </c>
      <c r="H3" s="53" t="s">
        <v>14</v>
      </c>
      <c r="I3" s="53" t="s">
        <v>15</v>
      </c>
      <c r="J3" s="53" t="s">
        <v>16</v>
      </c>
      <c r="K3" s="53" t="s">
        <v>17</v>
      </c>
      <c r="L3" s="53" t="s">
        <v>18</v>
      </c>
      <c r="M3" s="53" t="s">
        <v>19</v>
      </c>
      <c r="N3" s="53" t="s">
        <v>20</v>
      </c>
      <c r="O3" s="23" t="s">
        <v>21</v>
      </c>
      <c r="P3" s="23" t="s">
        <v>22</v>
      </c>
      <c r="Q3" s="26" t="s">
        <v>23</v>
      </c>
      <c r="R3" s="26" t="s">
        <v>25</v>
      </c>
      <c r="S3" s="25" t="s">
        <v>29</v>
      </c>
      <c r="T3" s="25" t="s">
        <v>30</v>
      </c>
      <c r="U3" s="25" t="s">
        <v>31</v>
      </c>
      <c r="V3" s="25" t="s">
        <v>32</v>
      </c>
      <c r="W3" s="25" t="s">
        <v>33</v>
      </c>
      <c r="X3" s="25" t="s">
        <v>34</v>
      </c>
      <c r="Y3" s="25" t="s">
        <v>35</v>
      </c>
      <c r="Z3" s="25" t="s">
        <v>36</v>
      </c>
      <c r="AA3" s="25" t="s">
        <v>37</v>
      </c>
    </row>
    <row r="4" spans="1:27" s="65" customFormat="1" ht="14.25" customHeight="1" x14ac:dyDescent="0.25">
      <c r="A4" s="46"/>
      <c r="B4" s="58" t="s">
        <v>196</v>
      </c>
      <c r="C4" s="59" t="s">
        <v>197</v>
      </c>
      <c r="D4" s="59" t="s">
        <v>198</v>
      </c>
      <c r="E4" s="58" t="s">
        <v>54</v>
      </c>
      <c r="F4" s="61">
        <v>45600</v>
      </c>
      <c r="G4" s="61">
        <v>45604</v>
      </c>
      <c r="H4" s="64"/>
      <c r="I4" s="60">
        <v>0.54166666666666663</v>
      </c>
      <c r="J4" s="61"/>
      <c r="K4" s="61"/>
      <c r="L4" s="61"/>
      <c r="M4" s="61"/>
      <c r="N4" s="61"/>
      <c r="O4" s="58" t="s">
        <v>199</v>
      </c>
      <c r="P4" s="58"/>
      <c r="Q4" s="13">
        <v>45</v>
      </c>
      <c r="R4" s="145">
        <v>5</v>
      </c>
      <c r="S4" s="13"/>
      <c r="T4" s="62"/>
      <c r="U4" s="13"/>
      <c r="V4" s="13"/>
      <c r="W4" s="13"/>
      <c r="X4" s="58"/>
      <c r="Y4" s="51">
        <f ca="1">Table29[[#This Row],[5/9/2025]]+2-TODAY()</f>
        <v>-638</v>
      </c>
      <c r="Z4" s="13">
        <f>IF(ISBLANK(Table29[[#This Row],[Roster Received By]]),1,0)</f>
        <v>1</v>
      </c>
      <c r="AA4" s="13">
        <f ca="1">IF(Table29[[#This Row],[5/5/2025]]&gt;TODAY(),1,)</f>
        <v>0</v>
      </c>
    </row>
    <row r="5" spans="1:27" s="65" customFormat="1" ht="14.25" customHeight="1" x14ac:dyDescent="0.25">
      <c r="A5" s="46"/>
      <c r="B5" s="58" t="s">
        <v>196</v>
      </c>
      <c r="C5" s="59" t="s">
        <v>197</v>
      </c>
      <c r="D5" s="59" t="s">
        <v>198</v>
      </c>
      <c r="E5" s="58" t="s">
        <v>54</v>
      </c>
      <c r="F5" s="61">
        <v>45635</v>
      </c>
      <c r="G5" s="61">
        <v>45639</v>
      </c>
      <c r="H5" s="64"/>
      <c r="I5" s="60">
        <v>0.33333333333333331</v>
      </c>
      <c r="J5" s="61"/>
      <c r="K5" s="61"/>
      <c r="L5" s="61"/>
      <c r="M5" s="61"/>
      <c r="N5" s="61"/>
      <c r="O5" s="58" t="s">
        <v>294</v>
      </c>
      <c r="P5" s="58"/>
      <c r="Q5" s="13">
        <v>45</v>
      </c>
      <c r="R5" s="145">
        <v>5</v>
      </c>
      <c r="S5" s="13"/>
      <c r="T5" s="62"/>
      <c r="U5" s="13"/>
      <c r="V5" s="13"/>
      <c r="W5" s="13"/>
      <c r="X5" s="58"/>
      <c r="Y5" s="51">
        <f ca="1">Table29[[#This Row],[5/9/2025]]+2-TODAY()</f>
        <v>-603</v>
      </c>
      <c r="Z5" s="13">
        <f>IF(ISBLANK(Table29[[#This Row],[Roster Received By]]),1,0)</f>
        <v>1</v>
      </c>
      <c r="AA5" s="13">
        <f ca="1">IF(Table29[[#This Row],[5/5/2025]]&gt;TODAY(),1,)</f>
        <v>0</v>
      </c>
    </row>
    <row r="6" spans="1:27" s="65" customFormat="1" ht="14.25" customHeight="1" x14ac:dyDescent="0.25">
      <c r="A6" s="46"/>
      <c r="B6" s="58" t="s">
        <v>196</v>
      </c>
      <c r="C6" s="59" t="s">
        <v>197</v>
      </c>
      <c r="D6" s="59" t="s">
        <v>198</v>
      </c>
      <c r="E6" s="58" t="s">
        <v>54</v>
      </c>
      <c r="F6" s="61">
        <v>45670</v>
      </c>
      <c r="G6" s="61">
        <v>45674</v>
      </c>
      <c r="H6" s="64"/>
      <c r="I6" s="60">
        <v>0.54166666666666663</v>
      </c>
      <c r="J6" s="61"/>
      <c r="K6" s="61"/>
      <c r="L6" s="61"/>
      <c r="M6" s="61"/>
      <c r="N6" s="61"/>
      <c r="O6" s="58" t="s">
        <v>295</v>
      </c>
      <c r="P6" s="58"/>
      <c r="Q6" s="13">
        <v>45</v>
      </c>
      <c r="R6" s="145">
        <v>5</v>
      </c>
      <c r="S6" s="13"/>
      <c r="T6" s="62"/>
      <c r="U6" s="13"/>
      <c r="V6" s="13"/>
      <c r="W6" s="13"/>
      <c r="X6" s="58"/>
      <c r="Y6" s="51">
        <f ca="1">Table29[[#This Row],[5/9/2025]]+2-TODAY()</f>
        <v>-568</v>
      </c>
      <c r="Z6" s="13">
        <f>IF(ISBLANK(Table29[[#This Row],[Roster Received By]]),1,0)</f>
        <v>1</v>
      </c>
      <c r="AA6" s="13">
        <f ca="1">IF(Table29[[#This Row],[5/5/2025]]&gt;TODAY(),1,)</f>
        <v>0</v>
      </c>
    </row>
    <row r="7" spans="1:27" s="65" customFormat="1" ht="14.25" customHeight="1" x14ac:dyDescent="0.25">
      <c r="A7" s="58"/>
      <c r="B7" s="58" t="s">
        <v>196</v>
      </c>
      <c r="C7" s="59" t="s">
        <v>197</v>
      </c>
      <c r="D7" s="59" t="s">
        <v>198</v>
      </c>
      <c r="E7" s="58" t="s">
        <v>54</v>
      </c>
      <c r="F7" s="61">
        <v>45698</v>
      </c>
      <c r="G7" s="61">
        <v>45702</v>
      </c>
      <c r="H7" s="64"/>
      <c r="I7" s="60">
        <v>0.33333333333333331</v>
      </c>
      <c r="J7" s="61"/>
      <c r="K7" s="61"/>
      <c r="L7" s="61"/>
      <c r="M7" s="61"/>
      <c r="N7" s="61"/>
      <c r="O7" s="58" t="s">
        <v>199</v>
      </c>
      <c r="P7" s="58"/>
      <c r="Q7" s="13">
        <v>45</v>
      </c>
      <c r="R7" s="145">
        <v>5</v>
      </c>
      <c r="S7" s="13"/>
      <c r="T7" s="62"/>
      <c r="U7" s="13"/>
      <c r="V7" s="13"/>
      <c r="W7" s="13"/>
      <c r="X7" s="58"/>
      <c r="Y7" s="51">
        <f ca="1">Table29[[#This Row],[5/9/2025]]+2-TODAY()</f>
        <v>-540</v>
      </c>
      <c r="Z7" s="13">
        <f>IF(ISBLANK(Table29[[#This Row],[Roster Received By]]),1,0)</f>
        <v>1</v>
      </c>
      <c r="AA7" s="13">
        <f ca="1">IF(Table29[[#This Row],[5/5/2025]]&gt;TODAY(),1,)</f>
        <v>0</v>
      </c>
    </row>
    <row r="8" spans="1:27" s="65" customFormat="1" ht="14.25" customHeight="1" x14ac:dyDescent="0.25">
      <c r="A8" s="46"/>
      <c r="B8" s="58" t="s">
        <v>196</v>
      </c>
      <c r="C8" s="59" t="s">
        <v>197</v>
      </c>
      <c r="D8" s="59" t="s">
        <v>198</v>
      </c>
      <c r="E8" s="58" t="s">
        <v>54</v>
      </c>
      <c r="F8" s="61">
        <v>45728</v>
      </c>
      <c r="G8" s="61">
        <v>45732</v>
      </c>
      <c r="H8" s="61"/>
      <c r="I8" s="60">
        <v>0.54166666666666663</v>
      </c>
      <c r="J8" s="60"/>
      <c r="K8" s="60"/>
      <c r="L8" s="60"/>
      <c r="M8" s="60"/>
      <c r="N8" s="60"/>
      <c r="O8" s="58" t="s">
        <v>295</v>
      </c>
      <c r="P8" s="58"/>
      <c r="Q8" s="13">
        <v>45</v>
      </c>
      <c r="R8" s="145">
        <v>5</v>
      </c>
      <c r="S8" s="13"/>
      <c r="T8" s="62"/>
      <c r="U8" s="13"/>
      <c r="V8" s="13"/>
      <c r="W8" s="13"/>
      <c r="X8" s="58"/>
      <c r="Y8" s="51">
        <f ca="1">Table29[[#This Row],[5/9/2025]]+2-TODAY()</f>
        <v>-510</v>
      </c>
      <c r="Z8" s="13">
        <f>IF(ISBLANK(Table29[[#This Row],[Roster Received By]]),1,0)</f>
        <v>1</v>
      </c>
      <c r="AA8" s="13">
        <f ca="1">IF(Table29[[#This Row],[5/5/2025]]&gt;TODAY(),1,)</f>
        <v>0</v>
      </c>
    </row>
    <row r="9" spans="1:27" s="65" customFormat="1" ht="14.25" customHeight="1" x14ac:dyDescent="0.25">
      <c r="A9" s="46"/>
      <c r="B9" s="58" t="s">
        <v>196</v>
      </c>
      <c r="C9" s="59" t="s">
        <v>197</v>
      </c>
      <c r="D9" s="59" t="s">
        <v>198</v>
      </c>
      <c r="E9" s="58" t="s">
        <v>54</v>
      </c>
      <c r="F9" s="61">
        <v>45789</v>
      </c>
      <c r="G9" s="61">
        <v>45793</v>
      </c>
      <c r="H9" s="61"/>
      <c r="I9" s="60">
        <v>0.54166666666666663</v>
      </c>
      <c r="J9" s="60"/>
      <c r="K9" s="60"/>
      <c r="L9" s="60"/>
      <c r="M9" s="60"/>
      <c r="N9" s="60"/>
      <c r="O9" s="58" t="s">
        <v>294</v>
      </c>
      <c r="P9" s="58"/>
      <c r="Q9" s="13">
        <v>45</v>
      </c>
      <c r="R9" s="145">
        <v>5</v>
      </c>
      <c r="S9" s="13"/>
      <c r="T9" s="62"/>
      <c r="U9" s="13"/>
      <c r="V9" s="13"/>
      <c r="W9" s="13"/>
      <c r="X9" s="58"/>
      <c r="Y9" s="51">
        <f ca="1">Table29[[#This Row],[5/9/2025]]+2-TODAY()</f>
        <v>-449</v>
      </c>
      <c r="Z9" s="13">
        <f>IF(ISBLANK(Table29[[#This Row],[Roster Received By]]),1,0)</f>
        <v>1</v>
      </c>
      <c r="AA9" s="13">
        <f ca="1">IF(Table29[[#This Row],[5/5/2025]]&gt;TODAY(),1,)</f>
        <v>0</v>
      </c>
    </row>
    <row r="10" spans="1:27" s="65" customFormat="1" ht="14.25" customHeight="1" x14ac:dyDescent="0.25">
      <c r="A10" s="47"/>
      <c r="B10" s="58" t="s">
        <v>196</v>
      </c>
      <c r="C10" s="59" t="s">
        <v>197</v>
      </c>
      <c r="D10" s="59" t="s">
        <v>198</v>
      </c>
      <c r="E10" s="58" t="s">
        <v>54</v>
      </c>
      <c r="F10" s="61">
        <v>45831</v>
      </c>
      <c r="G10" s="61">
        <v>45835</v>
      </c>
      <c r="H10" s="64"/>
      <c r="I10" s="60">
        <v>0.54166666666666663</v>
      </c>
      <c r="J10" s="61"/>
      <c r="K10" s="61"/>
      <c r="L10" s="61"/>
      <c r="M10" s="61"/>
      <c r="N10" s="61"/>
      <c r="O10" s="58" t="s">
        <v>294</v>
      </c>
      <c r="P10" s="58"/>
      <c r="Q10" s="13">
        <v>45</v>
      </c>
      <c r="R10" s="145">
        <v>5</v>
      </c>
      <c r="S10" s="62"/>
      <c r="T10" s="62"/>
      <c r="U10" s="13"/>
      <c r="V10" s="13"/>
      <c r="W10" s="59"/>
      <c r="X10" s="58"/>
      <c r="Y10" s="68">
        <f ca="1">Table29[[#This Row],[5/9/2025]]+2-TODAY()</f>
        <v>-407</v>
      </c>
      <c r="Z10" s="13">
        <f>IF(ISBLANK(Table29[[#This Row],[Roster Received By]]),1,0)</f>
        <v>1</v>
      </c>
      <c r="AA10" s="59">
        <f ca="1">IF(Table29[[#This Row],[5/5/2025]]&gt;TODAY(),1,)</f>
        <v>0</v>
      </c>
    </row>
    <row r="11" spans="1:27" s="65" customFormat="1" ht="16.5" customHeight="1" x14ac:dyDescent="0.25">
      <c r="A11" s="59"/>
      <c r="B11" s="58" t="s">
        <v>196</v>
      </c>
      <c r="C11" s="59" t="s">
        <v>197</v>
      </c>
      <c r="D11" s="59" t="s">
        <v>198</v>
      </c>
      <c r="E11" s="58" t="s">
        <v>54</v>
      </c>
      <c r="F11" s="61">
        <v>45859</v>
      </c>
      <c r="G11" s="61">
        <v>45863</v>
      </c>
      <c r="H11" s="67"/>
      <c r="I11" s="60">
        <v>0.54166666666666663</v>
      </c>
      <c r="J11" s="61"/>
      <c r="K11" s="61"/>
      <c r="L11" s="61"/>
      <c r="M11" s="61"/>
      <c r="N11" s="61"/>
      <c r="O11" s="58" t="s">
        <v>294</v>
      </c>
      <c r="P11" s="58"/>
      <c r="Q11" s="13">
        <v>45</v>
      </c>
      <c r="R11" s="145">
        <v>5</v>
      </c>
      <c r="S11" s="66"/>
      <c r="T11" s="62"/>
      <c r="U11" s="13"/>
      <c r="V11" s="13"/>
      <c r="W11" s="13"/>
      <c r="X11" s="58"/>
      <c r="Y11" s="51">
        <f ca="1">Table29[[#This Row],[5/9/2025]]+2-TODAY()</f>
        <v>-379</v>
      </c>
      <c r="Z11" s="13">
        <f>IF(ISBLANK(Table29[[#This Row],[Roster Received By]]),1,0)</f>
        <v>1</v>
      </c>
      <c r="AA11" s="13">
        <f ca="1">IF(Table29[[#This Row],[5/5/2025]]&gt;TODAY(),1,)</f>
        <v>0</v>
      </c>
    </row>
    <row r="12" spans="1:27" s="65" customFormat="1" ht="14.25" customHeight="1" x14ac:dyDescent="0.25">
      <c r="A12" s="46"/>
      <c r="B12" s="58" t="s">
        <v>196</v>
      </c>
      <c r="C12" s="59" t="s">
        <v>197</v>
      </c>
      <c r="D12" s="59" t="s">
        <v>198</v>
      </c>
      <c r="E12" s="58" t="s">
        <v>54</v>
      </c>
      <c r="F12" s="61">
        <v>45873</v>
      </c>
      <c r="G12" s="61">
        <v>45877</v>
      </c>
      <c r="H12" s="67"/>
      <c r="I12" s="60">
        <v>0.54166666666666663</v>
      </c>
      <c r="J12" s="61"/>
      <c r="K12" s="61"/>
      <c r="L12" s="61"/>
      <c r="M12" s="61"/>
      <c r="N12" s="61"/>
      <c r="O12" s="58" t="s">
        <v>199</v>
      </c>
      <c r="P12" s="58"/>
      <c r="Q12" s="13">
        <v>45</v>
      </c>
      <c r="R12" s="145">
        <v>5</v>
      </c>
      <c r="S12" s="13"/>
      <c r="T12" s="62"/>
      <c r="U12" s="13"/>
      <c r="V12" s="13"/>
      <c r="W12" s="13"/>
      <c r="X12" s="58"/>
      <c r="Y12" s="51">
        <f ca="1">Table29[[#This Row],[5/9/2025]]+2-TODAY()</f>
        <v>-365</v>
      </c>
      <c r="Z12" s="13">
        <f>IF(ISBLANK(Table29[[#This Row],[Roster Received By]]),1,0)</f>
        <v>1</v>
      </c>
      <c r="AA12" s="13">
        <f ca="1">IF(Table29[[#This Row],[5/5/2025]]&gt;TODAY(),1,)</f>
        <v>0</v>
      </c>
    </row>
    <row r="13" spans="1:27" s="65" customFormat="1" ht="16.5" customHeight="1" x14ac:dyDescent="0.25">
      <c r="A13" s="58"/>
      <c r="B13" s="58" t="s">
        <v>49</v>
      </c>
      <c r="C13" s="59" t="s">
        <v>296</v>
      </c>
      <c r="D13" s="59">
        <v>3682</v>
      </c>
      <c r="E13" s="58" t="s">
        <v>52</v>
      </c>
      <c r="F13" s="61">
        <v>45663</v>
      </c>
      <c r="G13" s="61">
        <v>45667</v>
      </c>
      <c r="H13" s="64">
        <v>0.33333333333333331</v>
      </c>
      <c r="I13" s="64"/>
      <c r="J13" s="61"/>
      <c r="K13" s="61"/>
      <c r="L13" s="61"/>
      <c r="M13" s="61"/>
      <c r="N13" s="61"/>
      <c r="O13" s="58" t="s">
        <v>48</v>
      </c>
      <c r="P13" s="58"/>
      <c r="Q13" s="62">
        <v>40</v>
      </c>
      <c r="R13" s="63">
        <v>5</v>
      </c>
      <c r="S13" s="62"/>
      <c r="T13" s="62"/>
      <c r="U13" s="13"/>
      <c r="V13" s="13"/>
      <c r="W13" s="13"/>
      <c r="X13" s="58"/>
      <c r="Y13" s="51">
        <f ca="1">Table29[[#This Row],[5/9/2025]]+2-TODAY()</f>
        <v>-575</v>
      </c>
      <c r="Z13" s="13">
        <f>IF(ISBLANK(Table29[[#This Row],[Roster Received By]]),1,0)</f>
        <v>1</v>
      </c>
      <c r="AA13" s="13">
        <f ca="1">IF(Table29[[#This Row],[5/5/2025]]&gt;TODAY(),1,)</f>
        <v>0</v>
      </c>
    </row>
    <row r="14" spans="1:27" s="65" customFormat="1" ht="14.25" customHeight="1" x14ac:dyDescent="0.25">
      <c r="A14" s="58"/>
      <c r="B14" s="58" t="s">
        <v>49</v>
      </c>
      <c r="C14" s="59" t="s">
        <v>296</v>
      </c>
      <c r="D14" s="59">
        <v>3682</v>
      </c>
      <c r="E14" s="58" t="s">
        <v>81</v>
      </c>
      <c r="F14" s="69">
        <v>45670</v>
      </c>
      <c r="G14" s="69">
        <v>45674</v>
      </c>
      <c r="H14" s="64">
        <v>0.33333333333333331</v>
      </c>
      <c r="I14" s="64"/>
      <c r="J14" s="61"/>
      <c r="K14" s="61"/>
      <c r="L14" s="61"/>
      <c r="M14" s="61"/>
      <c r="N14" s="61"/>
      <c r="O14" s="58" t="s">
        <v>48</v>
      </c>
      <c r="P14" s="58"/>
      <c r="Q14" s="13">
        <v>40</v>
      </c>
      <c r="R14" s="13">
        <v>5</v>
      </c>
      <c r="S14" s="62"/>
      <c r="T14" s="62"/>
      <c r="U14" s="13"/>
      <c r="V14" s="13"/>
      <c r="W14" s="13"/>
      <c r="X14" s="58"/>
      <c r="Y14" s="51">
        <f ca="1">Table29[[#This Row],[5/9/2025]]+2-TODAY()</f>
        <v>-568</v>
      </c>
      <c r="Z14" s="13">
        <f>IF(ISBLANK(Table29[[#This Row],[Roster Received By]]),1,0)</f>
        <v>1</v>
      </c>
      <c r="AA14" s="13">
        <f ca="1">IF(Table29[[#This Row],[5/5/2025]]&gt;TODAY(),1,)</f>
        <v>0</v>
      </c>
    </row>
    <row r="15" spans="1:27" s="65" customFormat="1" ht="14.25" customHeight="1" x14ac:dyDescent="0.25">
      <c r="A15" s="59"/>
      <c r="B15" s="58" t="s">
        <v>49</v>
      </c>
      <c r="C15" s="59" t="s">
        <v>296</v>
      </c>
      <c r="D15" s="59">
        <v>3682</v>
      </c>
      <c r="E15" s="58" t="s">
        <v>101</v>
      </c>
      <c r="F15" s="61">
        <v>45691</v>
      </c>
      <c r="G15" s="61">
        <v>45695</v>
      </c>
      <c r="H15" s="64">
        <v>0.33333333333333331</v>
      </c>
      <c r="I15" s="64"/>
      <c r="J15" s="61"/>
      <c r="K15" s="61"/>
      <c r="L15" s="61"/>
      <c r="M15" s="61"/>
      <c r="N15" s="61"/>
      <c r="O15" s="58" t="s">
        <v>48</v>
      </c>
      <c r="P15" s="58"/>
      <c r="Q15" s="63">
        <v>40</v>
      </c>
      <c r="R15" s="63">
        <v>5</v>
      </c>
      <c r="S15" s="63"/>
      <c r="T15" s="63"/>
      <c r="U15" s="59"/>
      <c r="V15" s="59"/>
      <c r="W15" s="63"/>
      <c r="X15" s="59"/>
      <c r="Y15" s="68">
        <f ca="1">Table29[[#This Row],[5/9/2025]]+2-TODAY()</f>
        <v>-547</v>
      </c>
      <c r="Z15" s="59">
        <f>IF(ISBLANK(Table29[[#This Row],[Roster Received By]]),1,0)</f>
        <v>1</v>
      </c>
      <c r="AA15" s="59">
        <f ca="1">IF(Table29[[#This Row],[5/5/2025]]&gt;TODAY(),1,)</f>
        <v>0</v>
      </c>
    </row>
    <row r="16" spans="1:27" s="65" customFormat="1" ht="14.25" customHeight="1" x14ac:dyDescent="0.25">
      <c r="A16" s="59"/>
      <c r="B16" s="58" t="s">
        <v>49</v>
      </c>
      <c r="C16" s="59" t="s">
        <v>296</v>
      </c>
      <c r="D16" s="59">
        <v>3682</v>
      </c>
      <c r="E16" s="58" t="s">
        <v>297</v>
      </c>
      <c r="F16" s="61">
        <v>45712</v>
      </c>
      <c r="G16" s="61">
        <v>45716</v>
      </c>
      <c r="H16" s="64">
        <v>0.33333333333333331</v>
      </c>
      <c r="I16" s="64"/>
      <c r="J16" s="61"/>
      <c r="K16" s="61"/>
      <c r="L16" s="61"/>
      <c r="M16" s="61"/>
      <c r="N16" s="61"/>
      <c r="O16" s="58" t="s">
        <v>48</v>
      </c>
      <c r="P16" s="58"/>
      <c r="Q16" s="63">
        <v>40</v>
      </c>
      <c r="R16" s="63">
        <v>5</v>
      </c>
      <c r="S16" s="63"/>
      <c r="T16" s="63"/>
      <c r="U16" s="59"/>
      <c r="V16" s="59"/>
      <c r="W16" s="63"/>
      <c r="X16" s="59"/>
      <c r="Y16" s="68">
        <f ca="1">Table29[[#This Row],[5/9/2025]]+2-TODAY()</f>
        <v>-526</v>
      </c>
      <c r="Z16" s="59">
        <f>IF(ISBLANK(Table29[[#This Row],[Roster Received By]]),1,0)</f>
        <v>1</v>
      </c>
      <c r="AA16" s="59">
        <f ca="1">IF(Table29[[#This Row],[5/5/2025]]&gt;TODAY(),1,)</f>
        <v>0</v>
      </c>
    </row>
    <row r="17" spans="1:27" s="97" customFormat="1" ht="14.25" customHeight="1" x14ac:dyDescent="0.25">
      <c r="A17" s="59"/>
      <c r="B17" s="58" t="s">
        <v>49</v>
      </c>
      <c r="C17" s="59" t="s">
        <v>296</v>
      </c>
      <c r="D17" s="59">
        <v>3682</v>
      </c>
      <c r="E17" s="58" t="s">
        <v>132</v>
      </c>
      <c r="F17" s="61">
        <v>45726</v>
      </c>
      <c r="G17" s="61">
        <v>45730</v>
      </c>
      <c r="H17" s="64">
        <v>0.33333333333333331</v>
      </c>
      <c r="I17" s="64"/>
      <c r="J17" s="61"/>
      <c r="K17" s="61"/>
      <c r="L17" s="61"/>
      <c r="M17" s="61"/>
      <c r="N17" s="61"/>
      <c r="O17" s="58" t="s">
        <v>48</v>
      </c>
      <c r="P17" s="58"/>
      <c r="Q17" s="63">
        <v>40</v>
      </c>
      <c r="R17" s="63">
        <v>5</v>
      </c>
      <c r="S17" s="63"/>
      <c r="T17" s="63"/>
      <c r="U17" s="59"/>
      <c r="V17" s="59"/>
      <c r="W17" s="63"/>
      <c r="X17" s="59"/>
      <c r="Y17" s="68">
        <f ca="1">Table29[[#This Row],[5/9/2025]]+2-TODAY()</f>
        <v>-512</v>
      </c>
      <c r="Z17" s="59">
        <f>IF(ISBLANK(Table29[[#This Row],[Roster Received By]]),1,0)</f>
        <v>1</v>
      </c>
      <c r="AA17" s="59">
        <f ca="1">IF(Table29[[#This Row],[5/5/2025]]&gt;TODAY(),1,)</f>
        <v>0</v>
      </c>
    </row>
    <row r="18" spans="1:27" s="65" customFormat="1" ht="16.5" customHeight="1" x14ac:dyDescent="0.25">
      <c r="A18" s="59"/>
      <c r="B18" s="58" t="s">
        <v>49</v>
      </c>
      <c r="C18" s="59" t="s">
        <v>296</v>
      </c>
      <c r="D18" s="59">
        <v>3682</v>
      </c>
      <c r="E18" s="58" t="s">
        <v>41</v>
      </c>
      <c r="F18" s="61">
        <v>45733</v>
      </c>
      <c r="G18" s="61">
        <v>45737</v>
      </c>
      <c r="H18" s="64">
        <v>0.33333333333333331</v>
      </c>
      <c r="I18" s="64"/>
      <c r="J18" s="61"/>
      <c r="K18" s="61"/>
      <c r="L18" s="61"/>
      <c r="M18" s="61"/>
      <c r="N18" s="61"/>
      <c r="O18" s="58" t="s">
        <v>48</v>
      </c>
      <c r="P18" s="58"/>
      <c r="Q18" s="63">
        <v>40</v>
      </c>
      <c r="R18" s="63">
        <v>5</v>
      </c>
      <c r="S18" s="63"/>
      <c r="T18" s="63"/>
      <c r="U18" s="59"/>
      <c r="V18" s="59"/>
      <c r="W18" s="63"/>
      <c r="X18" s="59"/>
      <c r="Y18" s="68">
        <f ca="1">Table29[[#This Row],[5/9/2025]]+2-TODAY()</f>
        <v>-505</v>
      </c>
      <c r="Z18" s="59">
        <f>IF(ISBLANK(Table29[[#This Row],[Roster Received By]]),1,0)</f>
        <v>1</v>
      </c>
      <c r="AA18" s="59">
        <f ca="1">IF(Table29[[#This Row],[5/5/2025]]&gt;TODAY(),1,)</f>
        <v>0</v>
      </c>
    </row>
    <row r="19" spans="1:27" s="65" customFormat="1" ht="16.5" customHeight="1" x14ac:dyDescent="0.25">
      <c r="A19" s="59"/>
      <c r="B19" s="58" t="s">
        <v>49</v>
      </c>
      <c r="C19" s="59" t="s">
        <v>296</v>
      </c>
      <c r="D19" s="59">
        <v>3682</v>
      </c>
      <c r="E19" s="58" t="s">
        <v>298</v>
      </c>
      <c r="F19" s="61">
        <v>45747</v>
      </c>
      <c r="G19" s="61">
        <v>45751</v>
      </c>
      <c r="H19" s="64">
        <v>0.33333333333333331</v>
      </c>
      <c r="I19" s="64"/>
      <c r="J19" s="61"/>
      <c r="K19" s="61"/>
      <c r="L19" s="61"/>
      <c r="M19" s="61"/>
      <c r="N19" s="61"/>
      <c r="O19" s="58" t="s">
        <v>48</v>
      </c>
      <c r="P19" s="58"/>
      <c r="Q19" s="63">
        <v>40</v>
      </c>
      <c r="R19" s="63">
        <v>5</v>
      </c>
      <c r="S19" s="63"/>
      <c r="T19" s="63"/>
      <c r="U19" s="59"/>
      <c r="V19" s="59"/>
      <c r="W19" s="63"/>
      <c r="X19" s="59"/>
      <c r="Y19" s="68">
        <f ca="1">Table29[[#This Row],[5/9/2025]]+2-TODAY()</f>
        <v>-491</v>
      </c>
      <c r="Z19" s="59">
        <f>IF(ISBLANK(Table29[[#This Row],[Roster Received By]]),1,0)</f>
        <v>1</v>
      </c>
      <c r="AA19" s="59">
        <f ca="1">IF(Table29[[#This Row],[5/5/2025]]&gt;TODAY(),1,)</f>
        <v>0</v>
      </c>
    </row>
    <row r="20" spans="1:27" s="65" customFormat="1" ht="16.5" customHeight="1" x14ac:dyDescent="0.25">
      <c r="A20" s="59" t="s">
        <v>299</v>
      </c>
      <c r="B20" s="58" t="s">
        <v>49</v>
      </c>
      <c r="C20" s="59" t="s">
        <v>296</v>
      </c>
      <c r="D20" s="59">
        <v>3682</v>
      </c>
      <c r="E20" s="58" t="s">
        <v>50</v>
      </c>
      <c r="F20" s="61">
        <v>45754</v>
      </c>
      <c r="G20" s="61">
        <v>45758</v>
      </c>
      <c r="H20" s="64">
        <v>0.33333333333333331</v>
      </c>
      <c r="I20" s="64"/>
      <c r="J20" s="61"/>
      <c r="K20" s="61"/>
      <c r="L20" s="61"/>
      <c r="M20" s="61"/>
      <c r="N20" s="61"/>
      <c r="O20" s="58" t="s">
        <v>48</v>
      </c>
      <c r="P20" s="58"/>
      <c r="Q20" s="63">
        <v>40</v>
      </c>
      <c r="R20" s="63">
        <v>5</v>
      </c>
      <c r="S20" s="63"/>
      <c r="T20" s="63"/>
      <c r="U20" s="59"/>
      <c r="V20" s="59"/>
      <c r="W20" s="63"/>
      <c r="X20" s="59"/>
      <c r="Y20" s="68">
        <f ca="1">Table29[[#This Row],[5/9/2025]]+2-TODAY()</f>
        <v>-484</v>
      </c>
      <c r="Z20" s="59">
        <f>IF(ISBLANK(Table29[[#This Row],[Roster Received By]]),1,0)</f>
        <v>1</v>
      </c>
      <c r="AA20" s="59">
        <f ca="1">IF(Table29[[#This Row],[5/5/2025]]&gt;TODAY(),1,)</f>
        <v>0</v>
      </c>
    </row>
    <row r="21" spans="1:27" s="65" customFormat="1" ht="16.5" customHeight="1" x14ac:dyDescent="0.25">
      <c r="A21" s="59"/>
      <c r="B21" s="58" t="s">
        <v>49</v>
      </c>
      <c r="C21" s="59" t="s">
        <v>296</v>
      </c>
      <c r="D21" s="59">
        <v>3682</v>
      </c>
      <c r="E21" s="58" t="s">
        <v>300</v>
      </c>
      <c r="F21" s="61">
        <v>45754</v>
      </c>
      <c r="G21" s="61">
        <v>45758</v>
      </c>
      <c r="H21" s="64">
        <v>0.33333333333333331</v>
      </c>
      <c r="I21" s="64"/>
      <c r="J21" s="61"/>
      <c r="K21" s="61"/>
      <c r="L21" s="61"/>
      <c r="M21" s="61"/>
      <c r="N21" s="61"/>
      <c r="O21" s="58" t="s">
        <v>48</v>
      </c>
      <c r="P21" s="58"/>
      <c r="Q21" s="63">
        <v>40</v>
      </c>
      <c r="R21" s="63">
        <v>5</v>
      </c>
      <c r="S21" s="63"/>
      <c r="T21" s="63"/>
      <c r="U21" s="59"/>
      <c r="V21" s="59"/>
      <c r="W21" s="63"/>
      <c r="X21" s="59"/>
      <c r="Y21" s="68">
        <f ca="1">Table29[[#This Row],[5/9/2025]]+2-TODAY()</f>
        <v>-484</v>
      </c>
      <c r="Z21" s="59">
        <f>IF(ISBLANK(Table29[[#This Row],[Roster Received By]]),1,0)</f>
        <v>1</v>
      </c>
      <c r="AA21" s="59">
        <f ca="1">IF(Table29[[#This Row],[5/5/2025]]&gt;TODAY(),1,)</f>
        <v>0</v>
      </c>
    </row>
    <row r="22" spans="1:27" s="65" customFormat="1" ht="16.5" customHeight="1" x14ac:dyDescent="0.25">
      <c r="A22" s="59"/>
      <c r="B22" s="58" t="s">
        <v>49</v>
      </c>
      <c r="C22" s="59" t="s">
        <v>296</v>
      </c>
      <c r="D22" s="59">
        <v>3682</v>
      </c>
      <c r="E22" s="58" t="s">
        <v>301</v>
      </c>
      <c r="F22" s="61">
        <v>45761</v>
      </c>
      <c r="G22" s="61">
        <v>45765</v>
      </c>
      <c r="H22" s="64">
        <v>0.33333333333333331</v>
      </c>
      <c r="I22" s="64"/>
      <c r="J22" s="61"/>
      <c r="K22" s="61"/>
      <c r="L22" s="61"/>
      <c r="M22" s="61"/>
      <c r="N22" s="61"/>
      <c r="O22" s="58" t="s">
        <v>48</v>
      </c>
      <c r="P22" s="58"/>
      <c r="Q22" s="63">
        <v>40</v>
      </c>
      <c r="R22" s="63">
        <v>5</v>
      </c>
      <c r="S22" s="63"/>
      <c r="T22" s="63"/>
      <c r="U22" s="59"/>
      <c r="V22" s="59"/>
      <c r="W22" s="63"/>
      <c r="X22" s="59"/>
      <c r="Y22" s="68">
        <f ca="1">Table29[[#This Row],[5/9/2025]]+2-TODAY()</f>
        <v>-477</v>
      </c>
      <c r="Z22" s="59">
        <f>IF(ISBLANK(Table29[[#This Row],[Roster Received By]]),1,0)</f>
        <v>1</v>
      </c>
      <c r="AA22" s="59">
        <f ca="1">IF(Table29[[#This Row],[5/5/2025]]&gt;TODAY(),1,)</f>
        <v>0</v>
      </c>
    </row>
    <row r="23" spans="1:27" s="65" customFormat="1" ht="14.25" customHeight="1" x14ac:dyDescent="0.25">
      <c r="A23" s="59" t="s">
        <v>302</v>
      </c>
      <c r="B23" s="58" t="s">
        <v>49</v>
      </c>
      <c r="C23" s="59" t="s">
        <v>296</v>
      </c>
      <c r="D23" s="59">
        <v>3682</v>
      </c>
      <c r="E23" s="58" t="s">
        <v>51</v>
      </c>
      <c r="F23" s="61">
        <v>45768</v>
      </c>
      <c r="G23" s="61">
        <v>45772</v>
      </c>
      <c r="H23" s="64">
        <v>0.33333333333333331</v>
      </c>
      <c r="I23" s="64"/>
      <c r="J23" s="61"/>
      <c r="K23" s="61"/>
      <c r="L23" s="61"/>
      <c r="M23" s="61"/>
      <c r="N23" s="61"/>
      <c r="O23" s="58" t="s">
        <v>48</v>
      </c>
      <c r="P23" s="58"/>
      <c r="Q23" s="63">
        <v>40</v>
      </c>
      <c r="R23" s="63">
        <v>5</v>
      </c>
      <c r="S23" s="63"/>
      <c r="T23" s="63"/>
      <c r="U23" s="59"/>
      <c r="V23" s="59"/>
      <c r="W23" s="63"/>
      <c r="X23" s="59"/>
      <c r="Y23" s="68">
        <f ca="1">Table29[[#This Row],[5/9/2025]]+2-TODAY()</f>
        <v>-470</v>
      </c>
      <c r="Z23" s="59">
        <f>IF(ISBLANK(Table29[[#This Row],[Roster Received By]]),1,0)</f>
        <v>1</v>
      </c>
      <c r="AA23" s="59">
        <f ca="1">IF(Table29[[#This Row],[5/5/2025]]&gt;TODAY(),1,)</f>
        <v>0</v>
      </c>
    </row>
    <row r="24" spans="1:27" s="65" customFormat="1" ht="14.25" customHeight="1" x14ac:dyDescent="0.25">
      <c r="A24" s="59"/>
      <c r="B24" s="58" t="s">
        <v>49</v>
      </c>
      <c r="C24" s="59" t="s">
        <v>296</v>
      </c>
      <c r="D24" s="59">
        <v>3682</v>
      </c>
      <c r="E24" s="58" t="s">
        <v>112</v>
      </c>
      <c r="F24" s="61">
        <v>45796</v>
      </c>
      <c r="G24" s="61">
        <v>45800</v>
      </c>
      <c r="H24" s="64">
        <v>0.33333333333333331</v>
      </c>
      <c r="I24" s="64"/>
      <c r="J24" s="61"/>
      <c r="K24" s="61"/>
      <c r="L24" s="61"/>
      <c r="M24" s="61"/>
      <c r="N24" s="61"/>
      <c r="O24" s="58" t="s">
        <v>48</v>
      </c>
      <c r="P24" s="58"/>
      <c r="Q24" s="63">
        <v>40</v>
      </c>
      <c r="R24" s="63">
        <v>5</v>
      </c>
      <c r="S24" s="63"/>
      <c r="T24" s="63"/>
      <c r="U24" s="59"/>
      <c r="V24" s="59"/>
      <c r="W24" s="63"/>
      <c r="X24" s="59"/>
      <c r="Y24" s="68">
        <f ca="1">Table29[[#This Row],[5/9/2025]]+2-TODAY()</f>
        <v>-442</v>
      </c>
      <c r="Z24" s="59">
        <f>IF(ISBLANK(Table29[[#This Row],[Roster Received By]]),1,0)</f>
        <v>1</v>
      </c>
      <c r="AA24" s="59">
        <f ca="1">IF(Table29[[#This Row],[5/5/2025]]&gt;TODAY(),1,)</f>
        <v>0</v>
      </c>
    </row>
    <row r="25" spans="1:27" s="65" customFormat="1" ht="16.5" customHeight="1" x14ac:dyDescent="0.25">
      <c r="A25" s="59"/>
      <c r="B25" s="58" t="s">
        <v>49</v>
      </c>
      <c r="C25" s="59" t="s">
        <v>296</v>
      </c>
      <c r="D25" s="59">
        <v>3682</v>
      </c>
      <c r="E25" s="58" t="s">
        <v>83</v>
      </c>
      <c r="F25" s="61">
        <v>45817</v>
      </c>
      <c r="G25" s="61">
        <v>45913</v>
      </c>
      <c r="H25" s="64">
        <v>0.33333333333333331</v>
      </c>
      <c r="I25" s="64"/>
      <c r="J25" s="61"/>
      <c r="K25" s="61"/>
      <c r="L25" s="61"/>
      <c r="M25" s="61"/>
      <c r="N25" s="61"/>
      <c r="O25" s="58" t="s">
        <v>48</v>
      </c>
      <c r="P25" s="58"/>
      <c r="Q25" s="63">
        <v>40</v>
      </c>
      <c r="R25" s="63">
        <v>5</v>
      </c>
      <c r="S25" s="63"/>
      <c r="T25" s="63"/>
      <c r="U25" s="59"/>
      <c r="V25" s="59"/>
      <c r="W25" s="63"/>
      <c r="X25" s="59"/>
      <c r="Y25" s="68">
        <f ca="1">Table29[[#This Row],[5/9/2025]]+2-TODAY()</f>
        <v>-329</v>
      </c>
      <c r="Z25" s="59">
        <f>IF(ISBLANK(Table29[[#This Row],[Roster Received By]]),1,0)</f>
        <v>1</v>
      </c>
      <c r="AA25" s="59">
        <f ca="1">IF(Table29[[#This Row],[5/5/2025]]&gt;TODAY(),1,)</f>
        <v>0</v>
      </c>
    </row>
    <row r="26" spans="1:27" s="65" customFormat="1" ht="16.5" customHeight="1" x14ac:dyDescent="0.25">
      <c r="A26" s="59"/>
      <c r="B26" s="58" t="s">
        <v>49</v>
      </c>
      <c r="C26" s="59" t="s">
        <v>296</v>
      </c>
      <c r="D26" s="59">
        <v>3682</v>
      </c>
      <c r="E26" s="58" t="s">
        <v>103</v>
      </c>
      <c r="F26" s="61">
        <v>45817</v>
      </c>
      <c r="G26" s="61">
        <v>45821</v>
      </c>
      <c r="H26" s="64">
        <v>0.33333333333333331</v>
      </c>
      <c r="I26" s="64"/>
      <c r="J26" s="61"/>
      <c r="K26" s="61"/>
      <c r="L26" s="61"/>
      <c r="M26" s="61"/>
      <c r="N26" s="61"/>
      <c r="O26" s="58" t="s">
        <v>48</v>
      </c>
      <c r="P26" s="58"/>
      <c r="Q26" s="63">
        <v>40</v>
      </c>
      <c r="R26" s="63">
        <v>5</v>
      </c>
      <c r="S26" s="63"/>
      <c r="T26" s="63"/>
      <c r="U26" s="59"/>
      <c r="V26" s="59"/>
      <c r="W26" s="63"/>
      <c r="X26" s="59"/>
      <c r="Y26" s="68">
        <f ca="1">Table29[[#This Row],[5/9/2025]]+2-TODAY()</f>
        <v>-421</v>
      </c>
      <c r="Z26" s="59">
        <f>IF(ISBLANK(Table29[[#This Row],[Roster Received By]]),1,0)</f>
        <v>1</v>
      </c>
      <c r="AA26" s="59">
        <f ca="1">IF(Table29[[#This Row],[5/5/2025]]&gt;TODAY(),1,)</f>
        <v>0</v>
      </c>
    </row>
    <row r="27" spans="1:27" s="65" customFormat="1" ht="16.5" customHeight="1" x14ac:dyDescent="0.25">
      <c r="A27" s="59"/>
      <c r="B27" s="58" t="s">
        <v>49</v>
      </c>
      <c r="C27" s="59" t="s">
        <v>296</v>
      </c>
      <c r="D27" s="59">
        <v>3682</v>
      </c>
      <c r="E27" s="58" t="s">
        <v>75</v>
      </c>
      <c r="F27" s="61">
        <v>45873</v>
      </c>
      <c r="G27" s="61">
        <v>45877</v>
      </c>
      <c r="H27" s="64">
        <v>0.33333333333333331</v>
      </c>
      <c r="I27" s="64"/>
      <c r="J27" s="61"/>
      <c r="K27" s="61"/>
      <c r="L27" s="61"/>
      <c r="M27" s="61"/>
      <c r="N27" s="61"/>
      <c r="O27" s="58" t="s">
        <v>48</v>
      </c>
      <c r="P27" s="58"/>
      <c r="Q27" s="63">
        <v>40</v>
      </c>
      <c r="R27" s="63">
        <v>5</v>
      </c>
      <c r="S27" s="63"/>
      <c r="T27" s="63"/>
      <c r="U27" s="59"/>
      <c r="V27" s="59"/>
      <c r="W27" s="63"/>
      <c r="X27" s="59"/>
      <c r="Y27" s="68">
        <f ca="1">Table29[[#This Row],[5/9/2025]]+2-TODAY()</f>
        <v>-365</v>
      </c>
      <c r="Z27" s="59">
        <f>IF(ISBLANK(Table29[[#This Row],[Roster Received By]]),1,0)</f>
        <v>1</v>
      </c>
      <c r="AA27" s="59">
        <f ca="1">IF(Table29[[#This Row],[5/5/2025]]&gt;TODAY(),1,)</f>
        <v>0</v>
      </c>
    </row>
    <row r="28" spans="1:27" s="65" customFormat="1" ht="14.25" customHeight="1" x14ac:dyDescent="0.25">
      <c r="A28" s="59"/>
      <c r="B28" s="58" t="s">
        <v>49</v>
      </c>
      <c r="C28" s="59" t="s">
        <v>296</v>
      </c>
      <c r="D28" s="59">
        <v>3682</v>
      </c>
      <c r="E28" s="58" t="s">
        <v>129</v>
      </c>
      <c r="F28" s="61">
        <v>45873</v>
      </c>
      <c r="G28" s="61">
        <v>45877</v>
      </c>
      <c r="H28" s="64">
        <v>0.33333333333333331</v>
      </c>
      <c r="I28" s="64"/>
      <c r="J28" s="61"/>
      <c r="K28" s="61"/>
      <c r="L28" s="61"/>
      <c r="M28" s="61"/>
      <c r="N28" s="61"/>
      <c r="O28" s="58" t="s">
        <v>48</v>
      </c>
      <c r="P28" s="58"/>
      <c r="Q28" s="63">
        <v>40</v>
      </c>
      <c r="R28" s="63">
        <v>5</v>
      </c>
      <c r="S28" s="63"/>
      <c r="T28" s="63"/>
      <c r="U28" s="59"/>
      <c r="V28" s="59"/>
      <c r="W28" s="63"/>
      <c r="X28" s="59"/>
      <c r="Y28" s="68">
        <f ca="1">Table29[[#This Row],[5/9/2025]]+2-TODAY()</f>
        <v>-365</v>
      </c>
      <c r="Z28" s="59">
        <f>IF(ISBLANK(Table29[[#This Row],[Roster Received By]]),1,0)</f>
        <v>1</v>
      </c>
      <c r="AA28" s="59">
        <f ca="1">IF(Table29[[#This Row],[5/5/2025]]&gt;TODAY(),1,)</f>
        <v>0</v>
      </c>
    </row>
    <row r="29" spans="1:27" s="65" customFormat="1" ht="14.25" customHeight="1" x14ac:dyDescent="0.25">
      <c r="A29" s="59" t="s">
        <v>128</v>
      </c>
      <c r="B29" s="58" t="s">
        <v>49</v>
      </c>
      <c r="C29" s="59" t="s">
        <v>296</v>
      </c>
      <c r="D29" s="59">
        <v>3682</v>
      </c>
      <c r="E29" s="58" t="s">
        <v>303</v>
      </c>
      <c r="F29" s="61">
        <v>45880</v>
      </c>
      <c r="G29" s="61">
        <v>45884</v>
      </c>
      <c r="H29" s="64">
        <v>0.33333333333333331</v>
      </c>
      <c r="I29" s="64"/>
      <c r="J29" s="61"/>
      <c r="K29" s="61"/>
      <c r="L29" s="61"/>
      <c r="M29" s="61"/>
      <c r="N29" s="61"/>
      <c r="O29" s="58" t="s">
        <v>48</v>
      </c>
      <c r="P29" s="58"/>
      <c r="Q29" s="63">
        <v>40</v>
      </c>
      <c r="R29" s="63">
        <v>5</v>
      </c>
      <c r="S29" s="63"/>
      <c r="T29" s="63"/>
      <c r="U29" s="59"/>
      <c r="V29" s="59"/>
      <c r="W29" s="63"/>
      <c r="X29" s="59"/>
      <c r="Y29" s="68">
        <f ca="1">Table29[[#This Row],[5/9/2025]]+2-TODAY()</f>
        <v>-358</v>
      </c>
      <c r="Z29" s="59">
        <f>IF(ISBLANK(Table29[[#This Row],[Roster Received By]]),1,0)</f>
        <v>1</v>
      </c>
      <c r="AA29" s="59">
        <f ca="1">IF(Table29[[#This Row],[5/5/2025]]&gt;TODAY(),1,)</f>
        <v>0</v>
      </c>
    </row>
    <row r="30" spans="1:27" s="65" customFormat="1" ht="14.25" customHeight="1" x14ac:dyDescent="0.25">
      <c r="A30" s="59"/>
      <c r="B30" s="58" t="s">
        <v>49</v>
      </c>
      <c r="C30" s="59" t="s">
        <v>296</v>
      </c>
      <c r="D30" s="59">
        <v>3682</v>
      </c>
      <c r="E30" s="58" t="s">
        <v>78</v>
      </c>
      <c r="F30" s="61">
        <v>45894</v>
      </c>
      <c r="G30" s="61">
        <v>45898</v>
      </c>
      <c r="H30" s="64">
        <v>0.33333333333333331</v>
      </c>
      <c r="I30" s="64"/>
      <c r="J30" s="61"/>
      <c r="K30" s="61"/>
      <c r="L30" s="61"/>
      <c r="M30" s="61"/>
      <c r="N30" s="61"/>
      <c r="O30" s="58" t="s">
        <v>48</v>
      </c>
      <c r="P30" s="58"/>
      <c r="Q30" s="63">
        <v>40</v>
      </c>
      <c r="R30" s="63">
        <v>5</v>
      </c>
      <c r="S30" s="63"/>
      <c r="T30" s="63"/>
      <c r="U30" s="59"/>
      <c r="V30" s="59"/>
      <c r="W30" s="63"/>
      <c r="X30" s="59"/>
      <c r="Y30" s="68">
        <f ca="1">Table29[[#This Row],[5/9/2025]]+2-TODAY()</f>
        <v>-344</v>
      </c>
      <c r="Z30" s="59">
        <f>IF(ISBLANK(Table29[[#This Row],[Roster Received By]]),1,0)</f>
        <v>1</v>
      </c>
      <c r="AA30" s="59">
        <f ca="1">IF(Table29[[#This Row],[5/5/2025]]&gt;TODAY(),1,)</f>
        <v>0</v>
      </c>
    </row>
    <row r="31" spans="1:27" s="98" customFormat="1" ht="14.25" customHeight="1" x14ac:dyDescent="0.25">
      <c r="A31" s="59"/>
      <c r="B31" s="58" t="s">
        <v>49</v>
      </c>
      <c r="C31" s="59" t="s">
        <v>296</v>
      </c>
      <c r="D31" s="59">
        <v>3682</v>
      </c>
      <c r="E31" s="58" t="s">
        <v>132</v>
      </c>
      <c r="F31" s="61">
        <v>45908</v>
      </c>
      <c r="G31" s="61">
        <v>45912</v>
      </c>
      <c r="H31" s="64">
        <v>0.33333333333333331</v>
      </c>
      <c r="I31" s="64"/>
      <c r="J31" s="61"/>
      <c r="K31" s="61"/>
      <c r="L31" s="61"/>
      <c r="M31" s="61"/>
      <c r="N31" s="61"/>
      <c r="O31" s="58" t="s">
        <v>48</v>
      </c>
      <c r="P31" s="58"/>
      <c r="Q31" s="63">
        <v>40</v>
      </c>
      <c r="R31" s="63">
        <v>5</v>
      </c>
      <c r="S31" s="63"/>
      <c r="T31" s="63"/>
      <c r="U31" s="59"/>
      <c r="V31" s="59"/>
      <c r="W31" s="63"/>
      <c r="X31" s="59"/>
      <c r="Y31" s="68">
        <f ca="1">Table29[[#This Row],[5/9/2025]]+2-TODAY()</f>
        <v>-330</v>
      </c>
      <c r="Z31" s="59">
        <f>IF(ISBLANK(Table29[[#This Row],[Roster Received By]]),1,0)</f>
        <v>1</v>
      </c>
      <c r="AA31" s="59">
        <f ca="1">IF(Table29[[#This Row],[5/5/2025]]&gt;TODAY(),1,)</f>
        <v>0</v>
      </c>
    </row>
    <row r="32" spans="1:27" s="94" customFormat="1" ht="14.25" customHeight="1" x14ac:dyDescent="0.25">
      <c r="A32" s="59" t="s">
        <v>304</v>
      </c>
      <c r="B32" s="58" t="s">
        <v>49</v>
      </c>
      <c r="C32" s="59" t="s">
        <v>296</v>
      </c>
      <c r="D32" s="59">
        <v>3682</v>
      </c>
      <c r="E32" s="58" t="s">
        <v>131</v>
      </c>
      <c r="F32" s="61">
        <v>45922</v>
      </c>
      <c r="G32" s="61">
        <v>45926</v>
      </c>
      <c r="H32" s="64">
        <v>0.33333333333333331</v>
      </c>
      <c r="I32" s="64"/>
      <c r="J32" s="61"/>
      <c r="K32" s="61"/>
      <c r="L32" s="61"/>
      <c r="M32" s="61"/>
      <c r="N32" s="61"/>
      <c r="O32" s="58" t="s">
        <v>48</v>
      </c>
      <c r="P32" s="58"/>
      <c r="Q32" s="63">
        <v>40</v>
      </c>
      <c r="R32" s="63">
        <v>5</v>
      </c>
      <c r="S32" s="63"/>
      <c r="T32" s="63"/>
      <c r="U32" s="59"/>
      <c r="V32" s="59"/>
      <c r="W32" s="63"/>
      <c r="X32" s="59"/>
      <c r="Y32" s="68">
        <f ca="1">Table29[[#This Row],[5/9/2025]]+2-TODAY()</f>
        <v>-316</v>
      </c>
      <c r="Z32" s="59">
        <f>IF(ISBLANK(Table29[[#This Row],[Roster Received By]]),1,0)</f>
        <v>1</v>
      </c>
      <c r="AA32" s="59">
        <f ca="1">IF(Table29[[#This Row],[5/5/2025]]&gt;TODAY(),1,)</f>
        <v>0</v>
      </c>
    </row>
    <row r="33" spans="1:27" s="94" customFormat="1" ht="14.25" customHeight="1" x14ac:dyDescent="0.25">
      <c r="A33" s="59"/>
      <c r="B33" s="58" t="s">
        <v>49</v>
      </c>
      <c r="C33" s="59" t="s">
        <v>296</v>
      </c>
      <c r="D33" s="59">
        <v>3682</v>
      </c>
      <c r="E33" s="58" t="s">
        <v>75</v>
      </c>
      <c r="F33" s="61" t="s">
        <v>305</v>
      </c>
      <c r="G33" s="61">
        <v>45835</v>
      </c>
      <c r="H33" s="64">
        <v>0.33333333333333331</v>
      </c>
      <c r="I33" s="64"/>
      <c r="J33" s="61"/>
      <c r="K33" s="61"/>
      <c r="L33" s="61"/>
      <c r="M33" s="61"/>
      <c r="N33" s="61"/>
      <c r="O33" s="58" t="s">
        <v>48</v>
      </c>
      <c r="P33" s="58"/>
      <c r="Q33" s="63">
        <v>40</v>
      </c>
      <c r="R33" s="63">
        <v>5</v>
      </c>
      <c r="S33" s="63"/>
      <c r="T33" s="63"/>
      <c r="U33" s="59"/>
      <c r="V33" s="59"/>
      <c r="W33" s="63"/>
      <c r="X33" s="59"/>
      <c r="Y33" s="68">
        <f ca="1">Table29[[#This Row],[5/9/2025]]+2-TODAY()</f>
        <v>-407</v>
      </c>
      <c r="Z33" s="59">
        <f>IF(ISBLANK(Table29[[#This Row],[Roster Received By]]),1,0)</f>
        <v>1</v>
      </c>
      <c r="AA33" s="59">
        <f ca="1">IF(Table29[[#This Row],[5/5/2025]]&gt;TODAY(),1,)</f>
        <v>1</v>
      </c>
    </row>
    <row r="34" spans="1:27" s="65" customFormat="1" ht="14.25" customHeight="1" x14ac:dyDescent="0.25">
      <c r="A34" s="151" t="s">
        <v>306</v>
      </c>
      <c r="B34" s="148" t="s">
        <v>49</v>
      </c>
      <c r="C34" s="59" t="s">
        <v>296</v>
      </c>
      <c r="D34" s="59">
        <v>3682</v>
      </c>
      <c r="E34" s="58" t="s">
        <v>120</v>
      </c>
      <c r="F34" s="61">
        <v>45733</v>
      </c>
      <c r="G34" s="61">
        <v>45737</v>
      </c>
      <c r="H34" s="64">
        <v>0.33333333333333331</v>
      </c>
      <c r="I34" s="64"/>
      <c r="J34" s="61"/>
      <c r="K34" s="61"/>
      <c r="L34" s="61"/>
      <c r="M34" s="61"/>
      <c r="N34" s="61"/>
      <c r="O34" s="58" t="s">
        <v>48</v>
      </c>
      <c r="P34" s="58"/>
      <c r="Q34" s="63">
        <v>40</v>
      </c>
      <c r="R34" s="63">
        <v>5</v>
      </c>
      <c r="S34" s="63"/>
      <c r="T34" s="63"/>
      <c r="U34" s="59"/>
      <c r="V34" s="59"/>
      <c r="W34" s="63"/>
      <c r="X34" s="59"/>
      <c r="Y34" s="68">
        <f ca="1">Table29[[#This Row],[5/9/2025]]+2-TODAY()</f>
        <v>-505</v>
      </c>
      <c r="Z34" s="59">
        <f>IF(ISBLANK(Table29[[#This Row],[Roster Received By]]),1,0)</f>
        <v>1</v>
      </c>
      <c r="AA34" s="59">
        <f ca="1">IF(Table29[[#This Row],[5/5/2025]]&gt;TODAY(),1,)</f>
        <v>0</v>
      </c>
    </row>
    <row r="35" spans="1:27" s="65" customFormat="1" ht="14.25" customHeight="1" x14ac:dyDescent="0.25">
      <c r="A35" s="151" t="s">
        <v>307</v>
      </c>
      <c r="B35" s="148" t="s">
        <v>49</v>
      </c>
      <c r="C35" s="59" t="s">
        <v>296</v>
      </c>
      <c r="D35" s="59">
        <v>3682</v>
      </c>
      <c r="E35" s="58" t="s">
        <v>97</v>
      </c>
      <c r="F35" s="61">
        <v>45849</v>
      </c>
      <c r="G35" s="61">
        <v>45853</v>
      </c>
      <c r="H35" s="64">
        <v>0.33333333333333331</v>
      </c>
      <c r="I35" s="64"/>
      <c r="J35" s="61"/>
      <c r="K35" s="61"/>
      <c r="L35" s="61"/>
      <c r="M35" s="61"/>
      <c r="N35" s="61"/>
      <c r="O35" s="58" t="s">
        <v>48</v>
      </c>
      <c r="P35" s="58"/>
      <c r="Q35" s="63">
        <v>40</v>
      </c>
      <c r="R35" s="63">
        <v>5</v>
      </c>
      <c r="S35" s="63"/>
      <c r="T35" s="63"/>
      <c r="U35" s="59"/>
      <c r="V35" s="59"/>
      <c r="W35" s="63"/>
      <c r="X35" s="59"/>
      <c r="Y35" s="68">
        <f ca="1">Table29[[#This Row],[5/9/2025]]+2-TODAY()</f>
        <v>-389</v>
      </c>
      <c r="Z35" s="59">
        <f>IF(ISBLANK(Table29[[#This Row],[Roster Received By]]),1,0)</f>
        <v>1</v>
      </c>
      <c r="AA35" s="59">
        <f ca="1">IF(Table29[[#This Row],[5/5/2025]]&gt;TODAY(),1,)</f>
        <v>0</v>
      </c>
    </row>
    <row r="36" spans="1:27" s="65" customFormat="1" ht="14.25" customHeight="1" x14ac:dyDescent="0.25">
      <c r="A36" s="151" t="s">
        <v>308</v>
      </c>
      <c r="B36" s="148" t="s">
        <v>49</v>
      </c>
      <c r="C36" s="59" t="s">
        <v>296</v>
      </c>
      <c r="D36" s="59">
        <v>3682</v>
      </c>
      <c r="E36" s="58" t="s">
        <v>116</v>
      </c>
      <c r="F36" s="61">
        <v>45859</v>
      </c>
      <c r="G36" s="61">
        <v>45863</v>
      </c>
      <c r="H36" s="64">
        <v>0.33333333333333331</v>
      </c>
      <c r="I36" s="64"/>
      <c r="J36" s="61"/>
      <c r="K36" s="61"/>
      <c r="L36" s="61"/>
      <c r="M36" s="61"/>
      <c r="N36" s="61"/>
      <c r="O36" s="58" t="s">
        <v>48</v>
      </c>
      <c r="P36" s="58"/>
      <c r="Q36" s="63">
        <v>40</v>
      </c>
      <c r="R36" s="63">
        <v>5</v>
      </c>
      <c r="S36" s="63"/>
      <c r="T36" s="63"/>
      <c r="U36" s="59"/>
      <c r="V36" s="59"/>
      <c r="W36" s="63"/>
      <c r="X36" s="59"/>
      <c r="Y36" s="68">
        <f ca="1">Table29[[#This Row],[5/9/2025]]+2-TODAY()</f>
        <v>-379</v>
      </c>
      <c r="Z36" s="59">
        <f>IF(ISBLANK(Table29[[#This Row],[Roster Received By]]),1,0)</f>
        <v>1</v>
      </c>
      <c r="AA36" s="59">
        <f ca="1">IF(Table29[[#This Row],[5/5/2025]]&gt;TODAY(),1,)</f>
        <v>0</v>
      </c>
    </row>
    <row r="37" spans="1:27" s="65" customFormat="1" ht="14.25" customHeight="1" x14ac:dyDescent="0.25">
      <c r="A37" s="151" t="s">
        <v>309</v>
      </c>
      <c r="B37" s="148" t="s">
        <v>49</v>
      </c>
      <c r="C37" s="59" t="s">
        <v>296</v>
      </c>
      <c r="D37" s="59">
        <v>3682</v>
      </c>
      <c r="E37" s="58" t="s">
        <v>94</v>
      </c>
      <c r="F37" s="61">
        <v>45663</v>
      </c>
      <c r="G37" s="61">
        <v>45667</v>
      </c>
      <c r="H37" s="64">
        <v>0.33333333333333331</v>
      </c>
      <c r="I37" s="64"/>
      <c r="J37" s="61"/>
      <c r="K37" s="61"/>
      <c r="L37" s="61"/>
      <c r="M37" s="61"/>
      <c r="N37" s="61"/>
      <c r="O37" s="58" t="s">
        <v>48</v>
      </c>
      <c r="P37" s="58"/>
      <c r="Q37" s="63">
        <v>40</v>
      </c>
      <c r="R37" s="63">
        <v>5</v>
      </c>
      <c r="S37" s="63"/>
      <c r="T37" s="63"/>
      <c r="U37" s="59"/>
      <c r="V37" s="59"/>
      <c r="W37" s="63"/>
      <c r="X37" s="59"/>
      <c r="Y37" s="68">
        <f ca="1">Table29[[#This Row],[5/9/2025]]+2-TODAY()</f>
        <v>-575</v>
      </c>
      <c r="Z37" s="59">
        <f>IF(ISBLANK(Table29[[#This Row],[Roster Received By]]),1,0)</f>
        <v>1</v>
      </c>
      <c r="AA37" s="59">
        <f ca="1">IF(Table29[[#This Row],[5/5/2025]]&gt;TODAY(),1,)</f>
        <v>0</v>
      </c>
    </row>
    <row r="38" spans="1:27" s="65" customFormat="1" ht="14.25" customHeight="1" x14ac:dyDescent="0.25">
      <c r="A38" s="151" t="s">
        <v>310</v>
      </c>
      <c r="B38" s="148" t="s">
        <v>49</v>
      </c>
      <c r="C38" s="59" t="s">
        <v>296</v>
      </c>
      <c r="D38" s="59">
        <v>3682</v>
      </c>
      <c r="E38" s="58" t="s">
        <v>91</v>
      </c>
      <c r="F38" s="61">
        <v>45740</v>
      </c>
      <c r="G38" s="61">
        <v>45744</v>
      </c>
      <c r="H38" s="64">
        <v>0.33333333333333331</v>
      </c>
      <c r="I38" s="64"/>
      <c r="J38" s="61"/>
      <c r="K38" s="61"/>
      <c r="L38" s="61"/>
      <c r="M38" s="61"/>
      <c r="N38" s="61"/>
      <c r="O38" s="58" t="s">
        <v>48</v>
      </c>
      <c r="P38" s="58"/>
      <c r="Q38" s="63">
        <v>40</v>
      </c>
      <c r="R38" s="63">
        <v>5</v>
      </c>
      <c r="S38" s="63"/>
      <c r="T38" s="63"/>
      <c r="U38" s="59"/>
      <c r="V38" s="59"/>
      <c r="W38" s="63"/>
      <c r="X38" s="59"/>
      <c r="Y38" s="68">
        <f ca="1">Table29[[#This Row],[5/9/2025]]+2-TODAY()</f>
        <v>-498</v>
      </c>
      <c r="Z38" s="59">
        <f>IF(ISBLANK(Table29[[#This Row],[Roster Received By]]),1,0)</f>
        <v>1</v>
      </c>
      <c r="AA38" s="59">
        <f ca="1">IF(Table29[[#This Row],[5/5/2025]]&gt;TODAY(),1,)</f>
        <v>0</v>
      </c>
    </row>
    <row r="39" spans="1:27" s="65" customFormat="1" ht="16.5" customHeight="1" x14ac:dyDescent="0.25">
      <c r="A39" s="59" t="s">
        <v>173</v>
      </c>
      <c r="B39" s="58" t="s">
        <v>49</v>
      </c>
      <c r="C39" s="59" t="s">
        <v>296</v>
      </c>
      <c r="D39" s="59">
        <v>3682</v>
      </c>
      <c r="E39" s="58" t="s">
        <v>89</v>
      </c>
      <c r="F39" s="61">
        <v>45887</v>
      </c>
      <c r="G39" s="61">
        <v>45891</v>
      </c>
      <c r="H39" s="64">
        <v>0.33333333333333331</v>
      </c>
      <c r="I39" s="64"/>
      <c r="J39" s="61"/>
      <c r="K39" s="61"/>
      <c r="L39" s="61"/>
      <c r="M39" s="61"/>
      <c r="N39" s="61"/>
      <c r="O39" s="58" t="s">
        <v>48</v>
      </c>
      <c r="P39" s="58"/>
      <c r="Q39" s="63">
        <v>40</v>
      </c>
      <c r="R39" s="63">
        <v>5</v>
      </c>
      <c r="S39" s="63"/>
      <c r="T39" s="63"/>
      <c r="U39" s="59"/>
      <c r="V39" s="59"/>
      <c r="W39" s="63"/>
      <c r="X39" s="59"/>
      <c r="Y39" s="68">
        <f ca="1">Table29[[#This Row],[5/9/2025]]+2-TODAY()</f>
        <v>-351</v>
      </c>
      <c r="Z39" s="59">
        <f>IF(ISBLANK(Table29[[#This Row],[Roster Received By]]),1,0)</f>
        <v>1</v>
      </c>
      <c r="AA39" s="59">
        <f ca="1">IF(Table29[[#This Row],[5/5/2025]]&gt;TODAY(),1,)</f>
        <v>0</v>
      </c>
    </row>
    <row r="40" spans="1:27" s="65" customFormat="1" ht="16.5" customHeight="1" x14ac:dyDescent="0.25">
      <c r="A40" s="46" t="s">
        <v>311</v>
      </c>
      <c r="B40" s="58" t="s">
        <v>45</v>
      </c>
      <c r="C40" s="59" t="s">
        <v>68</v>
      </c>
      <c r="D40" s="59">
        <v>3683</v>
      </c>
      <c r="E40" s="58" t="s">
        <v>312</v>
      </c>
      <c r="F40" s="69">
        <v>45685</v>
      </c>
      <c r="G40" s="69">
        <v>45687</v>
      </c>
      <c r="H40" s="64">
        <v>0.33333333333333331</v>
      </c>
      <c r="I40" s="64"/>
      <c r="J40" s="61"/>
      <c r="K40" s="61"/>
      <c r="L40" s="61"/>
      <c r="M40" s="61"/>
      <c r="N40" s="61"/>
      <c r="O40" s="58" t="s">
        <v>48</v>
      </c>
      <c r="P40" s="58"/>
      <c r="Q40" s="62">
        <v>40</v>
      </c>
      <c r="R40" s="63">
        <v>3</v>
      </c>
      <c r="S40" s="62"/>
      <c r="T40" s="62"/>
      <c r="U40" s="13"/>
      <c r="V40" s="13"/>
      <c r="W40" s="13"/>
      <c r="X40" s="46"/>
      <c r="Y40" s="51">
        <f ca="1">Table29[[#This Row],[5/9/2025]]+2-TODAY()</f>
        <v>-555</v>
      </c>
      <c r="Z40" s="13">
        <f>IF(ISBLANK(Table29[[#This Row],[Roster Received By]]),1,0)</f>
        <v>1</v>
      </c>
      <c r="AA40" s="13">
        <f ca="1">IF(Table29[[#This Row],[5/5/2025]]&gt;TODAY(),1,)</f>
        <v>0</v>
      </c>
    </row>
    <row r="41" spans="1:27" s="65" customFormat="1" ht="14.25" customHeight="1" x14ac:dyDescent="0.25">
      <c r="A41" s="59" t="s">
        <v>313</v>
      </c>
      <c r="B41" s="58" t="s">
        <v>45</v>
      </c>
      <c r="C41" s="59" t="s">
        <v>68</v>
      </c>
      <c r="D41" s="59">
        <v>3683</v>
      </c>
      <c r="E41" s="58" t="s">
        <v>300</v>
      </c>
      <c r="F41" s="61">
        <v>45761</v>
      </c>
      <c r="G41" s="61">
        <v>45763</v>
      </c>
      <c r="H41" s="64">
        <v>0.33333333333333331</v>
      </c>
      <c r="I41" s="64"/>
      <c r="J41" s="61"/>
      <c r="K41" s="61"/>
      <c r="L41" s="61"/>
      <c r="M41" s="61"/>
      <c r="N41" s="61"/>
      <c r="O41" s="58" t="s">
        <v>48</v>
      </c>
      <c r="P41" s="58"/>
      <c r="Q41" s="63">
        <v>40</v>
      </c>
      <c r="R41" s="63">
        <v>3</v>
      </c>
      <c r="S41" s="63"/>
      <c r="T41" s="63"/>
      <c r="U41" s="59"/>
      <c r="V41" s="59"/>
      <c r="W41" s="63"/>
      <c r="X41" s="59"/>
      <c r="Y41" s="68">
        <f ca="1">Table29[[#This Row],[5/9/2025]]+2-TODAY()</f>
        <v>-479</v>
      </c>
      <c r="Z41" s="59">
        <f>IF(ISBLANK(Table29[[#This Row],[Roster Received By]]),1,0)</f>
        <v>1</v>
      </c>
      <c r="AA41" s="59">
        <f ca="1">IF(Table29[[#This Row],[5/5/2025]]&gt;TODAY(),1,)</f>
        <v>0</v>
      </c>
    </row>
    <row r="42" spans="1:27" s="65" customFormat="1" ht="14.25" customHeight="1" x14ac:dyDescent="0.25">
      <c r="A42" s="59"/>
      <c r="B42" s="58" t="s">
        <v>45</v>
      </c>
      <c r="C42" s="59" t="s">
        <v>68</v>
      </c>
      <c r="D42" s="59">
        <v>3683</v>
      </c>
      <c r="E42" s="58" t="s">
        <v>102</v>
      </c>
      <c r="F42" s="61">
        <v>45769</v>
      </c>
      <c r="G42" s="61">
        <v>45771</v>
      </c>
      <c r="H42" s="64">
        <v>0.33333333333333331</v>
      </c>
      <c r="I42" s="64"/>
      <c r="J42" s="61"/>
      <c r="K42" s="61"/>
      <c r="L42" s="61"/>
      <c r="M42" s="61"/>
      <c r="N42" s="61"/>
      <c r="O42" s="58" t="s">
        <v>48</v>
      </c>
      <c r="P42" s="58"/>
      <c r="Q42" s="63">
        <v>40</v>
      </c>
      <c r="R42" s="63">
        <v>3</v>
      </c>
      <c r="S42" s="63"/>
      <c r="T42" s="63"/>
      <c r="U42" s="59"/>
      <c r="V42" s="59"/>
      <c r="W42" s="63"/>
      <c r="X42" s="59"/>
      <c r="Y42" s="68">
        <f ca="1">Table29[[#This Row],[5/9/2025]]+2-TODAY()</f>
        <v>-471</v>
      </c>
      <c r="Z42" s="59">
        <f>IF(ISBLANK(Table29[[#This Row],[Roster Received By]]),1,0)</f>
        <v>1</v>
      </c>
      <c r="AA42" s="59">
        <f ca="1">IF(Table29[[#This Row],[5/5/2025]]&gt;TODAY(),1,)</f>
        <v>0</v>
      </c>
    </row>
    <row r="43" spans="1:27" s="65" customFormat="1" ht="14.25" customHeight="1" x14ac:dyDescent="0.25">
      <c r="A43" s="59" t="s">
        <v>314</v>
      </c>
      <c r="B43" s="58" t="s">
        <v>45</v>
      </c>
      <c r="C43" s="59" t="s">
        <v>68</v>
      </c>
      <c r="D43" s="59">
        <v>3683</v>
      </c>
      <c r="E43" s="58" t="s">
        <v>315</v>
      </c>
      <c r="F43" s="61">
        <v>45775</v>
      </c>
      <c r="G43" s="61">
        <v>45777</v>
      </c>
      <c r="H43" s="64">
        <v>0.33333333333333331</v>
      </c>
      <c r="I43" s="64"/>
      <c r="J43" s="61"/>
      <c r="K43" s="61"/>
      <c r="L43" s="61"/>
      <c r="M43" s="61"/>
      <c r="N43" s="61"/>
      <c r="O43" s="58" t="s">
        <v>48</v>
      </c>
      <c r="P43" s="58"/>
      <c r="Q43" s="63">
        <v>40</v>
      </c>
      <c r="R43" s="63">
        <v>3</v>
      </c>
      <c r="S43" s="63"/>
      <c r="T43" s="63"/>
      <c r="U43" s="59"/>
      <c r="V43" s="59"/>
      <c r="W43" s="63"/>
      <c r="X43" s="59"/>
      <c r="Y43" s="68">
        <f ca="1">Table29[[#This Row],[5/9/2025]]+2-TODAY()</f>
        <v>-465</v>
      </c>
      <c r="Z43" s="59">
        <f>IF(ISBLANK(Table29[[#This Row],[Roster Received By]]),1,0)</f>
        <v>1</v>
      </c>
      <c r="AA43" s="59">
        <f ca="1">IF(Table29[[#This Row],[5/5/2025]]&gt;TODAY(),1,)</f>
        <v>0</v>
      </c>
    </row>
    <row r="44" spans="1:27" s="65" customFormat="1" ht="14.25" customHeight="1" x14ac:dyDescent="0.25">
      <c r="A44" s="59" t="s">
        <v>316</v>
      </c>
      <c r="B44" s="58" t="s">
        <v>45</v>
      </c>
      <c r="C44" s="59" t="s">
        <v>68</v>
      </c>
      <c r="D44" s="59">
        <v>3683</v>
      </c>
      <c r="E44" s="58" t="s">
        <v>317</v>
      </c>
      <c r="F44" s="61">
        <v>45778</v>
      </c>
      <c r="G44" s="61">
        <v>45782</v>
      </c>
      <c r="H44" s="64">
        <v>0.33333333333333331</v>
      </c>
      <c r="I44" s="64"/>
      <c r="J44" s="61"/>
      <c r="K44" s="61"/>
      <c r="L44" s="61"/>
      <c r="M44" s="61"/>
      <c r="N44" s="61"/>
      <c r="O44" s="58" t="s">
        <v>48</v>
      </c>
      <c r="P44" s="58"/>
      <c r="Q44" s="63">
        <v>40</v>
      </c>
      <c r="R44" s="63">
        <v>3</v>
      </c>
      <c r="S44" s="63"/>
      <c r="T44" s="63"/>
      <c r="U44" s="59"/>
      <c r="V44" s="59"/>
      <c r="W44" s="63"/>
      <c r="X44" s="59"/>
      <c r="Y44" s="68">
        <f ca="1">Table29[[#This Row],[5/9/2025]]+2-TODAY()</f>
        <v>-460</v>
      </c>
      <c r="Z44" s="59">
        <f>IF(ISBLANK(Table29[[#This Row],[Roster Received By]]),1,0)</f>
        <v>1</v>
      </c>
      <c r="AA44" s="59">
        <f ca="1">IF(Table29[[#This Row],[5/5/2025]]&gt;TODAY(),1,)</f>
        <v>0</v>
      </c>
    </row>
    <row r="45" spans="1:27" s="65" customFormat="1" ht="14.25" customHeight="1" x14ac:dyDescent="0.25">
      <c r="A45" s="59" t="s">
        <v>318</v>
      </c>
      <c r="B45" s="58" t="s">
        <v>45</v>
      </c>
      <c r="C45" s="59" t="s">
        <v>68</v>
      </c>
      <c r="D45" s="59">
        <v>3683</v>
      </c>
      <c r="E45" s="58" t="s">
        <v>183</v>
      </c>
      <c r="F45" s="61">
        <v>45783</v>
      </c>
      <c r="G45" s="61">
        <v>45785</v>
      </c>
      <c r="H45" s="64">
        <v>0.33333333333333331</v>
      </c>
      <c r="I45" s="64"/>
      <c r="J45" s="61"/>
      <c r="K45" s="61"/>
      <c r="L45" s="61"/>
      <c r="M45" s="61"/>
      <c r="N45" s="61"/>
      <c r="O45" s="58" t="s">
        <v>48</v>
      </c>
      <c r="P45" s="58"/>
      <c r="Q45" s="63">
        <v>40</v>
      </c>
      <c r="R45" s="63">
        <v>3</v>
      </c>
      <c r="S45" s="63"/>
      <c r="T45" s="63"/>
      <c r="U45" s="59"/>
      <c r="V45" s="59"/>
      <c r="W45" s="63"/>
      <c r="X45" s="59"/>
      <c r="Y45" s="68">
        <f ca="1">Table29[[#This Row],[5/9/2025]]+2-TODAY()</f>
        <v>-457</v>
      </c>
      <c r="Z45" s="59">
        <f>IF(ISBLANK(Table29[[#This Row],[Roster Received By]]),1,0)</f>
        <v>1</v>
      </c>
      <c r="AA45" s="59">
        <f ca="1">IF(Table29[[#This Row],[5/5/2025]]&gt;TODAY(),1,)</f>
        <v>0</v>
      </c>
    </row>
    <row r="46" spans="1:27" s="65" customFormat="1" x14ac:dyDescent="0.25">
      <c r="A46" s="59" t="s">
        <v>319</v>
      </c>
      <c r="B46" s="58" t="s">
        <v>45</v>
      </c>
      <c r="C46" s="59" t="s">
        <v>68</v>
      </c>
      <c r="D46" s="59">
        <v>3683</v>
      </c>
      <c r="E46" s="58" t="s">
        <v>320</v>
      </c>
      <c r="F46" s="61">
        <v>45783</v>
      </c>
      <c r="G46" s="61">
        <v>45785</v>
      </c>
      <c r="H46" s="64">
        <v>0.33333333333333331</v>
      </c>
      <c r="I46" s="64"/>
      <c r="J46" s="61"/>
      <c r="K46" s="61"/>
      <c r="L46" s="61"/>
      <c r="M46" s="61"/>
      <c r="N46" s="61"/>
      <c r="O46" s="58" t="s">
        <v>48</v>
      </c>
      <c r="P46" s="58"/>
      <c r="Q46" s="63">
        <v>40</v>
      </c>
      <c r="R46" s="63">
        <v>3</v>
      </c>
      <c r="S46" s="63"/>
      <c r="T46" s="63"/>
      <c r="U46" s="59"/>
      <c r="V46" s="59"/>
      <c r="W46" s="63"/>
      <c r="X46" s="59"/>
      <c r="Y46" s="68">
        <f ca="1">Table29[[#This Row],[5/9/2025]]+2-TODAY()</f>
        <v>-457</v>
      </c>
      <c r="Z46" s="59">
        <f>IF(ISBLANK(Table29[[#This Row],[Roster Received By]]),1,0)</f>
        <v>1</v>
      </c>
      <c r="AA46" s="59">
        <f ca="1">IF(Table29[[#This Row],[5/5/2025]]&gt;TODAY(),1,)</f>
        <v>0</v>
      </c>
    </row>
    <row r="47" spans="1:27" s="65" customFormat="1" x14ac:dyDescent="0.25">
      <c r="A47" s="59" t="s">
        <v>314</v>
      </c>
      <c r="B47" s="58" t="s">
        <v>45</v>
      </c>
      <c r="C47" s="59" t="s">
        <v>68</v>
      </c>
      <c r="D47" s="59">
        <v>3683</v>
      </c>
      <c r="E47" s="58" t="s">
        <v>321</v>
      </c>
      <c r="F47" s="61">
        <v>45789</v>
      </c>
      <c r="G47" s="61">
        <v>45791</v>
      </c>
      <c r="H47" s="64">
        <v>0.33333333333333331</v>
      </c>
      <c r="I47" s="64"/>
      <c r="J47" s="61"/>
      <c r="K47" s="61"/>
      <c r="L47" s="61"/>
      <c r="M47" s="61"/>
      <c r="N47" s="61"/>
      <c r="O47" s="58" t="s">
        <v>48</v>
      </c>
      <c r="P47" s="58"/>
      <c r="Q47" s="63">
        <v>40</v>
      </c>
      <c r="R47" s="63">
        <v>3</v>
      </c>
      <c r="S47" s="63"/>
      <c r="T47" s="63"/>
      <c r="U47" s="59"/>
      <c r="V47" s="59"/>
      <c r="W47" s="63"/>
      <c r="X47" s="59"/>
      <c r="Y47" s="68">
        <f ca="1">Table29[[#This Row],[5/9/2025]]+2-TODAY()</f>
        <v>-451</v>
      </c>
      <c r="Z47" s="59">
        <f>IF(ISBLANK(Table29[[#This Row],[Roster Received By]]),1,0)</f>
        <v>1</v>
      </c>
      <c r="AA47" s="59">
        <f ca="1">IF(Table29[[#This Row],[5/5/2025]]&gt;TODAY(),1,)</f>
        <v>0</v>
      </c>
    </row>
    <row r="48" spans="1:27" s="65" customFormat="1" x14ac:dyDescent="0.25">
      <c r="A48" s="59" t="s">
        <v>322</v>
      </c>
      <c r="B48" s="58" t="s">
        <v>45</v>
      </c>
      <c r="C48" s="59" t="s">
        <v>68</v>
      </c>
      <c r="D48" s="59">
        <v>3683</v>
      </c>
      <c r="E48" s="58" t="s">
        <v>124</v>
      </c>
      <c r="F48" s="61">
        <v>45811</v>
      </c>
      <c r="G48" s="61">
        <v>45813</v>
      </c>
      <c r="H48" s="64">
        <v>0.33333333333333331</v>
      </c>
      <c r="I48" s="64"/>
      <c r="J48" s="61"/>
      <c r="K48" s="61"/>
      <c r="L48" s="61"/>
      <c r="M48" s="61"/>
      <c r="N48" s="61"/>
      <c r="O48" s="58" t="s">
        <v>48</v>
      </c>
      <c r="P48" s="58"/>
      <c r="Q48" s="63">
        <v>40</v>
      </c>
      <c r="R48" s="63">
        <v>3</v>
      </c>
      <c r="S48" s="63"/>
      <c r="T48" s="63"/>
      <c r="U48" s="59"/>
      <c r="V48" s="59"/>
      <c r="W48" s="63"/>
      <c r="X48" s="59"/>
      <c r="Y48" s="68">
        <f ca="1">Table29[[#This Row],[5/9/2025]]+2-TODAY()</f>
        <v>-429</v>
      </c>
      <c r="Z48" s="59">
        <f>IF(ISBLANK(Table29[[#This Row],[Roster Received By]]),1,0)</f>
        <v>1</v>
      </c>
      <c r="AA48" s="59">
        <f ca="1">IF(Table29[[#This Row],[5/5/2025]]&gt;TODAY(),1,)</f>
        <v>0</v>
      </c>
    </row>
    <row r="49" spans="1:27" s="65" customFormat="1" x14ac:dyDescent="0.25">
      <c r="A49" s="59"/>
      <c r="B49" s="58" t="s">
        <v>45</v>
      </c>
      <c r="C49" s="59" t="s">
        <v>68</v>
      </c>
      <c r="D49" s="59">
        <v>3683</v>
      </c>
      <c r="E49" s="58" t="s">
        <v>114</v>
      </c>
      <c r="F49" s="61">
        <v>45832</v>
      </c>
      <c r="G49" s="61">
        <v>45834</v>
      </c>
      <c r="H49" s="64">
        <v>0.33333333333333331</v>
      </c>
      <c r="I49" s="64"/>
      <c r="J49" s="61"/>
      <c r="K49" s="61"/>
      <c r="L49" s="61"/>
      <c r="M49" s="61"/>
      <c r="N49" s="61"/>
      <c r="O49" s="58" t="s">
        <v>48</v>
      </c>
      <c r="P49" s="58"/>
      <c r="Q49" s="63">
        <v>40</v>
      </c>
      <c r="R49" s="63">
        <v>3</v>
      </c>
      <c r="S49" s="63"/>
      <c r="T49" s="63"/>
      <c r="U49" s="59"/>
      <c r="V49" s="59"/>
      <c r="W49" s="63"/>
      <c r="X49" s="59"/>
      <c r="Y49" s="68">
        <f ca="1">Table29[[#This Row],[5/9/2025]]+2-TODAY()</f>
        <v>-408</v>
      </c>
      <c r="Z49" s="59">
        <f>IF(ISBLANK(Table29[[#This Row],[Roster Received By]]),1,0)</f>
        <v>1</v>
      </c>
      <c r="AA49" s="59">
        <f ca="1">IF(Table29[[#This Row],[5/5/2025]]&gt;TODAY(),1,)</f>
        <v>0</v>
      </c>
    </row>
    <row r="50" spans="1:27" s="65" customFormat="1" x14ac:dyDescent="0.25">
      <c r="A50" s="59"/>
      <c r="B50" s="58" t="s">
        <v>45</v>
      </c>
      <c r="C50" s="59" t="s">
        <v>68</v>
      </c>
      <c r="D50" s="59">
        <v>3683</v>
      </c>
      <c r="E50" s="58" t="s">
        <v>125</v>
      </c>
      <c r="F50" s="61">
        <v>45838</v>
      </c>
      <c r="G50" s="61">
        <v>45840</v>
      </c>
      <c r="H50" s="64">
        <v>0.33333333333333331</v>
      </c>
      <c r="I50" s="64"/>
      <c r="J50" s="61"/>
      <c r="K50" s="61"/>
      <c r="L50" s="61"/>
      <c r="M50" s="61"/>
      <c r="N50" s="61"/>
      <c r="O50" s="58" t="s">
        <v>48</v>
      </c>
      <c r="P50" s="58"/>
      <c r="Q50" s="63">
        <v>40</v>
      </c>
      <c r="R50" s="63">
        <v>3</v>
      </c>
      <c r="S50" s="63"/>
      <c r="T50" s="63"/>
      <c r="U50" s="59"/>
      <c r="V50" s="59"/>
      <c r="W50" s="63"/>
      <c r="X50" s="59"/>
      <c r="Y50" s="68">
        <f ca="1">Table29[[#This Row],[5/9/2025]]+2-TODAY()</f>
        <v>-402</v>
      </c>
      <c r="Z50" s="59">
        <f>IF(ISBLANK(Table29[[#This Row],[Roster Received By]]),1,0)</f>
        <v>1</v>
      </c>
      <c r="AA50" s="59">
        <f ca="1">IF(Table29[[#This Row],[5/5/2025]]&gt;TODAY(),1,)</f>
        <v>0</v>
      </c>
    </row>
    <row r="51" spans="1:27" s="65" customFormat="1" x14ac:dyDescent="0.25">
      <c r="A51" s="59" t="s">
        <v>323</v>
      </c>
      <c r="B51" s="58" t="s">
        <v>45</v>
      </c>
      <c r="C51" s="59" t="s">
        <v>68</v>
      </c>
      <c r="D51" s="59">
        <v>3683</v>
      </c>
      <c r="E51" s="58" t="s">
        <v>76</v>
      </c>
      <c r="F51" s="61">
        <v>45846</v>
      </c>
      <c r="G51" s="61">
        <v>45848</v>
      </c>
      <c r="H51" s="64">
        <v>0.33333333333333331</v>
      </c>
      <c r="I51" s="64"/>
      <c r="J51" s="61"/>
      <c r="K51" s="61"/>
      <c r="L51" s="61"/>
      <c r="M51" s="61"/>
      <c r="N51" s="61"/>
      <c r="O51" s="58" t="s">
        <v>48</v>
      </c>
      <c r="P51" s="58"/>
      <c r="Q51" s="63">
        <v>40</v>
      </c>
      <c r="R51" s="63">
        <v>3</v>
      </c>
      <c r="S51" s="63"/>
      <c r="T51" s="63"/>
      <c r="U51" s="59"/>
      <c r="V51" s="59"/>
      <c r="W51" s="63"/>
      <c r="X51" s="59"/>
      <c r="Y51" s="68">
        <f ca="1">Table29[[#This Row],[5/9/2025]]+2-TODAY()</f>
        <v>-394</v>
      </c>
      <c r="Z51" s="59">
        <f>IF(ISBLANK(Table29[[#This Row],[Roster Received By]]),1,0)</f>
        <v>1</v>
      </c>
      <c r="AA51" s="59">
        <f ca="1">IF(Table29[[#This Row],[5/5/2025]]&gt;TODAY(),1,)</f>
        <v>0</v>
      </c>
    </row>
    <row r="52" spans="1:27" s="65" customFormat="1" x14ac:dyDescent="0.25">
      <c r="A52" s="59"/>
      <c r="B52" s="58" t="s">
        <v>45</v>
      </c>
      <c r="C52" s="59" t="s">
        <v>68</v>
      </c>
      <c r="D52" s="59">
        <v>3683</v>
      </c>
      <c r="E52" s="58" t="s">
        <v>74</v>
      </c>
      <c r="F52" s="61">
        <v>45853</v>
      </c>
      <c r="G52" s="61">
        <v>45855</v>
      </c>
      <c r="H52" s="64">
        <v>0.33333333333333331</v>
      </c>
      <c r="I52" s="64"/>
      <c r="J52" s="61"/>
      <c r="K52" s="61"/>
      <c r="L52" s="61"/>
      <c r="M52" s="61"/>
      <c r="N52" s="61"/>
      <c r="O52" s="58" t="s">
        <v>48</v>
      </c>
      <c r="P52" s="58"/>
      <c r="Q52" s="63">
        <v>40</v>
      </c>
      <c r="R52" s="63">
        <v>3</v>
      </c>
      <c r="S52" s="63"/>
      <c r="T52" s="63"/>
      <c r="U52" s="59"/>
      <c r="V52" s="59"/>
      <c r="W52" s="63"/>
      <c r="X52" s="59"/>
      <c r="Y52" s="68">
        <f ca="1">Table29[[#This Row],[5/9/2025]]+2-TODAY()</f>
        <v>-387</v>
      </c>
      <c r="Z52" s="59">
        <f>IF(ISBLANK(Table29[[#This Row],[Roster Received By]]),1,0)</f>
        <v>1</v>
      </c>
      <c r="AA52" s="59">
        <f ca="1">IF(Table29[[#This Row],[5/5/2025]]&gt;TODAY(),1,)</f>
        <v>0</v>
      </c>
    </row>
    <row r="53" spans="1:27" s="65" customFormat="1" x14ac:dyDescent="0.25">
      <c r="A53" s="59"/>
      <c r="B53" s="58" t="s">
        <v>45</v>
      </c>
      <c r="C53" s="59" t="s">
        <v>68</v>
      </c>
      <c r="D53" s="59">
        <v>3683</v>
      </c>
      <c r="E53" s="58" t="s">
        <v>279</v>
      </c>
      <c r="F53" s="61">
        <v>45860</v>
      </c>
      <c r="G53" s="61">
        <v>45862</v>
      </c>
      <c r="H53" s="64">
        <v>0.33333333333333331</v>
      </c>
      <c r="I53" s="64"/>
      <c r="J53" s="61"/>
      <c r="K53" s="61"/>
      <c r="L53" s="61"/>
      <c r="M53" s="61"/>
      <c r="N53" s="61"/>
      <c r="O53" s="58" t="s">
        <v>48</v>
      </c>
      <c r="P53" s="58"/>
      <c r="Q53" s="63">
        <v>40</v>
      </c>
      <c r="R53" s="63">
        <v>3</v>
      </c>
      <c r="S53" s="63"/>
      <c r="T53" s="63"/>
      <c r="U53" s="59"/>
      <c r="V53" s="59"/>
      <c r="W53" s="63"/>
      <c r="X53" s="59"/>
      <c r="Y53" s="68">
        <f ca="1">Table29[[#This Row],[5/9/2025]]+2-TODAY()</f>
        <v>-380</v>
      </c>
      <c r="Z53" s="59">
        <f>IF(ISBLANK(Table29[[#This Row],[Roster Received By]]),1,0)</f>
        <v>1</v>
      </c>
      <c r="AA53" s="59">
        <f ca="1">IF(Table29[[#This Row],[5/5/2025]]&gt;TODAY(),1,)</f>
        <v>0</v>
      </c>
    </row>
    <row r="54" spans="1:27" s="65" customFormat="1" x14ac:dyDescent="0.25">
      <c r="A54" s="59"/>
      <c r="B54" s="58" t="s">
        <v>45</v>
      </c>
      <c r="C54" s="59" t="s">
        <v>68</v>
      </c>
      <c r="D54" s="59">
        <v>3683</v>
      </c>
      <c r="E54" s="58" t="s">
        <v>46</v>
      </c>
      <c r="F54" s="61">
        <v>45882</v>
      </c>
      <c r="G54" s="61">
        <v>45884</v>
      </c>
      <c r="H54" s="64">
        <v>0.33333333333333331</v>
      </c>
      <c r="I54" s="64"/>
      <c r="J54" s="61"/>
      <c r="K54" s="61"/>
      <c r="L54" s="61"/>
      <c r="M54" s="61"/>
      <c r="N54" s="61"/>
      <c r="O54" s="58" t="s">
        <v>48</v>
      </c>
      <c r="P54" s="58"/>
      <c r="Q54" s="63">
        <v>40</v>
      </c>
      <c r="R54" s="63">
        <v>3</v>
      </c>
      <c r="S54" s="63"/>
      <c r="T54" s="63"/>
      <c r="U54" s="59"/>
      <c r="V54" s="59"/>
      <c r="W54" s="63"/>
      <c r="X54" s="59"/>
      <c r="Y54" s="68">
        <f ca="1">Table29[[#This Row],[5/9/2025]]+2-TODAY()</f>
        <v>-358</v>
      </c>
      <c r="Z54" s="59">
        <f>IF(ISBLANK(Table29[[#This Row],[Roster Received By]]),1,0)</f>
        <v>1</v>
      </c>
      <c r="AA54" s="59">
        <f ca="1">IF(Table29[[#This Row],[5/5/2025]]&gt;TODAY(),1,)</f>
        <v>0</v>
      </c>
    </row>
    <row r="55" spans="1:27" s="94" customFormat="1" x14ac:dyDescent="0.25">
      <c r="A55" s="59"/>
      <c r="B55" s="58" t="s">
        <v>45</v>
      </c>
      <c r="C55" s="59" t="s">
        <v>68</v>
      </c>
      <c r="D55" s="59">
        <v>3683</v>
      </c>
      <c r="E55" s="58" t="s">
        <v>118</v>
      </c>
      <c r="F55" s="61">
        <v>45895</v>
      </c>
      <c r="G55" s="61">
        <v>45897</v>
      </c>
      <c r="H55" s="64">
        <v>0.33333333333333331</v>
      </c>
      <c r="I55" s="64"/>
      <c r="J55" s="61"/>
      <c r="K55" s="61"/>
      <c r="L55" s="61"/>
      <c r="M55" s="61"/>
      <c r="N55" s="61"/>
      <c r="O55" s="58" t="s">
        <v>48</v>
      </c>
      <c r="P55" s="58"/>
      <c r="Q55" s="63">
        <v>40</v>
      </c>
      <c r="R55" s="63">
        <v>3</v>
      </c>
      <c r="S55" s="63"/>
      <c r="T55" s="63"/>
      <c r="U55" s="59"/>
      <c r="V55" s="59"/>
      <c r="W55" s="63"/>
      <c r="X55" s="59"/>
      <c r="Y55" s="68">
        <f ca="1">Table29[[#This Row],[5/9/2025]]+2-TODAY()</f>
        <v>-345</v>
      </c>
      <c r="Z55" s="59">
        <f>IF(ISBLANK(Table29[[#This Row],[Roster Received By]]),1,0)</f>
        <v>1</v>
      </c>
      <c r="AA55" s="59">
        <f ca="1">IF(Table29[[#This Row],[5/5/2025]]&gt;TODAY(),1,)</f>
        <v>0</v>
      </c>
    </row>
    <row r="56" spans="1:27" s="65" customFormat="1" x14ac:dyDescent="0.25">
      <c r="A56" s="59"/>
      <c r="B56" s="58" t="s">
        <v>45</v>
      </c>
      <c r="C56" s="59" t="s">
        <v>68</v>
      </c>
      <c r="D56" s="59">
        <v>3683</v>
      </c>
      <c r="E56" s="58" t="s">
        <v>117</v>
      </c>
      <c r="F56" s="61">
        <v>45917</v>
      </c>
      <c r="G56" s="61">
        <v>45919</v>
      </c>
      <c r="H56" s="64">
        <v>0.33333333333333331</v>
      </c>
      <c r="I56" s="64"/>
      <c r="J56" s="61"/>
      <c r="K56" s="61"/>
      <c r="L56" s="61"/>
      <c r="M56" s="61"/>
      <c r="N56" s="61"/>
      <c r="O56" s="58" t="s">
        <v>48</v>
      </c>
      <c r="P56" s="58"/>
      <c r="Q56" s="63">
        <v>40</v>
      </c>
      <c r="R56" s="63">
        <v>3</v>
      </c>
      <c r="S56" s="63"/>
      <c r="T56" s="63"/>
      <c r="U56" s="59"/>
      <c r="V56" s="59"/>
      <c r="W56" s="63"/>
      <c r="X56" s="59"/>
      <c r="Y56" s="68">
        <f ca="1">Table29[[#This Row],[5/9/2025]]+2-TODAY()</f>
        <v>-323</v>
      </c>
      <c r="Z56" s="59">
        <f>IF(ISBLANK(Table29[[#This Row],[Roster Received By]]),1,0)</f>
        <v>1</v>
      </c>
      <c r="AA56" s="59">
        <f ca="1">IF(Table29[[#This Row],[5/5/2025]]&gt;TODAY(),1,)</f>
        <v>0</v>
      </c>
    </row>
    <row r="57" spans="1:27" s="65" customFormat="1" x14ac:dyDescent="0.25">
      <c r="A57" s="59" t="s">
        <v>324</v>
      </c>
      <c r="B57" s="58" t="s">
        <v>45</v>
      </c>
      <c r="C57" s="59" t="s">
        <v>68</v>
      </c>
      <c r="D57" s="59">
        <v>3683</v>
      </c>
      <c r="E57" s="58" t="s">
        <v>135</v>
      </c>
      <c r="F57" s="61">
        <v>45924</v>
      </c>
      <c r="G57" s="61">
        <v>45926</v>
      </c>
      <c r="H57" s="64">
        <v>0.33333333333333331</v>
      </c>
      <c r="I57" s="64"/>
      <c r="J57" s="61"/>
      <c r="K57" s="61"/>
      <c r="L57" s="61"/>
      <c r="M57" s="61"/>
      <c r="N57" s="61"/>
      <c r="O57" s="58" t="s">
        <v>48</v>
      </c>
      <c r="P57" s="58"/>
      <c r="Q57" s="63">
        <v>40</v>
      </c>
      <c r="R57" s="63">
        <v>3</v>
      </c>
      <c r="S57" s="63"/>
      <c r="T57" s="63"/>
      <c r="U57" s="59"/>
      <c r="V57" s="59"/>
      <c r="W57" s="63"/>
      <c r="X57" s="59"/>
      <c r="Y57" s="68">
        <f ca="1">Table29[[#This Row],[5/9/2025]]+2-TODAY()</f>
        <v>-316</v>
      </c>
      <c r="Z57" s="59">
        <f>IF(ISBLANK(Table29[[#This Row],[Roster Received By]]),1,0)</f>
        <v>1</v>
      </c>
      <c r="AA57" s="59">
        <f ca="1">IF(Table29[[#This Row],[5/5/2025]]&gt;TODAY(),1,)</f>
        <v>0</v>
      </c>
    </row>
    <row r="58" spans="1:27" s="65" customFormat="1" x14ac:dyDescent="0.25">
      <c r="A58" s="151" t="s">
        <v>325</v>
      </c>
      <c r="B58" s="148" t="s">
        <v>45</v>
      </c>
      <c r="C58" s="59" t="s">
        <v>68</v>
      </c>
      <c r="D58" s="59">
        <v>3683</v>
      </c>
      <c r="E58" s="58" t="s">
        <v>121</v>
      </c>
      <c r="F58" s="61">
        <v>45699</v>
      </c>
      <c r="G58" s="61">
        <v>45701</v>
      </c>
      <c r="H58" s="64">
        <v>0.33333333333333331</v>
      </c>
      <c r="I58" s="64"/>
      <c r="J58" s="61"/>
      <c r="K58" s="61"/>
      <c r="L58" s="61"/>
      <c r="M58" s="61"/>
      <c r="N58" s="61"/>
      <c r="O58" s="58" t="s">
        <v>48</v>
      </c>
      <c r="P58" s="58"/>
      <c r="Q58" s="63">
        <v>40</v>
      </c>
      <c r="R58" s="63">
        <v>3</v>
      </c>
      <c r="S58" s="63"/>
      <c r="T58" s="63"/>
      <c r="U58" s="59"/>
      <c r="V58" s="59"/>
      <c r="W58" s="63"/>
      <c r="X58" s="59"/>
      <c r="Y58" s="68">
        <f ca="1">Table29[[#This Row],[5/9/2025]]+2-TODAY()</f>
        <v>-541</v>
      </c>
      <c r="Z58" s="59">
        <f>IF(ISBLANK(Table29[[#This Row],[Roster Received By]]),1,0)</f>
        <v>1</v>
      </c>
      <c r="AA58" s="59">
        <f ca="1">IF(Table29[[#This Row],[5/5/2025]]&gt;TODAY(),1,)</f>
        <v>0</v>
      </c>
    </row>
    <row r="59" spans="1:27" s="65" customFormat="1" x14ac:dyDescent="0.25">
      <c r="A59" s="152" t="s">
        <v>326</v>
      </c>
      <c r="B59" s="148" t="s">
        <v>45</v>
      </c>
      <c r="C59" s="59" t="s">
        <v>68</v>
      </c>
      <c r="D59" s="59">
        <v>3683</v>
      </c>
      <c r="E59" s="58" t="s">
        <v>327</v>
      </c>
      <c r="F59" s="61">
        <v>45916</v>
      </c>
      <c r="G59" s="61">
        <v>45918</v>
      </c>
      <c r="H59" s="64">
        <v>0.33333333333333331</v>
      </c>
      <c r="I59" s="64"/>
      <c r="J59" s="61"/>
      <c r="K59" s="61"/>
      <c r="L59" s="61"/>
      <c r="M59" s="61"/>
      <c r="N59" s="61"/>
      <c r="O59" s="58" t="s">
        <v>48</v>
      </c>
      <c r="P59" s="58"/>
      <c r="Q59" s="62">
        <v>40</v>
      </c>
      <c r="R59" s="63">
        <v>3</v>
      </c>
      <c r="S59" s="62"/>
      <c r="T59" s="62"/>
      <c r="U59" s="13"/>
      <c r="V59" s="13"/>
      <c r="W59" s="13"/>
      <c r="X59" s="46"/>
      <c r="Y59" s="51">
        <f ca="1">Table29[[#This Row],[5/9/2025]]+2-TODAY()</f>
        <v>-324</v>
      </c>
      <c r="Z59" s="13">
        <f>IF(ISBLANK(Table29[[#This Row],[Roster Received By]]),1,0)</f>
        <v>1</v>
      </c>
      <c r="AA59" s="13">
        <f ca="1">IF(Table29[[#This Row],[5/5/2025]]&gt;TODAY(),1,)</f>
        <v>0</v>
      </c>
    </row>
    <row r="60" spans="1:27" s="65" customFormat="1" x14ac:dyDescent="0.25">
      <c r="A60" s="151" t="s">
        <v>328</v>
      </c>
      <c r="B60" s="148" t="s">
        <v>45</v>
      </c>
      <c r="C60" s="59" t="s">
        <v>68</v>
      </c>
      <c r="D60" s="59">
        <v>3683</v>
      </c>
      <c r="E60" s="58" t="s">
        <v>133</v>
      </c>
      <c r="F60" s="61">
        <v>45853</v>
      </c>
      <c r="G60" s="61">
        <v>45855</v>
      </c>
      <c r="H60" s="64">
        <v>0.33333333333333331</v>
      </c>
      <c r="I60" s="64"/>
      <c r="J60" s="61"/>
      <c r="K60" s="61"/>
      <c r="L60" s="61"/>
      <c r="M60" s="61"/>
      <c r="N60" s="61"/>
      <c r="O60" s="58" t="s">
        <v>48</v>
      </c>
      <c r="P60" s="58"/>
      <c r="Q60" s="63">
        <v>40</v>
      </c>
      <c r="R60" s="63">
        <v>3</v>
      </c>
      <c r="S60" s="63"/>
      <c r="T60" s="63"/>
      <c r="U60" s="59"/>
      <c r="V60" s="59"/>
      <c r="W60" s="63"/>
      <c r="X60" s="59"/>
      <c r="Y60" s="68">
        <f ca="1">Table29[[#This Row],[5/9/2025]]+2-TODAY()</f>
        <v>-387</v>
      </c>
      <c r="Z60" s="59">
        <f>IF(ISBLANK(Table29[[#This Row],[Roster Received By]]),1,0)</f>
        <v>1</v>
      </c>
      <c r="AA60" s="59">
        <f ca="1">IF(Table29[[#This Row],[5/5/2025]]&gt;TODAY(),1,)</f>
        <v>0</v>
      </c>
    </row>
    <row r="61" spans="1:27" s="65" customFormat="1" x14ac:dyDescent="0.25">
      <c r="A61" s="151" t="s">
        <v>329</v>
      </c>
      <c r="B61" s="148" t="s">
        <v>45</v>
      </c>
      <c r="C61" s="59" t="s">
        <v>68</v>
      </c>
      <c r="D61" s="59">
        <v>3683</v>
      </c>
      <c r="E61" s="58" t="s">
        <v>92</v>
      </c>
      <c r="F61" s="61">
        <v>45776</v>
      </c>
      <c r="G61" s="61">
        <v>45778</v>
      </c>
      <c r="H61" s="64">
        <v>0.33333333333333331</v>
      </c>
      <c r="I61" s="64"/>
      <c r="J61" s="61"/>
      <c r="K61" s="61"/>
      <c r="L61" s="61"/>
      <c r="M61" s="61"/>
      <c r="N61" s="61"/>
      <c r="O61" s="58" t="s">
        <v>48</v>
      </c>
      <c r="P61" s="58"/>
      <c r="Q61" s="63">
        <v>40</v>
      </c>
      <c r="R61" s="63">
        <v>3</v>
      </c>
      <c r="S61" s="63"/>
      <c r="T61" s="63"/>
      <c r="U61" s="59"/>
      <c r="V61" s="59"/>
      <c r="W61" s="63"/>
      <c r="X61" s="59"/>
      <c r="Y61" s="68">
        <f ca="1">Table29[[#This Row],[5/9/2025]]+2-TODAY()</f>
        <v>-464</v>
      </c>
      <c r="Z61" s="59">
        <f>IF(ISBLANK(Table29[[#This Row],[Roster Received By]]),1,0)</f>
        <v>1</v>
      </c>
      <c r="AA61" s="59">
        <f ca="1">IF(Table29[[#This Row],[5/5/2025]]&gt;TODAY(),1,)</f>
        <v>0</v>
      </c>
    </row>
    <row r="62" spans="1:27" s="65" customFormat="1" x14ac:dyDescent="0.25">
      <c r="A62" s="59" t="s">
        <v>173</v>
      </c>
      <c r="B62" s="58" t="s">
        <v>45</v>
      </c>
      <c r="C62" s="59" t="s">
        <v>68</v>
      </c>
      <c r="D62" s="59">
        <v>3683</v>
      </c>
      <c r="E62" s="58" t="s">
        <v>88</v>
      </c>
      <c r="F62" s="61">
        <v>45741</v>
      </c>
      <c r="G62" s="61">
        <v>45743</v>
      </c>
      <c r="H62" s="64">
        <v>0.33333333333333331</v>
      </c>
      <c r="I62" s="64"/>
      <c r="J62" s="61"/>
      <c r="K62" s="61"/>
      <c r="L62" s="61"/>
      <c r="M62" s="61"/>
      <c r="N62" s="61"/>
      <c r="O62" s="58" t="s">
        <v>48</v>
      </c>
      <c r="P62" s="58"/>
      <c r="Q62" s="63">
        <v>40</v>
      </c>
      <c r="R62" s="63">
        <v>3</v>
      </c>
      <c r="S62" s="63"/>
      <c r="T62" s="63"/>
      <c r="U62" s="59"/>
      <c r="V62" s="59"/>
      <c r="W62" s="63"/>
      <c r="X62" s="59"/>
      <c r="Y62" s="68">
        <f ca="1">Table29[[#This Row],[5/9/2025]]+2-TODAY()</f>
        <v>-499</v>
      </c>
      <c r="Z62" s="59">
        <f>IF(ISBLANK(Table29[[#This Row],[Roster Received By]]),1,0)</f>
        <v>1</v>
      </c>
      <c r="AA62" s="59">
        <f ca="1">IF(Table29[[#This Row],[5/5/2025]]&gt;TODAY(),1,)</f>
        <v>0</v>
      </c>
    </row>
    <row r="63" spans="1:27" s="65" customFormat="1" x14ac:dyDescent="0.25">
      <c r="A63" s="59" t="s">
        <v>173</v>
      </c>
      <c r="B63" s="58" t="s">
        <v>45</v>
      </c>
      <c r="C63" s="59" t="s">
        <v>68</v>
      </c>
      <c r="D63" s="59">
        <v>3683</v>
      </c>
      <c r="E63" s="58" t="s">
        <v>90</v>
      </c>
      <c r="F63" s="61">
        <v>45902</v>
      </c>
      <c r="G63" s="61">
        <v>45903</v>
      </c>
      <c r="H63" s="64">
        <v>0.33333333333333331</v>
      </c>
      <c r="I63" s="64"/>
      <c r="J63" s="61"/>
      <c r="K63" s="61"/>
      <c r="L63" s="61"/>
      <c r="M63" s="61"/>
      <c r="N63" s="61"/>
      <c r="O63" s="58" t="s">
        <v>48</v>
      </c>
      <c r="P63" s="58"/>
      <c r="Q63" s="63">
        <v>40</v>
      </c>
      <c r="R63" s="63">
        <v>3</v>
      </c>
      <c r="S63" s="63"/>
      <c r="T63" s="63"/>
      <c r="U63" s="59"/>
      <c r="V63" s="59"/>
      <c r="W63" s="63"/>
      <c r="X63" s="59"/>
      <c r="Y63" s="68">
        <f ca="1">Table29[[#This Row],[5/9/2025]]+2-TODAY()</f>
        <v>-339</v>
      </c>
      <c r="Z63" s="59">
        <f>IF(ISBLANK(Table29[[#This Row],[Roster Received By]]),1,0)</f>
        <v>1</v>
      </c>
      <c r="AA63" s="59">
        <f ca="1">IF(Table29[[#This Row],[5/5/2025]]&gt;TODAY(),1,)</f>
        <v>0</v>
      </c>
    </row>
    <row r="64" spans="1:27" s="65" customFormat="1" x14ac:dyDescent="0.25">
      <c r="A64" s="46"/>
      <c r="B64" s="58" t="s">
        <v>70</v>
      </c>
      <c r="C64" s="59" t="s">
        <v>330</v>
      </c>
      <c r="D64" s="59" t="s">
        <v>73</v>
      </c>
      <c r="E64" s="58" t="s">
        <v>69</v>
      </c>
      <c r="F64" s="49">
        <v>45670</v>
      </c>
      <c r="G64" s="49">
        <v>45672</v>
      </c>
      <c r="H64" s="60">
        <v>0.33333333333333331</v>
      </c>
      <c r="I64" s="60"/>
      <c r="J64" s="64"/>
      <c r="K64" s="64"/>
      <c r="L64" s="64"/>
      <c r="M64" s="64"/>
      <c r="N64" s="64"/>
      <c r="O64" s="58" t="s">
        <v>48</v>
      </c>
      <c r="P64" s="58"/>
      <c r="Q64" s="13">
        <v>25</v>
      </c>
      <c r="R64" s="13">
        <v>3</v>
      </c>
      <c r="S64" s="13"/>
      <c r="T64" s="62"/>
      <c r="U64" s="13"/>
      <c r="V64" s="13"/>
      <c r="W64" s="13"/>
      <c r="X64" s="58"/>
      <c r="Y64" s="51">
        <f ca="1">Table29[[#This Row],[5/9/2025]]+2-TODAY()</f>
        <v>-570</v>
      </c>
      <c r="Z64" s="13">
        <f>IF(ISBLANK(Table29[[#This Row],[Roster Received By]]),1,0)</f>
        <v>1</v>
      </c>
      <c r="AA64" s="13">
        <f ca="1">IF(Table29[[#This Row],[5/5/2025]]&gt;TODAY(),1,)</f>
        <v>0</v>
      </c>
    </row>
    <row r="65" spans="1:27" s="65" customFormat="1" x14ac:dyDescent="0.25">
      <c r="A65" s="46"/>
      <c r="B65" s="58" t="s">
        <v>70</v>
      </c>
      <c r="C65" s="59" t="s">
        <v>330</v>
      </c>
      <c r="D65" s="59" t="s">
        <v>73</v>
      </c>
      <c r="E65" s="58" t="s">
        <v>130</v>
      </c>
      <c r="F65" s="61">
        <v>45691</v>
      </c>
      <c r="G65" s="61">
        <v>45693</v>
      </c>
      <c r="H65" s="60">
        <v>0.33333333333333331</v>
      </c>
      <c r="I65" s="64"/>
      <c r="J65" s="61"/>
      <c r="K65" s="61"/>
      <c r="L65" s="61"/>
      <c r="M65" s="61"/>
      <c r="N65" s="61"/>
      <c r="O65" s="58" t="s">
        <v>48</v>
      </c>
      <c r="P65" s="58"/>
      <c r="Q65" s="13">
        <v>25</v>
      </c>
      <c r="R65" s="13">
        <v>3</v>
      </c>
      <c r="S65" s="13"/>
      <c r="T65" s="62"/>
      <c r="U65" s="13"/>
      <c r="V65" s="13"/>
      <c r="W65" s="59"/>
      <c r="X65" s="58"/>
      <c r="Y65" s="51">
        <f ca="1">Table29[[#This Row],[5/9/2025]]+2-TODAY()</f>
        <v>-549</v>
      </c>
      <c r="Z65" s="13">
        <f>IF(ISBLANK(Table29[[#This Row],[Roster Received By]]),1,0)</f>
        <v>1</v>
      </c>
      <c r="AA65" s="13">
        <f ca="1">IF(Table29[[#This Row],[5/5/2025]]&gt;TODAY(),1,)</f>
        <v>0</v>
      </c>
    </row>
    <row r="66" spans="1:27" s="65" customFormat="1" x14ac:dyDescent="0.25">
      <c r="A66" s="46"/>
      <c r="B66" s="58" t="s">
        <v>70</v>
      </c>
      <c r="C66" s="59" t="s">
        <v>330</v>
      </c>
      <c r="D66" s="59" t="s">
        <v>73</v>
      </c>
      <c r="E66" s="58" t="s">
        <v>112</v>
      </c>
      <c r="F66" s="61">
        <v>45698</v>
      </c>
      <c r="G66" s="61">
        <v>45700</v>
      </c>
      <c r="H66" s="60">
        <v>0.33333333333333331</v>
      </c>
      <c r="I66" s="67"/>
      <c r="J66" s="98"/>
      <c r="K66" s="61"/>
      <c r="L66" s="61"/>
      <c r="M66" s="61"/>
      <c r="N66" s="61"/>
      <c r="O66" s="58" t="s">
        <v>48</v>
      </c>
      <c r="P66" s="58"/>
      <c r="Q66" s="13">
        <v>25</v>
      </c>
      <c r="R66" s="13">
        <v>3</v>
      </c>
      <c r="S66" s="13"/>
      <c r="T66" s="62"/>
      <c r="U66" s="13"/>
      <c r="V66" s="13"/>
      <c r="W66" s="13"/>
      <c r="X66" s="58"/>
      <c r="Y66" s="51">
        <f ca="1">Table29[[#This Row],[5/9/2025]]+2-TODAY()</f>
        <v>-542</v>
      </c>
      <c r="Z66" s="13">
        <f>IF(ISBLANK(Table29[[#This Row],[Roster Received By]]),1,0)</f>
        <v>1</v>
      </c>
      <c r="AA66" s="13">
        <f ca="1">IF(Table29[[#This Row],[5/5/2025]]&gt;TODAY(),1,)</f>
        <v>0</v>
      </c>
    </row>
    <row r="67" spans="1:27" s="65" customFormat="1" x14ac:dyDescent="0.25">
      <c r="A67" s="46" t="s">
        <v>331</v>
      </c>
      <c r="B67" s="58" t="s">
        <v>70</v>
      </c>
      <c r="C67" s="59" t="s">
        <v>330</v>
      </c>
      <c r="D67" s="59" t="s">
        <v>73</v>
      </c>
      <c r="E67" s="58" t="s">
        <v>297</v>
      </c>
      <c r="F67" s="61">
        <v>45698</v>
      </c>
      <c r="G67" s="61">
        <v>45700</v>
      </c>
      <c r="H67" s="60">
        <v>0.33333333333333331</v>
      </c>
      <c r="I67" s="60"/>
      <c r="J67" s="60"/>
      <c r="K67" s="60"/>
      <c r="L67" s="60"/>
      <c r="M67" s="60"/>
      <c r="N67" s="60"/>
      <c r="O67" s="58" t="s">
        <v>48</v>
      </c>
      <c r="P67" s="58"/>
      <c r="Q67" s="13">
        <v>25</v>
      </c>
      <c r="R67" s="13">
        <v>3</v>
      </c>
      <c r="S67" s="62"/>
      <c r="T67" s="62"/>
      <c r="U67" s="13"/>
      <c r="V67" s="13"/>
      <c r="W67" s="59"/>
      <c r="X67" s="58"/>
      <c r="Y67" s="51">
        <f ca="1">Table29[[#This Row],[5/9/2025]]+2-TODAY()</f>
        <v>-542</v>
      </c>
      <c r="Z67" s="13">
        <f>IF(ISBLANK(Table29[[#This Row],[Roster Received By]]),1,0)</f>
        <v>1</v>
      </c>
      <c r="AA67" s="13">
        <f ca="1">IF(Table29[[#This Row],[5/5/2025]]&gt;TODAY(),1,)</f>
        <v>0</v>
      </c>
    </row>
    <row r="68" spans="1:27" s="65" customFormat="1" x14ac:dyDescent="0.25">
      <c r="A68" s="46"/>
      <c r="B68" s="58" t="s">
        <v>70</v>
      </c>
      <c r="C68" s="59" t="s">
        <v>330</v>
      </c>
      <c r="D68" s="59" t="s">
        <v>73</v>
      </c>
      <c r="E68" s="47" t="s">
        <v>127</v>
      </c>
      <c r="F68" s="61">
        <v>45719</v>
      </c>
      <c r="G68" s="61">
        <v>45721</v>
      </c>
      <c r="H68" s="60">
        <v>0.33333333333333331</v>
      </c>
      <c r="I68" s="60"/>
      <c r="J68" s="60"/>
      <c r="K68" s="64"/>
      <c r="L68" s="64"/>
      <c r="M68" s="64"/>
      <c r="N68" s="64"/>
      <c r="O68" s="58" t="s">
        <v>48</v>
      </c>
      <c r="P68" s="58"/>
      <c r="Q68" s="13">
        <v>25</v>
      </c>
      <c r="R68" s="13">
        <v>3</v>
      </c>
      <c r="S68" s="13"/>
      <c r="T68" s="62"/>
      <c r="U68" s="13"/>
      <c r="V68" s="13"/>
      <c r="W68" s="13"/>
      <c r="X68" s="58"/>
      <c r="Y68" s="51">
        <f ca="1">Table29[[#This Row],[5/9/2025]]+2-TODAY()</f>
        <v>-521</v>
      </c>
      <c r="Z68" s="13">
        <f>IF(ISBLANK(Table29[[#This Row],[Roster Received By]]),1,0)</f>
        <v>1</v>
      </c>
      <c r="AA68" s="13">
        <f ca="1">IF(Table29[[#This Row],[5/5/2025]]&gt;TODAY(),1,)</f>
        <v>0</v>
      </c>
    </row>
    <row r="69" spans="1:27" s="65" customFormat="1" x14ac:dyDescent="0.25">
      <c r="A69" s="46"/>
      <c r="B69" s="58" t="s">
        <v>70</v>
      </c>
      <c r="C69" s="59" t="s">
        <v>330</v>
      </c>
      <c r="D69" s="59" t="s">
        <v>73</v>
      </c>
      <c r="E69" s="58" t="s">
        <v>303</v>
      </c>
      <c r="F69" s="61">
        <v>45740</v>
      </c>
      <c r="G69" s="61">
        <v>45742</v>
      </c>
      <c r="H69" s="60">
        <v>0.33333333333333331</v>
      </c>
      <c r="I69" s="60"/>
      <c r="J69" s="64"/>
      <c r="K69" s="64"/>
      <c r="L69" s="64"/>
      <c r="M69" s="64"/>
      <c r="N69" s="64"/>
      <c r="O69" s="58" t="s">
        <v>48</v>
      </c>
      <c r="P69" s="58"/>
      <c r="Q69" s="13">
        <v>25</v>
      </c>
      <c r="R69" s="13">
        <v>3</v>
      </c>
      <c r="S69" s="13"/>
      <c r="T69" s="62"/>
      <c r="U69" s="13"/>
      <c r="V69" s="13"/>
      <c r="W69" s="13"/>
      <c r="X69" s="58"/>
      <c r="Y69" s="51">
        <f ca="1">Table29[[#This Row],[5/9/2025]]+2-TODAY()</f>
        <v>-500</v>
      </c>
      <c r="Z69" s="13">
        <f>IF(ISBLANK(Table29[[#This Row],[Roster Received By]]),1,0)</f>
        <v>1</v>
      </c>
      <c r="AA69" s="13">
        <f ca="1">IF(Table29[[#This Row],[5/5/2025]]&gt;TODAY(),1,)</f>
        <v>0</v>
      </c>
    </row>
    <row r="70" spans="1:27" s="65" customFormat="1" x14ac:dyDescent="0.25">
      <c r="A70" s="46"/>
      <c r="B70" s="58" t="s">
        <v>70</v>
      </c>
      <c r="C70" s="59" t="s">
        <v>330</v>
      </c>
      <c r="D70" s="59" t="s">
        <v>73</v>
      </c>
      <c r="E70" s="58" t="s">
        <v>78</v>
      </c>
      <c r="F70" s="49">
        <v>45754</v>
      </c>
      <c r="G70" s="49">
        <v>45756</v>
      </c>
      <c r="H70" s="60">
        <v>0.33333333333333331</v>
      </c>
      <c r="I70" s="67"/>
      <c r="J70" s="61"/>
      <c r="K70" s="61"/>
      <c r="L70" s="61"/>
      <c r="M70" s="61"/>
      <c r="N70" s="61"/>
      <c r="O70" s="58" t="s">
        <v>48</v>
      </c>
      <c r="P70" s="58"/>
      <c r="Q70" s="13">
        <v>25</v>
      </c>
      <c r="R70" s="13">
        <v>3</v>
      </c>
      <c r="S70" s="13"/>
      <c r="T70" s="62"/>
      <c r="U70" s="13"/>
      <c r="V70" s="13"/>
      <c r="W70" s="62"/>
      <c r="X70" s="58"/>
      <c r="Y70" s="51">
        <f ca="1">Table29[[#This Row],[5/9/2025]]+2-TODAY()</f>
        <v>-486</v>
      </c>
      <c r="Z70" s="13">
        <f>IF(ISBLANK(Table29[[#This Row],[Roster Received By]]),1,0)</f>
        <v>1</v>
      </c>
      <c r="AA70" s="13">
        <f ca="1">IF(Table29[[#This Row],[5/5/2025]]&gt;TODAY(),1,)</f>
        <v>0</v>
      </c>
    </row>
    <row r="71" spans="1:27" s="65" customFormat="1" x14ac:dyDescent="0.25">
      <c r="A71" s="46"/>
      <c r="B71" s="58" t="s">
        <v>70</v>
      </c>
      <c r="C71" s="59" t="s">
        <v>330</v>
      </c>
      <c r="D71" s="59" t="s">
        <v>73</v>
      </c>
      <c r="E71" s="132" t="s">
        <v>118</v>
      </c>
      <c r="F71" s="133">
        <v>45782</v>
      </c>
      <c r="G71" s="133">
        <v>45784</v>
      </c>
      <c r="H71" s="134">
        <v>0.33333333333333331</v>
      </c>
      <c r="I71" s="60"/>
      <c r="J71" s="64"/>
      <c r="K71" s="64"/>
      <c r="L71" s="64"/>
      <c r="M71" s="64"/>
      <c r="N71" s="64"/>
      <c r="O71" s="58" t="s">
        <v>48</v>
      </c>
      <c r="P71" s="58"/>
      <c r="Q71" s="13">
        <v>25</v>
      </c>
      <c r="R71" s="13">
        <v>3</v>
      </c>
      <c r="S71" s="13"/>
      <c r="T71" s="62"/>
      <c r="U71" s="13"/>
      <c r="V71" s="13"/>
      <c r="W71" s="13"/>
      <c r="X71" s="58"/>
      <c r="Y71" s="51">
        <f ca="1">Table29[[#This Row],[5/9/2025]]+2-TODAY()</f>
        <v>-458</v>
      </c>
      <c r="Z71" s="13">
        <f>IF(ISBLANK(Table29[[#This Row],[Roster Received By]]),1,0)</f>
        <v>1</v>
      </c>
      <c r="AA71" s="13">
        <f ca="1">IF(Table29[[#This Row],[5/5/2025]]&gt;TODAY(),1,)</f>
        <v>0</v>
      </c>
    </row>
    <row r="72" spans="1:27" s="65" customFormat="1" x14ac:dyDescent="0.25">
      <c r="A72" s="46"/>
      <c r="B72" s="58" t="s">
        <v>70</v>
      </c>
      <c r="C72" s="59" t="s">
        <v>330</v>
      </c>
      <c r="D72" s="59" t="s">
        <v>73</v>
      </c>
      <c r="E72" s="58" t="s">
        <v>130</v>
      </c>
      <c r="F72" s="61">
        <v>45789</v>
      </c>
      <c r="G72" s="61">
        <v>45791</v>
      </c>
      <c r="H72" s="60">
        <v>0.33333333333333331</v>
      </c>
      <c r="I72" s="60"/>
      <c r="J72" s="64"/>
      <c r="K72" s="64"/>
      <c r="L72" s="64"/>
      <c r="M72" s="64"/>
      <c r="N72" s="64"/>
      <c r="O72" s="58" t="s">
        <v>48</v>
      </c>
      <c r="P72" s="58"/>
      <c r="Q72" s="13">
        <v>25</v>
      </c>
      <c r="R72" s="13">
        <v>3</v>
      </c>
      <c r="S72" s="13"/>
      <c r="T72" s="62"/>
      <c r="U72" s="13"/>
      <c r="V72" s="13"/>
      <c r="W72" s="13"/>
      <c r="X72" s="58"/>
      <c r="Y72" s="51">
        <f ca="1">Table29[[#This Row],[5/9/2025]]+2-TODAY()</f>
        <v>-451</v>
      </c>
      <c r="Z72" s="13">
        <f>IF(ISBLANK(Table29[[#This Row],[Roster Received By]]),1,0)</f>
        <v>1</v>
      </c>
      <c r="AA72" s="13">
        <f ca="1">IF(Table29[[#This Row],[5/5/2025]]&gt;TODAY(),1,)</f>
        <v>0</v>
      </c>
    </row>
    <row r="73" spans="1:27" s="65" customFormat="1" x14ac:dyDescent="0.25">
      <c r="A73" s="46"/>
      <c r="B73" s="58" t="s">
        <v>70</v>
      </c>
      <c r="C73" s="59" t="s">
        <v>330</v>
      </c>
      <c r="D73" s="59" t="s">
        <v>73</v>
      </c>
      <c r="E73" s="58" t="s">
        <v>116</v>
      </c>
      <c r="F73" s="61">
        <v>45817</v>
      </c>
      <c r="G73" s="61">
        <v>45819</v>
      </c>
      <c r="H73" s="60">
        <v>0.33333333333333331</v>
      </c>
      <c r="I73" s="60"/>
      <c r="J73" s="64"/>
      <c r="K73" s="64"/>
      <c r="L73" s="64"/>
      <c r="M73" s="64"/>
      <c r="N73" s="64"/>
      <c r="O73" s="58" t="s">
        <v>48</v>
      </c>
      <c r="P73" s="58"/>
      <c r="Q73" s="13">
        <v>25</v>
      </c>
      <c r="R73" s="13">
        <v>3</v>
      </c>
      <c r="S73" s="13"/>
      <c r="T73" s="62"/>
      <c r="U73" s="13"/>
      <c r="V73" s="13"/>
      <c r="W73" s="13"/>
      <c r="X73" s="58"/>
      <c r="Y73" s="51">
        <f ca="1">Table29[[#This Row],[5/9/2025]]+2-TODAY()</f>
        <v>-423</v>
      </c>
      <c r="Z73" s="13">
        <f>IF(ISBLANK(Table29[[#This Row],[Roster Received By]]),1,0)</f>
        <v>1</v>
      </c>
      <c r="AA73" s="13">
        <f ca="1">IF(Table29[[#This Row],[5/5/2025]]&gt;TODAY(),1,)</f>
        <v>0</v>
      </c>
    </row>
    <row r="74" spans="1:27" s="94" customFormat="1" x14ac:dyDescent="0.25">
      <c r="A74" s="58"/>
      <c r="B74" s="58" t="s">
        <v>70</v>
      </c>
      <c r="C74" s="59" t="s">
        <v>330</v>
      </c>
      <c r="D74" s="59" t="s">
        <v>73</v>
      </c>
      <c r="E74" s="58" t="s">
        <v>81</v>
      </c>
      <c r="F74" s="61">
        <v>45852</v>
      </c>
      <c r="G74" s="61">
        <v>45854</v>
      </c>
      <c r="H74" s="60">
        <v>0.33333333333333331</v>
      </c>
      <c r="I74" s="64"/>
      <c r="J74" s="64"/>
      <c r="K74" s="64"/>
      <c r="L74" s="64"/>
      <c r="M74" s="64"/>
      <c r="N74" s="64"/>
      <c r="O74" s="58" t="s">
        <v>48</v>
      </c>
      <c r="P74" s="58"/>
      <c r="Q74" s="13">
        <v>25</v>
      </c>
      <c r="R74" s="13">
        <v>3</v>
      </c>
      <c r="S74" s="62"/>
      <c r="T74" s="62"/>
      <c r="U74" s="13"/>
      <c r="V74" s="13"/>
      <c r="W74" s="62"/>
      <c r="X74" s="58"/>
      <c r="Y74" s="51">
        <f ca="1">Table29[[#This Row],[5/9/2025]]+2-TODAY()</f>
        <v>-388</v>
      </c>
      <c r="Z74" s="13">
        <f>IF(ISBLANK(Table29[[#This Row],[Roster Received By]]),1,0)</f>
        <v>1</v>
      </c>
      <c r="AA74" s="13">
        <f ca="1">IF(Table29[[#This Row],[5/5/2025]]&gt;TODAY(),1,)</f>
        <v>0</v>
      </c>
    </row>
    <row r="75" spans="1:27" s="65" customFormat="1" x14ac:dyDescent="0.25">
      <c r="A75" s="59"/>
      <c r="B75" s="58" t="s">
        <v>70</v>
      </c>
      <c r="C75" s="59" t="s">
        <v>330</v>
      </c>
      <c r="D75" s="59" t="s">
        <v>73</v>
      </c>
      <c r="E75" s="58" t="s">
        <v>75</v>
      </c>
      <c r="F75" s="61">
        <v>45859</v>
      </c>
      <c r="G75" s="61">
        <v>45861</v>
      </c>
      <c r="H75" s="60">
        <v>0.33333333333333331</v>
      </c>
      <c r="I75" s="64"/>
      <c r="J75" s="61"/>
      <c r="K75" s="61"/>
      <c r="L75" s="61"/>
      <c r="M75" s="61"/>
      <c r="N75" s="61"/>
      <c r="O75" s="58" t="s">
        <v>48</v>
      </c>
      <c r="P75" s="58"/>
      <c r="Q75" s="13">
        <v>25</v>
      </c>
      <c r="R75" s="13">
        <v>3</v>
      </c>
      <c r="S75" s="66"/>
      <c r="T75" s="62"/>
      <c r="U75" s="13"/>
      <c r="V75" s="13"/>
      <c r="W75" s="13"/>
      <c r="X75" s="58"/>
      <c r="Y75" s="51">
        <f ca="1">Table29[[#This Row],[5/9/2025]]+2-TODAY()</f>
        <v>-381</v>
      </c>
      <c r="Z75" s="13">
        <f>IF(ISBLANK(Table29[[#This Row],[Roster Received By]]),1,0)</f>
        <v>1</v>
      </c>
      <c r="AA75" s="13">
        <f ca="1">IF(Table29[[#This Row],[5/5/2025]]&gt;TODAY(),1,)</f>
        <v>0</v>
      </c>
    </row>
    <row r="76" spans="1:27" s="65" customFormat="1" x14ac:dyDescent="0.25">
      <c r="A76" s="46"/>
      <c r="B76" s="58" t="s">
        <v>70</v>
      </c>
      <c r="C76" s="59" t="s">
        <v>330</v>
      </c>
      <c r="D76" s="59" t="s">
        <v>73</v>
      </c>
      <c r="E76" s="58" t="s">
        <v>130</v>
      </c>
      <c r="F76" s="61">
        <v>45873</v>
      </c>
      <c r="G76" s="61">
        <v>45875</v>
      </c>
      <c r="H76" s="60">
        <v>0.33333333333333331</v>
      </c>
      <c r="I76" s="60"/>
      <c r="J76" s="64"/>
      <c r="K76" s="64"/>
      <c r="L76" s="64"/>
      <c r="M76" s="64"/>
      <c r="N76" s="64"/>
      <c r="O76" s="58" t="s">
        <v>48</v>
      </c>
      <c r="P76" s="58"/>
      <c r="Q76" s="13">
        <v>25</v>
      </c>
      <c r="R76" s="13">
        <v>3</v>
      </c>
      <c r="S76" s="13"/>
      <c r="T76" s="62"/>
      <c r="U76" s="13"/>
      <c r="V76" s="13"/>
      <c r="W76" s="13"/>
      <c r="X76" s="58"/>
      <c r="Y76" s="51">
        <f ca="1">Table29[[#This Row],[5/9/2025]]+2-TODAY()</f>
        <v>-367</v>
      </c>
      <c r="Z76" s="13">
        <f>IF(ISBLANK(Table29[[#This Row],[Roster Received By]]),1,0)</f>
        <v>1</v>
      </c>
      <c r="AA76" s="13">
        <f ca="1">IF(Table29[[#This Row],[5/5/2025]]&gt;TODAY(),1,)</f>
        <v>0</v>
      </c>
    </row>
    <row r="77" spans="1:27" s="65" customFormat="1" x14ac:dyDescent="0.25">
      <c r="A77" s="46"/>
      <c r="B77" s="58" t="s">
        <v>70</v>
      </c>
      <c r="C77" s="59" t="s">
        <v>330</v>
      </c>
      <c r="D77" s="59" t="s">
        <v>73</v>
      </c>
      <c r="E77" s="58" t="s">
        <v>96</v>
      </c>
      <c r="F77" s="61">
        <v>45873</v>
      </c>
      <c r="G77" s="61">
        <v>45875</v>
      </c>
      <c r="H77" s="60">
        <v>0.33333333333333331</v>
      </c>
      <c r="I77" s="60"/>
      <c r="J77" s="60"/>
      <c r="K77" s="60"/>
      <c r="L77" s="60"/>
      <c r="M77" s="60"/>
      <c r="N77" s="60"/>
      <c r="O77" s="58" t="s">
        <v>48</v>
      </c>
      <c r="P77" s="58"/>
      <c r="Q77" s="13">
        <v>25</v>
      </c>
      <c r="R77" s="13">
        <v>3</v>
      </c>
      <c r="S77" s="13"/>
      <c r="T77" s="62"/>
      <c r="U77" s="13"/>
      <c r="V77" s="13"/>
      <c r="W77" s="13"/>
      <c r="X77" s="58"/>
      <c r="Y77" s="51">
        <f ca="1">Table29[[#This Row],[5/9/2025]]+2-TODAY()</f>
        <v>-367</v>
      </c>
      <c r="Z77" s="13">
        <f>IF(ISBLANK(Table29[[#This Row],[Roster Received By]]),1,0)</f>
        <v>1</v>
      </c>
      <c r="AA77" s="13">
        <f ca="1">IF(Table29[[#This Row],[5/5/2025]]&gt;TODAY(),1,)</f>
        <v>0</v>
      </c>
    </row>
    <row r="78" spans="1:27" s="65" customFormat="1" x14ac:dyDescent="0.25">
      <c r="A78" s="86"/>
      <c r="B78" s="58" t="s">
        <v>70</v>
      </c>
      <c r="C78" s="59" t="s">
        <v>330</v>
      </c>
      <c r="D78" s="59" t="s">
        <v>73</v>
      </c>
      <c r="E78" s="47" t="s">
        <v>51</v>
      </c>
      <c r="F78" s="61">
        <v>45887</v>
      </c>
      <c r="G78" s="61">
        <v>45889</v>
      </c>
      <c r="H78" s="60">
        <v>0.33333333333333331</v>
      </c>
      <c r="I78" s="60"/>
      <c r="J78" s="64"/>
      <c r="K78" s="64"/>
      <c r="L78" s="64"/>
      <c r="M78" s="64"/>
      <c r="N78" s="64"/>
      <c r="O78" s="58" t="s">
        <v>48</v>
      </c>
      <c r="P78" s="58"/>
      <c r="Q78" s="13">
        <v>25</v>
      </c>
      <c r="R78" s="13">
        <v>3</v>
      </c>
      <c r="S78" s="13"/>
      <c r="T78" s="62"/>
      <c r="U78" s="13"/>
      <c r="V78" s="13"/>
      <c r="W78" s="62"/>
      <c r="X78" s="58"/>
      <c r="Y78" s="51">
        <f ca="1">Table29[[#This Row],[5/9/2025]]+2-TODAY()</f>
        <v>-353</v>
      </c>
      <c r="Z78" s="13">
        <f>IF(ISBLANK(Table29[[#This Row],[Roster Received By]]),1,0)</f>
        <v>1</v>
      </c>
      <c r="AA78" s="13">
        <f ca="1">IF(Table29[[#This Row],[5/5/2025]]&gt;TODAY(),1,)</f>
        <v>0</v>
      </c>
    </row>
    <row r="79" spans="1:27" s="65" customFormat="1" x14ac:dyDescent="0.25">
      <c r="A79" s="46"/>
      <c r="B79" s="58" t="s">
        <v>70</v>
      </c>
      <c r="C79" s="59" t="s">
        <v>330</v>
      </c>
      <c r="D79" s="59" t="s">
        <v>73</v>
      </c>
      <c r="E79" s="58" t="s">
        <v>46</v>
      </c>
      <c r="F79" s="61">
        <v>45902</v>
      </c>
      <c r="G79" s="61">
        <v>45904</v>
      </c>
      <c r="H79" s="60">
        <v>0.33333333333333331</v>
      </c>
      <c r="I79" s="64"/>
      <c r="J79" s="61"/>
      <c r="K79" s="61"/>
      <c r="L79" s="61"/>
      <c r="M79" s="61"/>
      <c r="N79" s="61"/>
      <c r="O79" s="58" t="s">
        <v>48</v>
      </c>
      <c r="P79" s="58"/>
      <c r="Q79" s="62">
        <v>25</v>
      </c>
      <c r="R79" s="63">
        <v>3</v>
      </c>
      <c r="S79" s="62"/>
      <c r="T79" s="62"/>
      <c r="U79" s="13"/>
      <c r="V79" s="13"/>
      <c r="W79" s="13"/>
      <c r="X79" s="58"/>
      <c r="Y79" s="51">
        <f ca="1">Table29[[#This Row],[5/9/2025]]+2-TODAY()</f>
        <v>-338</v>
      </c>
      <c r="Z79" s="13">
        <f>IF(ISBLANK(Table29[[#This Row],[Roster Received By]]),1,0)</f>
        <v>1</v>
      </c>
      <c r="AA79" s="13">
        <f ca="1">IF(Table29[[#This Row],[5/5/2025]]&gt;TODAY(),1,)</f>
        <v>0</v>
      </c>
    </row>
    <row r="80" spans="1:27" s="65" customFormat="1" x14ac:dyDescent="0.25">
      <c r="A80" s="46"/>
      <c r="B80" s="58" t="s">
        <v>70</v>
      </c>
      <c r="C80" s="59" t="s">
        <v>330</v>
      </c>
      <c r="D80" s="59" t="s">
        <v>73</v>
      </c>
      <c r="E80" s="58" t="s">
        <v>134</v>
      </c>
      <c r="F80" s="61">
        <v>45908</v>
      </c>
      <c r="G80" s="61">
        <v>45910</v>
      </c>
      <c r="H80" s="60">
        <v>0.33333333333333331</v>
      </c>
      <c r="I80" s="60"/>
      <c r="J80" s="60"/>
      <c r="K80" s="60"/>
      <c r="L80" s="60"/>
      <c r="M80" s="60"/>
      <c r="N80" s="60"/>
      <c r="O80" s="58" t="s">
        <v>48</v>
      </c>
      <c r="P80" s="58"/>
      <c r="Q80" s="13">
        <v>25</v>
      </c>
      <c r="R80" s="13">
        <v>3</v>
      </c>
      <c r="S80" s="13"/>
      <c r="T80" s="62"/>
      <c r="U80" s="13"/>
      <c r="V80" s="13"/>
      <c r="W80" s="13"/>
      <c r="X80" s="58"/>
      <c r="Y80" s="51">
        <f ca="1">Table29[[#This Row],[5/9/2025]]+2-TODAY()</f>
        <v>-332</v>
      </c>
      <c r="Z80" s="13">
        <f>IF(ISBLANK(Table29[[#This Row],[Roster Received By]]),1,0)</f>
        <v>1</v>
      </c>
      <c r="AA80" s="13">
        <f ca="1">IF(Table29[[#This Row],[5/5/2025]]&gt;TODAY(),1,)</f>
        <v>0</v>
      </c>
    </row>
    <row r="81" spans="1:27" s="65" customFormat="1" x14ac:dyDescent="0.25">
      <c r="A81" s="46"/>
      <c r="B81" s="58" t="s">
        <v>70</v>
      </c>
      <c r="C81" s="59" t="s">
        <v>330</v>
      </c>
      <c r="D81" s="59" t="s">
        <v>73</v>
      </c>
      <c r="E81" s="58" t="s">
        <v>125</v>
      </c>
      <c r="F81" s="61">
        <v>45908</v>
      </c>
      <c r="G81" s="61">
        <v>45910</v>
      </c>
      <c r="H81" s="60">
        <v>0.33333333333333331</v>
      </c>
      <c r="I81" s="60"/>
      <c r="J81" s="64"/>
      <c r="K81" s="64"/>
      <c r="L81" s="64"/>
      <c r="M81" s="64"/>
      <c r="N81" s="64"/>
      <c r="O81" s="58" t="s">
        <v>48</v>
      </c>
      <c r="P81" s="58"/>
      <c r="Q81" s="13">
        <v>25</v>
      </c>
      <c r="R81" s="13">
        <v>3</v>
      </c>
      <c r="S81" s="13"/>
      <c r="T81" s="62"/>
      <c r="U81" s="13"/>
      <c r="V81" s="13"/>
      <c r="W81" s="13"/>
      <c r="X81" s="58"/>
      <c r="Y81" s="51">
        <f ca="1">Table29[[#This Row],[5/9/2025]]+2-TODAY()</f>
        <v>-332</v>
      </c>
      <c r="Z81" s="13">
        <f>IF(ISBLANK(Table29[[#This Row],[Roster Received By]]),1,0)</f>
        <v>1</v>
      </c>
      <c r="AA81" s="13">
        <f ca="1">IF(Table29[[#This Row],[5/5/2025]]&gt;TODAY(),1,)</f>
        <v>0</v>
      </c>
    </row>
    <row r="82" spans="1:27" s="65" customFormat="1" x14ac:dyDescent="0.25">
      <c r="A82" s="46" t="s">
        <v>332</v>
      </c>
      <c r="B82" s="58" t="s">
        <v>84</v>
      </c>
      <c r="C82" s="59" t="s">
        <v>333</v>
      </c>
      <c r="D82" s="59" t="s">
        <v>86</v>
      </c>
      <c r="E82" s="58" t="s">
        <v>54</v>
      </c>
      <c r="F82" s="61">
        <v>45670</v>
      </c>
      <c r="G82" s="61">
        <v>45670</v>
      </c>
      <c r="H82" s="60"/>
      <c r="I82" s="60">
        <v>0.33333333333333331</v>
      </c>
      <c r="J82" s="60"/>
      <c r="K82" s="60"/>
      <c r="L82" s="60"/>
      <c r="M82" s="60"/>
      <c r="N82" s="60"/>
      <c r="O82" s="58" t="s">
        <v>48</v>
      </c>
      <c r="P82" s="58"/>
      <c r="Q82" s="13">
        <v>30</v>
      </c>
      <c r="R82" s="13">
        <v>1</v>
      </c>
      <c r="S82" s="13"/>
      <c r="T82" s="62"/>
      <c r="U82" s="13"/>
      <c r="V82" s="13"/>
      <c r="W82" s="13"/>
      <c r="X82" s="58"/>
      <c r="Y82" s="51">
        <f ca="1">Table29[[#This Row],[5/9/2025]]+2-TODAY()</f>
        <v>-572</v>
      </c>
      <c r="Z82" s="13">
        <f>IF(ISBLANK(Table29[[#This Row],[Roster Received By]]),1,0)</f>
        <v>1</v>
      </c>
      <c r="AA82" s="13">
        <f ca="1">IF(Table29[[#This Row],[5/5/2025]]&gt;TODAY(),1,)</f>
        <v>0</v>
      </c>
    </row>
    <row r="83" spans="1:27" s="65" customFormat="1" x14ac:dyDescent="0.25">
      <c r="A83" s="46"/>
      <c r="B83" s="58" t="s">
        <v>84</v>
      </c>
      <c r="C83" s="59" t="s">
        <v>333</v>
      </c>
      <c r="D83" s="59" t="s">
        <v>86</v>
      </c>
      <c r="E83" s="58" t="s">
        <v>69</v>
      </c>
      <c r="F83" s="49">
        <v>45673</v>
      </c>
      <c r="G83" s="49">
        <v>45673</v>
      </c>
      <c r="H83" s="60">
        <v>0.33333333333333331</v>
      </c>
      <c r="I83" s="64"/>
      <c r="J83" s="61"/>
      <c r="K83" s="61"/>
      <c r="L83" s="61"/>
      <c r="M83" s="61"/>
      <c r="N83" s="61"/>
      <c r="O83" s="58" t="s">
        <v>48</v>
      </c>
      <c r="P83" s="58"/>
      <c r="Q83" s="62">
        <v>30</v>
      </c>
      <c r="R83" s="63">
        <v>1</v>
      </c>
      <c r="S83" s="62"/>
      <c r="T83" s="62"/>
      <c r="U83" s="13"/>
      <c r="V83" s="13"/>
      <c r="W83" s="13"/>
      <c r="X83" s="58"/>
      <c r="Y83" s="51">
        <f ca="1">Table29[[#This Row],[5/9/2025]]+2-TODAY()</f>
        <v>-569</v>
      </c>
      <c r="Z83" s="13">
        <f>IF(ISBLANK(Table29[[#This Row],[Roster Received By]]),1,0)</f>
        <v>1</v>
      </c>
      <c r="AA83" s="13">
        <f ca="1">IF(Table29[[#This Row],[5/5/2025]]&gt;TODAY(),1,)</f>
        <v>0</v>
      </c>
    </row>
    <row r="84" spans="1:27" s="65" customFormat="1" x14ac:dyDescent="0.25">
      <c r="A84" s="46"/>
      <c r="B84" s="58" t="s">
        <v>84</v>
      </c>
      <c r="C84" s="59" t="s">
        <v>333</v>
      </c>
      <c r="D84" s="59" t="s">
        <v>86</v>
      </c>
      <c r="E84" s="58" t="s">
        <v>130</v>
      </c>
      <c r="F84" s="61">
        <v>45694</v>
      </c>
      <c r="G84" s="61">
        <v>45694</v>
      </c>
      <c r="H84" s="60">
        <v>0.33333333333333331</v>
      </c>
      <c r="I84" s="60"/>
      <c r="J84" s="60"/>
      <c r="K84" s="60"/>
      <c r="L84" s="60"/>
      <c r="M84" s="60"/>
      <c r="N84" s="60"/>
      <c r="O84" s="58" t="s">
        <v>48</v>
      </c>
      <c r="P84" s="58"/>
      <c r="Q84" s="13">
        <v>30</v>
      </c>
      <c r="R84" s="13">
        <v>1</v>
      </c>
      <c r="S84" s="13"/>
      <c r="T84" s="62"/>
      <c r="U84" s="13"/>
      <c r="V84" s="13"/>
      <c r="W84" s="13"/>
      <c r="X84" s="58"/>
      <c r="Y84" s="51">
        <f ca="1">Table29[[#This Row],[5/9/2025]]+2-TODAY()</f>
        <v>-548</v>
      </c>
      <c r="Z84" s="13">
        <f>IF(ISBLANK(Table29[[#This Row],[Roster Received By]]),1,0)</f>
        <v>1</v>
      </c>
      <c r="AA84" s="13">
        <f ca="1">IF(Table29[[#This Row],[5/5/2025]]&gt;TODAY(),1,)</f>
        <v>0</v>
      </c>
    </row>
    <row r="85" spans="1:27" s="65" customFormat="1" x14ac:dyDescent="0.25">
      <c r="A85" s="46"/>
      <c r="B85" s="58" t="s">
        <v>84</v>
      </c>
      <c r="C85" s="59" t="s">
        <v>333</v>
      </c>
      <c r="D85" s="59" t="s">
        <v>86</v>
      </c>
      <c r="E85" s="58" t="s">
        <v>112</v>
      </c>
      <c r="F85" s="61">
        <v>45701</v>
      </c>
      <c r="G85" s="61">
        <v>45701</v>
      </c>
      <c r="H85" s="60">
        <v>0.33333333333333331</v>
      </c>
      <c r="I85" s="60"/>
      <c r="J85" s="60"/>
      <c r="K85" s="60"/>
      <c r="L85" s="60"/>
      <c r="M85" s="60"/>
      <c r="N85" s="60"/>
      <c r="O85" s="58" t="s">
        <v>48</v>
      </c>
      <c r="P85" s="58"/>
      <c r="Q85" s="13">
        <v>30</v>
      </c>
      <c r="R85" s="13">
        <v>1</v>
      </c>
      <c r="S85" s="62"/>
      <c r="T85" s="62"/>
      <c r="U85" s="13"/>
      <c r="V85" s="13"/>
      <c r="W85" s="13"/>
      <c r="X85" s="58"/>
      <c r="Y85" s="51">
        <f ca="1">Table29[[#This Row],[5/9/2025]]+2-TODAY()</f>
        <v>-541</v>
      </c>
      <c r="Z85" s="13">
        <f>IF(ISBLANK(Table29[[#This Row],[Roster Received By]]),1,0)</f>
        <v>1</v>
      </c>
      <c r="AA85" s="13">
        <f ca="1">IF(Table29[[#This Row],[5/5/2025]]&gt;TODAY(),1,)</f>
        <v>0</v>
      </c>
    </row>
    <row r="86" spans="1:27" s="65" customFormat="1" x14ac:dyDescent="0.25">
      <c r="A86" s="46" t="s">
        <v>331</v>
      </c>
      <c r="B86" s="58" t="s">
        <v>84</v>
      </c>
      <c r="C86" s="59" t="s">
        <v>333</v>
      </c>
      <c r="D86" s="59" t="s">
        <v>86</v>
      </c>
      <c r="E86" s="58" t="s">
        <v>297</v>
      </c>
      <c r="F86" s="61">
        <v>45701</v>
      </c>
      <c r="G86" s="61">
        <v>45701</v>
      </c>
      <c r="H86" s="60">
        <v>0.33333333333333331</v>
      </c>
      <c r="I86" s="60"/>
      <c r="J86" s="60"/>
      <c r="K86" s="60"/>
      <c r="L86" s="60"/>
      <c r="M86" s="60"/>
      <c r="N86" s="60"/>
      <c r="O86" s="58" t="s">
        <v>48</v>
      </c>
      <c r="P86" s="58"/>
      <c r="Q86" s="13">
        <v>30</v>
      </c>
      <c r="R86" s="13">
        <v>1</v>
      </c>
      <c r="S86" s="13"/>
      <c r="T86" s="62"/>
      <c r="U86" s="13"/>
      <c r="V86" s="13"/>
      <c r="W86" s="13"/>
      <c r="X86" s="58"/>
      <c r="Y86" s="51">
        <f ca="1">Table29[[#This Row],[5/9/2025]]+2-TODAY()</f>
        <v>-541</v>
      </c>
      <c r="Z86" s="13">
        <f>IF(ISBLANK(Table29[[#This Row],[Roster Received By]]),1,0)</f>
        <v>1</v>
      </c>
      <c r="AA86" s="13">
        <f ca="1">IF(Table29[[#This Row],[5/5/2025]]&gt;TODAY(),1,)</f>
        <v>0</v>
      </c>
    </row>
    <row r="87" spans="1:27" s="46" customFormat="1" x14ac:dyDescent="0.25">
      <c r="B87" s="58" t="s">
        <v>84</v>
      </c>
      <c r="C87" s="59" t="s">
        <v>333</v>
      </c>
      <c r="D87" s="59" t="s">
        <v>86</v>
      </c>
      <c r="E87" s="58" t="s">
        <v>112</v>
      </c>
      <c r="F87" s="61">
        <v>45702</v>
      </c>
      <c r="G87" s="61">
        <v>45702</v>
      </c>
      <c r="H87" s="60">
        <v>0.33333333333333331</v>
      </c>
      <c r="I87" s="60"/>
      <c r="J87" s="60"/>
      <c r="K87" s="60"/>
      <c r="L87" s="60"/>
      <c r="M87" s="60"/>
      <c r="N87" s="60"/>
      <c r="O87" s="58" t="s">
        <v>48</v>
      </c>
      <c r="P87" s="58"/>
      <c r="Q87" s="13">
        <v>30</v>
      </c>
      <c r="R87" s="13">
        <v>1</v>
      </c>
      <c r="S87" s="13"/>
      <c r="T87" s="62"/>
      <c r="U87" s="13"/>
      <c r="V87" s="13"/>
      <c r="W87" s="13"/>
      <c r="X87" s="58"/>
      <c r="Y87" s="51">
        <f ca="1">Table29[[#This Row],[5/9/2025]]+2-TODAY()</f>
        <v>-540</v>
      </c>
      <c r="Z87" s="13">
        <f>IF(ISBLANK(Table29[[#This Row],[Roster Received By]]),1,0)</f>
        <v>1</v>
      </c>
      <c r="AA87" s="13">
        <f ca="1">IF(Table29[[#This Row],[5/5/2025]]&gt;TODAY(),1,)</f>
        <v>0</v>
      </c>
    </row>
    <row r="88" spans="1:27" s="94" customFormat="1" x14ac:dyDescent="0.25">
      <c r="A88" s="46" t="s">
        <v>331</v>
      </c>
      <c r="B88" s="58" t="s">
        <v>84</v>
      </c>
      <c r="C88" s="59" t="s">
        <v>333</v>
      </c>
      <c r="D88" s="59" t="s">
        <v>86</v>
      </c>
      <c r="E88" s="58" t="s">
        <v>297</v>
      </c>
      <c r="F88" s="61">
        <v>45702</v>
      </c>
      <c r="G88" s="61">
        <v>45702</v>
      </c>
      <c r="H88" s="60">
        <v>0.33333333333333331</v>
      </c>
      <c r="I88" s="60"/>
      <c r="J88" s="60"/>
      <c r="K88" s="60"/>
      <c r="L88" s="60"/>
      <c r="M88" s="60"/>
      <c r="N88" s="60"/>
      <c r="O88" s="58" t="s">
        <v>48</v>
      </c>
      <c r="P88" s="58"/>
      <c r="Q88" s="13">
        <v>30</v>
      </c>
      <c r="R88" s="13">
        <v>1</v>
      </c>
      <c r="S88" s="13"/>
      <c r="T88" s="62"/>
      <c r="U88" s="13"/>
      <c r="V88" s="13"/>
      <c r="W88" s="13"/>
      <c r="X88" s="58"/>
      <c r="Y88" s="51">
        <f ca="1">Table29[[#This Row],[5/9/2025]]+2-TODAY()</f>
        <v>-540</v>
      </c>
      <c r="Z88" s="13">
        <f>IF(ISBLANK(Table29[[#This Row],[Roster Received By]]),1,0)</f>
        <v>1</v>
      </c>
      <c r="AA88" s="13">
        <f ca="1">IF(Table29[[#This Row],[5/5/2025]]&gt;TODAY(),1,)</f>
        <v>0</v>
      </c>
    </row>
    <row r="89" spans="1:27" s="94" customFormat="1" x14ac:dyDescent="0.25">
      <c r="A89" s="46" t="s">
        <v>334</v>
      </c>
      <c r="B89" s="58" t="s">
        <v>84</v>
      </c>
      <c r="C89" s="59" t="s">
        <v>333</v>
      </c>
      <c r="D89" s="59" t="s">
        <v>86</v>
      </c>
      <c r="E89" s="58" t="s">
        <v>54</v>
      </c>
      <c r="F89" s="61">
        <v>45713</v>
      </c>
      <c r="G89" s="61">
        <v>45713</v>
      </c>
      <c r="H89" s="60"/>
      <c r="I89" s="135">
        <v>8.3333333333333329E-2</v>
      </c>
      <c r="J89" s="60"/>
      <c r="K89" s="60"/>
      <c r="L89" s="60">
        <v>0.33333333333333331</v>
      </c>
      <c r="M89" s="60"/>
      <c r="N89" s="60"/>
      <c r="O89" s="58" t="s">
        <v>48</v>
      </c>
      <c r="P89" s="58"/>
      <c r="Q89" s="13">
        <v>30</v>
      </c>
      <c r="R89" s="13">
        <v>1</v>
      </c>
      <c r="S89" s="13"/>
      <c r="T89" s="62"/>
      <c r="U89" s="13"/>
      <c r="V89" s="13"/>
      <c r="W89" s="59"/>
      <c r="X89" s="58"/>
      <c r="Y89" s="51">
        <f ca="1">Table29[[#This Row],[5/9/2025]]+2-TODAY()</f>
        <v>-529</v>
      </c>
      <c r="Z89" s="13">
        <f>IF(ISBLANK(Table29[[#This Row],[Roster Received By]]),1,0)</f>
        <v>1</v>
      </c>
      <c r="AA89" s="13">
        <f ca="1">IF(Table29[[#This Row],[5/5/2025]]&gt;TODAY(),1,)</f>
        <v>0</v>
      </c>
    </row>
    <row r="90" spans="1:27" s="94" customFormat="1" x14ac:dyDescent="0.25">
      <c r="A90" s="46"/>
      <c r="B90" s="58" t="s">
        <v>84</v>
      </c>
      <c r="C90" s="59" t="s">
        <v>333</v>
      </c>
      <c r="D90" s="59" t="s">
        <v>86</v>
      </c>
      <c r="E90" s="47" t="s">
        <v>127</v>
      </c>
      <c r="F90" s="61">
        <v>45722</v>
      </c>
      <c r="G90" s="61">
        <v>45722</v>
      </c>
      <c r="H90" s="60">
        <v>0.33333333333333331</v>
      </c>
      <c r="I90" s="60"/>
      <c r="J90" s="64"/>
      <c r="K90" s="64"/>
      <c r="L90" s="64"/>
      <c r="M90" s="64"/>
      <c r="N90" s="64"/>
      <c r="O90" s="58" t="s">
        <v>48</v>
      </c>
      <c r="P90" s="58"/>
      <c r="Q90" s="13">
        <v>30</v>
      </c>
      <c r="R90" s="13">
        <v>1</v>
      </c>
      <c r="S90" s="13"/>
      <c r="T90" s="62"/>
      <c r="U90" s="13"/>
      <c r="V90" s="13"/>
      <c r="W90" s="13"/>
      <c r="X90" s="58"/>
      <c r="Y90" s="51">
        <f ca="1">Table29[[#This Row],[5/9/2025]]+2-TODAY()</f>
        <v>-520</v>
      </c>
      <c r="Z90" s="13">
        <f>IF(ISBLANK(Table29[[#This Row],[Roster Received By]]),1,0)</f>
        <v>1</v>
      </c>
      <c r="AA90" s="13">
        <f ca="1">IF(Table29[[#This Row],[5/5/2025]]&gt;TODAY(),1,)</f>
        <v>0</v>
      </c>
    </row>
    <row r="91" spans="1:27" s="65" customFormat="1" x14ac:dyDescent="0.25">
      <c r="A91" s="46" t="s">
        <v>335</v>
      </c>
      <c r="B91" s="58" t="s">
        <v>84</v>
      </c>
      <c r="C91" s="59" t="s">
        <v>333</v>
      </c>
      <c r="D91" s="59" t="s">
        <v>86</v>
      </c>
      <c r="E91" s="58" t="s">
        <v>54</v>
      </c>
      <c r="F91" s="133">
        <v>45733</v>
      </c>
      <c r="G91" s="133">
        <v>45733</v>
      </c>
      <c r="H91" s="60"/>
      <c r="I91" s="64">
        <v>0.45833333333333331</v>
      </c>
      <c r="J91" s="60">
        <v>0.33333333333333331</v>
      </c>
      <c r="K91" s="61"/>
      <c r="L91" s="61"/>
      <c r="M91" s="61"/>
      <c r="N91" s="61"/>
      <c r="O91" s="58" t="s">
        <v>48</v>
      </c>
      <c r="P91" s="58"/>
      <c r="Q91" s="62">
        <v>30</v>
      </c>
      <c r="R91" s="63">
        <v>1</v>
      </c>
      <c r="S91" s="62"/>
      <c r="T91" s="62"/>
      <c r="U91" s="13"/>
      <c r="V91" s="13"/>
      <c r="W91" s="13"/>
      <c r="X91" s="58"/>
      <c r="Y91" s="51">
        <f ca="1">Table29[[#This Row],[5/9/2025]]+2-TODAY()</f>
        <v>-509</v>
      </c>
      <c r="Z91" s="13">
        <f>IF(ISBLANK(Table29[[#This Row],[Roster Received By]]),1,0)</f>
        <v>1</v>
      </c>
      <c r="AA91" s="13">
        <f ca="1">IF(Table29[[#This Row],[5/5/2025]]&gt;TODAY(),1,)</f>
        <v>0</v>
      </c>
    </row>
    <row r="92" spans="1:27" s="65" customFormat="1" x14ac:dyDescent="0.25">
      <c r="A92" s="46"/>
      <c r="B92" s="58" t="s">
        <v>84</v>
      </c>
      <c r="C92" s="59" t="s">
        <v>333</v>
      </c>
      <c r="D92" s="59" t="s">
        <v>86</v>
      </c>
      <c r="E92" s="58" t="s">
        <v>303</v>
      </c>
      <c r="F92" s="61">
        <v>45743</v>
      </c>
      <c r="G92" s="61">
        <v>45743</v>
      </c>
      <c r="H92" s="60">
        <v>0.33333333333333331</v>
      </c>
      <c r="I92" s="64"/>
      <c r="J92" s="61"/>
      <c r="K92" s="61"/>
      <c r="L92" s="61"/>
      <c r="M92" s="61"/>
      <c r="N92" s="61"/>
      <c r="O92" s="58" t="s">
        <v>48</v>
      </c>
      <c r="P92" s="58"/>
      <c r="Q92" s="13">
        <v>30</v>
      </c>
      <c r="R92" s="13">
        <v>1</v>
      </c>
      <c r="S92" s="13"/>
      <c r="T92" s="62"/>
      <c r="U92" s="13"/>
      <c r="V92" s="13"/>
      <c r="W92" s="13"/>
      <c r="X92" s="58"/>
      <c r="Y92" s="51">
        <f ca="1">Table29[[#This Row],[5/9/2025]]+2-TODAY()</f>
        <v>-499</v>
      </c>
      <c r="Z92" s="13">
        <f>IF(ISBLANK(Table29[[#This Row],[Roster Received By]]),1,0)</f>
        <v>1</v>
      </c>
      <c r="AA92" s="13">
        <f ca="1">IF(Table29[[#This Row],[5/5/2025]]&gt;TODAY(),1,)</f>
        <v>0</v>
      </c>
    </row>
    <row r="93" spans="1:27" s="65" customFormat="1" x14ac:dyDescent="0.25">
      <c r="A93" s="46" t="s">
        <v>332</v>
      </c>
      <c r="B93" s="58" t="s">
        <v>84</v>
      </c>
      <c r="C93" s="59" t="s">
        <v>333</v>
      </c>
      <c r="D93" s="59" t="s">
        <v>86</v>
      </c>
      <c r="E93" s="58" t="s">
        <v>54</v>
      </c>
      <c r="F93" s="61">
        <v>45754</v>
      </c>
      <c r="G93" s="61">
        <v>45754</v>
      </c>
      <c r="H93" s="60"/>
      <c r="I93" s="60">
        <v>0.33333333333333331</v>
      </c>
      <c r="J93" s="60"/>
      <c r="K93" s="60"/>
      <c r="L93" s="60"/>
      <c r="M93" s="60"/>
      <c r="N93" s="60"/>
      <c r="O93" s="58" t="s">
        <v>48</v>
      </c>
      <c r="P93" s="58"/>
      <c r="Q93" s="13">
        <v>30</v>
      </c>
      <c r="R93" s="13">
        <v>1</v>
      </c>
      <c r="S93" s="13"/>
      <c r="T93" s="62"/>
      <c r="U93" s="13"/>
      <c r="V93" s="13"/>
      <c r="W93" s="13"/>
      <c r="X93" s="58"/>
      <c r="Y93" s="51">
        <f ca="1">Table29[[#This Row],[5/9/2025]]+2-TODAY()</f>
        <v>-488</v>
      </c>
      <c r="Z93" s="13">
        <f>IF(ISBLANK(Table29[[#This Row],[Roster Received By]]),1,0)</f>
        <v>1</v>
      </c>
      <c r="AA93" s="13">
        <f ca="1">IF(Table29[[#This Row],[5/5/2025]]&gt;TODAY(),1,)</f>
        <v>0</v>
      </c>
    </row>
    <row r="94" spans="1:27" s="65" customFormat="1" x14ac:dyDescent="0.25">
      <c r="A94" s="46"/>
      <c r="B94" s="58" t="s">
        <v>84</v>
      </c>
      <c r="C94" s="59" t="s">
        <v>333</v>
      </c>
      <c r="D94" s="59" t="s">
        <v>86</v>
      </c>
      <c r="E94" s="58" t="s">
        <v>78</v>
      </c>
      <c r="F94" s="61">
        <v>45757</v>
      </c>
      <c r="G94" s="61">
        <v>45757</v>
      </c>
      <c r="H94" s="60">
        <v>0.33333333333333331</v>
      </c>
      <c r="I94" s="67"/>
      <c r="J94" s="61"/>
      <c r="K94" s="61"/>
      <c r="L94" s="61"/>
      <c r="M94" s="61"/>
      <c r="N94" s="61"/>
      <c r="O94" s="58" t="s">
        <v>48</v>
      </c>
      <c r="P94" s="58"/>
      <c r="Q94" s="13">
        <v>30</v>
      </c>
      <c r="R94" s="13">
        <v>1</v>
      </c>
      <c r="S94" s="13"/>
      <c r="T94" s="62"/>
      <c r="U94" s="13"/>
      <c r="V94" s="13"/>
      <c r="W94" s="13"/>
      <c r="X94" s="58"/>
      <c r="Y94" s="51">
        <f ca="1">Table29[[#This Row],[5/9/2025]]+2-TODAY()</f>
        <v>-485</v>
      </c>
      <c r="Z94" s="13">
        <f>IF(ISBLANK(Table29[[#This Row],[Roster Received By]]),1,0)</f>
        <v>1</v>
      </c>
      <c r="AA94" s="13">
        <f ca="1">IF(Table29[[#This Row],[5/5/2025]]&gt;TODAY(),1,)</f>
        <v>0</v>
      </c>
    </row>
    <row r="95" spans="1:27" s="65" customFormat="1" x14ac:dyDescent="0.25">
      <c r="A95" s="46"/>
      <c r="B95" s="58" t="s">
        <v>84</v>
      </c>
      <c r="C95" s="59" t="s">
        <v>333</v>
      </c>
      <c r="D95" s="59" t="s">
        <v>86</v>
      </c>
      <c r="E95" s="58" t="s">
        <v>118</v>
      </c>
      <c r="F95" s="61">
        <v>45785</v>
      </c>
      <c r="G95" s="61">
        <v>45785</v>
      </c>
      <c r="H95" s="60">
        <v>0.33333333333333331</v>
      </c>
      <c r="I95" s="60"/>
      <c r="J95" s="60"/>
      <c r="K95" s="60"/>
      <c r="L95" s="60"/>
      <c r="M95" s="60"/>
      <c r="N95" s="60"/>
      <c r="O95" s="58" t="s">
        <v>48</v>
      </c>
      <c r="P95" s="58"/>
      <c r="Q95" s="13">
        <v>30</v>
      </c>
      <c r="R95" s="13">
        <v>1</v>
      </c>
      <c r="S95" s="13"/>
      <c r="T95" s="62"/>
      <c r="U95" s="13"/>
      <c r="V95" s="13"/>
      <c r="W95" s="13"/>
      <c r="X95" s="58"/>
      <c r="Y95" s="51">
        <f ca="1">Table29[[#This Row],[5/9/2025]]+2-TODAY()</f>
        <v>-457</v>
      </c>
      <c r="Z95" s="13">
        <f>IF(ISBLANK(Table29[[#This Row],[Roster Received By]]),1,0)</f>
        <v>1</v>
      </c>
      <c r="AA95" s="13">
        <f ca="1">IF(Table29[[#This Row],[5/5/2025]]&gt;TODAY(),1,)</f>
        <v>0</v>
      </c>
    </row>
    <row r="96" spans="1:27" s="65" customFormat="1" x14ac:dyDescent="0.25">
      <c r="A96" s="58"/>
      <c r="B96" s="58" t="s">
        <v>84</v>
      </c>
      <c r="C96" s="59" t="s">
        <v>333</v>
      </c>
      <c r="D96" s="59" t="s">
        <v>86</v>
      </c>
      <c r="E96" s="58" t="s">
        <v>130</v>
      </c>
      <c r="F96" s="61">
        <v>45792</v>
      </c>
      <c r="G96" s="61">
        <v>45792</v>
      </c>
      <c r="H96" s="60">
        <v>0.33333333333333331</v>
      </c>
      <c r="I96" s="60"/>
      <c r="J96" s="61"/>
      <c r="K96" s="61"/>
      <c r="L96" s="61"/>
      <c r="M96" s="61"/>
      <c r="N96" s="61"/>
      <c r="O96" s="58" t="s">
        <v>48</v>
      </c>
      <c r="P96" s="58"/>
      <c r="Q96" s="13">
        <v>30</v>
      </c>
      <c r="R96" s="13">
        <v>1</v>
      </c>
      <c r="S96" s="13"/>
      <c r="T96" s="62"/>
      <c r="U96" s="13"/>
      <c r="V96" s="13"/>
      <c r="W96" s="13"/>
      <c r="X96" s="58"/>
      <c r="Y96" s="51">
        <f ca="1">Table29[[#This Row],[5/9/2025]]+2-TODAY()</f>
        <v>-450</v>
      </c>
      <c r="Z96" s="13">
        <f>IF(ISBLANK(Table29[[#This Row],[Roster Received By]]),1,0)</f>
        <v>1</v>
      </c>
      <c r="AA96" s="13">
        <f ca="1">IF(Table29[[#This Row],[5/5/2025]]&gt;TODAY(),1,)</f>
        <v>0</v>
      </c>
    </row>
    <row r="97" spans="1:27" s="65" customFormat="1" x14ac:dyDescent="0.25">
      <c r="A97" s="46" t="s">
        <v>336</v>
      </c>
      <c r="B97" s="58" t="s">
        <v>84</v>
      </c>
      <c r="C97" s="59" t="s">
        <v>333</v>
      </c>
      <c r="D97" s="59" t="s">
        <v>86</v>
      </c>
      <c r="E97" s="58" t="s">
        <v>54</v>
      </c>
      <c r="F97" s="61">
        <v>45818</v>
      </c>
      <c r="G97" s="61">
        <v>45818</v>
      </c>
      <c r="H97" s="60"/>
      <c r="I97" s="136">
        <v>0.79166666666666663</v>
      </c>
      <c r="J97" s="64"/>
      <c r="K97" s="64"/>
      <c r="L97" s="64"/>
      <c r="M97" s="98"/>
      <c r="N97" s="60">
        <v>0.33333333333333331</v>
      </c>
      <c r="O97" s="58" t="s">
        <v>48</v>
      </c>
      <c r="P97" s="58"/>
      <c r="Q97" s="13">
        <v>30</v>
      </c>
      <c r="R97" s="13">
        <v>1</v>
      </c>
      <c r="S97" s="13"/>
      <c r="T97" s="62"/>
      <c r="U97" s="13"/>
      <c r="V97" s="13"/>
      <c r="W97" s="13"/>
      <c r="X97" s="58"/>
      <c r="Y97" s="51">
        <f ca="1">Table29[[#This Row],[5/9/2025]]+2-TODAY()</f>
        <v>-424</v>
      </c>
      <c r="Z97" s="13">
        <f>IF(ISBLANK(Table29[[#This Row],[Roster Received By]]),1,0)</f>
        <v>1</v>
      </c>
      <c r="AA97" s="13">
        <f ca="1">IF(Table29[[#This Row],[5/5/2025]]&gt;TODAY(),1,)</f>
        <v>0</v>
      </c>
    </row>
    <row r="98" spans="1:27" s="65" customFormat="1" x14ac:dyDescent="0.25">
      <c r="A98" s="46"/>
      <c r="B98" s="58" t="s">
        <v>84</v>
      </c>
      <c r="C98" s="59" t="s">
        <v>333</v>
      </c>
      <c r="D98" s="59" t="s">
        <v>86</v>
      </c>
      <c r="E98" s="58" t="s">
        <v>116</v>
      </c>
      <c r="F98" s="61">
        <v>45820</v>
      </c>
      <c r="G98" s="61">
        <v>45820</v>
      </c>
      <c r="H98" s="60">
        <v>0.33333333333333331</v>
      </c>
      <c r="I98" s="60"/>
      <c r="J98" s="60"/>
      <c r="K98" s="60"/>
      <c r="L98" s="60"/>
      <c r="M98" s="60"/>
      <c r="N98" s="60"/>
      <c r="O98" s="58" t="s">
        <v>48</v>
      </c>
      <c r="P98" s="58"/>
      <c r="Q98" s="13">
        <v>30</v>
      </c>
      <c r="R98" s="13">
        <v>1</v>
      </c>
      <c r="S98" s="13"/>
      <c r="T98" s="62"/>
      <c r="U98" s="13"/>
      <c r="V98" s="13"/>
      <c r="W98" s="13"/>
      <c r="X98" s="58"/>
      <c r="Y98" s="51">
        <f ca="1">Table29[[#This Row],[5/9/2025]]+2-TODAY()</f>
        <v>-422</v>
      </c>
      <c r="Z98" s="13">
        <f>IF(ISBLANK(Table29[[#This Row],[Roster Received By]]),1,0)</f>
        <v>1</v>
      </c>
      <c r="AA98" s="13">
        <f ca="1">IF(Table29[[#This Row],[5/5/2025]]&gt;TODAY(),1,)</f>
        <v>0</v>
      </c>
    </row>
    <row r="99" spans="1:27" s="65" customFormat="1" x14ac:dyDescent="0.25">
      <c r="A99" s="46"/>
      <c r="B99" s="58" t="s">
        <v>84</v>
      </c>
      <c r="C99" s="59" t="s">
        <v>333</v>
      </c>
      <c r="D99" s="59" t="s">
        <v>86</v>
      </c>
      <c r="E99" s="58" t="s">
        <v>81</v>
      </c>
      <c r="F99" s="61">
        <v>45855</v>
      </c>
      <c r="G99" s="61">
        <v>45855</v>
      </c>
      <c r="H99" s="60">
        <v>0.33333333333333331</v>
      </c>
      <c r="I99" s="60"/>
      <c r="J99" s="61"/>
      <c r="K99" s="61"/>
      <c r="L99" s="61"/>
      <c r="M99" s="61"/>
      <c r="N99" s="61"/>
      <c r="O99" s="58" t="s">
        <v>48</v>
      </c>
      <c r="P99" s="58"/>
      <c r="Q99" s="13">
        <v>30</v>
      </c>
      <c r="R99" s="13">
        <v>1</v>
      </c>
      <c r="S99" s="62"/>
      <c r="T99" s="62"/>
      <c r="U99" s="13"/>
      <c r="V99" s="13"/>
      <c r="W99" s="13"/>
      <c r="X99" s="58"/>
      <c r="Y99" s="51">
        <f ca="1">Table29[[#This Row],[5/9/2025]]+2-TODAY()</f>
        <v>-387</v>
      </c>
      <c r="Z99" s="13">
        <f>IF(ISBLANK(Table29[[#This Row],[Roster Received By]]),1,0)</f>
        <v>1</v>
      </c>
      <c r="AA99" s="13">
        <f ca="1">IF(Table29[[#This Row],[5/5/2025]]&gt;TODAY(),1,)</f>
        <v>0</v>
      </c>
    </row>
    <row r="100" spans="1:27" s="65" customFormat="1" x14ac:dyDescent="0.25">
      <c r="A100" s="46"/>
      <c r="B100" s="58" t="s">
        <v>84</v>
      </c>
      <c r="C100" s="59" t="s">
        <v>333</v>
      </c>
      <c r="D100" s="59" t="s">
        <v>86</v>
      </c>
      <c r="E100" s="47" t="s">
        <v>75</v>
      </c>
      <c r="F100" s="61">
        <v>45862</v>
      </c>
      <c r="G100" s="61">
        <v>45862</v>
      </c>
      <c r="H100" s="60">
        <v>0.33333333333333331</v>
      </c>
      <c r="I100" s="64"/>
      <c r="J100" s="60"/>
      <c r="K100" s="64"/>
      <c r="L100" s="64"/>
      <c r="M100" s="64"/>
      <c r="N100" s="64"/>
      <c r="O100" s="58" t="s">
        <v>48</v>
      </c>
      <c r="P100" s="58"/>
      <c r="Q100" s="13">
        <v>30</v>
      </c>
      <c r="R100" s="13">
        <v>1</v>
      </c>
      <c r="S100" s="13"/>
      <c r="T100" s="62"/>
      <c r="U100" s="13"/>
      <c r="V100" s="13"/>
      <c r="W100" s="13"/>
      <c r="X100" s="58"/>
      <c r="Y100" s="51">
        <f ca="1">Table29[[#This Row],[5/9/2025]]+2-TODAY()</f>
        <v>-380</v>
      </c>
      <c r="Z100" s="13">
        <f>IF(ISBLANK(Table29[[#This Row],[Roster Received By]]),1,0)</f>
        <v>1</v>
      </c>
      <c r="AA100" s="13">
        <f ca="1">IF(Table29[[#This Row],[5/5/2025]]&gt;TODAY(),1,)</f>
        <v>0</v>
      </c>
    </row>
    <row r="101" spans="1:27" s="65" customFormat="1" x14ac:dyDescent="0.25">
      <c r="A101" s="58" t="s">
        <v>335</v>
      </c>
      <c r="B101" s="58" t="s">
        <v>84</v>
      </c>
      <c r="C101" s="59" t="s">
        <v>333</v>
      </c>
      <c r="D101" s="59" t="s">
        <v>86</v>
      </c>
      <c r="E101" s="58" t="s">
        <v>54</v>
      </c>
      <c r="F101" s="61">
        <v>45873</v>
      </c>
      <c r="G101" s="61">
        <v>45873</v>
      </c>
      <c r="H101" s="60"/>
      <c r="I101" s="67">
        <v>0.45833333333333331</v>
      </c>
      <c r="J101" s="60">
        <v>0.33333333333333331</v>
      </c>
      <c r="K101" s="61"/>
      <c r="L101" s="61"/>
      <c r="M101" s="61"/>
      <c r="N101" s="61"/>
      <c r="O101" s="58" t="s">
        <v>48</v>
      </c>
      <c r="P101" s="58"/>
      <c r="Q101" s="13">
        <v>30</v>
      </c>
      <c r="R101" s="13">
        <v>1</v>
      </c>
      <c r="S101" s="13"/>
      <c r="T101" s="62"/>
      <c r="U101" s="13"/>
      <c r="V101" s="13"/>
      <c r="W101" s="13"/>
      <c r="X101" s="58"/>
      <c r="Y101" s="51">
        <f ca="1">Table29[[#This Row],[5/9/2025]]+2-TODAY()</f>
        <v>-369</v>
      </c>
      <c r="Z101" s="13">
        <f>IF(ISBLANK(Table29[[#This Row],[Roster Received By]]),1,0)</f>
        <v>1</v>
      </c>
      <c r="AA101" s="13">
        <f ca="1">IF(Table29[[#This Row],[5/5/2025]]&gt;TODAY(),1,)</f>
        <v>0</v>
      </c>
    </row>
    <row r="102" spans="1:27" s="65" customFormat="1" x14ac:dyDescent="0.25">
      <c r="A102" s="59"/>
      <c r="B102" s="58" t="s">
        <v>84</v>
      </c>
      <c r="C102" s="59" t="s">
        <v>333</v>
      </c>
      <c r="D102" s="59" t="s">
        <v>86</v>
      </c>
      <c r="E102" s="58" t="s">
        <v>130</v>
      </c>
      <c r="F102" s="49">
        <v>45876</v>
      </c>
      <c r="G102" s="49">
        <v>45876</v>
      </c>
      <c r="H102" s="60">
        <v>0.33333333333333331</v>
      </c>
      <c r="I102" s="64"/>
      <c r="J102" s="64"/>
      <c r="K102" s="64"/>
      <c r="L102" s="64"/>
      <c r="M102" s="60"/>
      <c r="N102" s="64"/>
      <c r="O102" s="58" t="s">
        <v>48</v>
      </c>
      <c r="P102" s="58"/>
      <c r="Q102" s="13">
        <v>30</v>
      </c>
      <c r="R102" s="13">
        <v>1</v>
      </c>
      <c r="S102" s="13"/>
      <c r="T102" s="62"/>
      <c r="U102" s="13"/>
      <c r="V102" s="13"/>
      <c r="W102" s="62"/>
      <c r="X102" s="58"/>
      <c r="Y102" s="51">
        <f ca="1">Table29[[#This Row],[5/9/2025]]+2-TODAY()</f>
        <v>-366</v>
      </c>
      <c r="Z102" s="13">
        <f>IF(ISBLANK(Table29[[#This Row],[Roster Received By]]),1,0)</f>
        <v>1</v>
      </c>
      <c r="AA102" s="13">
        <f ca="1">IF(Table29[[#This Row],[5/5/2025]]&gt;TODAY(),1,)</f>
        <v>0</v>
      </c>
    </row>
    <row r="103" spans="1:27" s="65" customFormat="1" x14ac:dyDescent="0.25">
      <c r="A103" s="46"/>
      <c r="B103" s="58" t="s">
        <v>84</v>
      </c>
      <c r="C103" s="59" t="s">
        <v>333</v>
      </c>
      <c r="D103" s="59" t="s">
        <v>86</v>
      </c>
      <c r="E103" s="58" t="s">
        <v>51</v>
      </c>
      <c r="F103" s="49">
        <v>45890</v>
      </c>
      <c r="G103" s="49">
        <v>45890</v>
      </c>
      <c r="H103" s="60">
        <v>0.33333333333333331</v>
      </c>
      <c r="I103" s="64"/>
      <c r="J103" s="60"/>
      <c r="K103" s="64"/>
      <c r="L103" s="64"/>
      <c r="M103" s="64"/>
      <c r="N103" s="64"/>
      <c r="O103" s="58" t="s">
        <v>48</v>
      </c>
      <c r="P103" s="58"/>
      <c r="Q103" s="13">
        <v>30</v>
      </c>
      <c r="R103" s="13">
        <v>1</v>
      </c>
      <c r="S103" s="13"/>
      <c r="T103" s="62"/>
      <c r="U103" s="13"/>
      <c r="V103" s="13"/>
      <c r="W103" s="13"/>
      <c r="X103" s="58"/>
      <c r="Y103" s="51">
        <f ca="1">Table29[[#This Row],[5/9/2025]]+2-TODAY()</f>
        <v>-352</v>
      </c>
      <c r="Z103" s="13">
        <f>IF(ISBLANK(Table29[[#This Row],[Roster Received By]]),1,0)</f>
        <v>1</v>
      </c>
      <c r="AA103" s="13">
        <f ca="1">IF(Table29[[#This Row],[5/5/2025]]&gt;TODAY(),1,)</f>
        <v>0</v>
      </c>
    </row>
    <row r="104" spans="1:27" s="94" customFormat="1" x14ac:dyDescent="0.25">
      <c r="A104" s="46"/>
      <c r="B104" s="58" t="s">
        <v>84</v>
      </c>
      <c r="C104" s="59" t="s">
        <v>333</v>
      </c>
      <c r="D104" s="59" t="s">
        <v>86</v>
      </c>
      <c r="E104" s="58" t="s">
        <v>46</v>
      </c>
      <c r="F104" s="61">
        <v>45905</v>
      </c>
      <c r="G104" s="61">
        <v>45905</v>
      </c>
      <c r="H104" s="60">
        <v>0.33333333333333331</v>
      </c>
      <c r="I104" s="64"/>
      <c r="J104" s="61"/>
      <c r="K104" s="61"/>
      <c r="L104" s="61"/>
      <c r="M104" s="61"/>
      <c r="N104" s="61"/>
      <c r="O104" s="58" t="s">
        <v>48</v>
      </c>
      <c r="P104" s="58"/>
      <c r="Q104" s="62">
        <v>30</v>
      </c>
      <c r="R104" s="63">
        <v>1</v>
      </c>
      <c r="S104" s="62"/>
      <c r="T104" s="62"/>
      <c r="U104" s="13"/>
      <c r="V104" s="13"/>
      <c r="W104" s="13"/>
      <c r="X104" s="58"/>
      <c r="Y104" s="51">
        <f ca="1">Table29[[#This Row],[5/9/2025]]+2-TODAY()</f>
        <v>-337</v>
      </c>
      <c r="Z104" s="13">
        <f>IF(ISBLANK(Table29[[#This Row],[Roster Received By]]),1,0)</f>
        <v>1</v>
      </c>
      <c r="AA104" s="13">
        <f ca="1">IF(Table29[[#This Row],[5/5/2025]]&gt;TODAY(),1,)</f>
        <v>0</v>
      </c>
    </row>
    <row r="105" spans="1:27" s="65" customFormat="1" x14ac:dyDescent="0.25">
      <c r="A105" s="46"/>
      <c r="B105" s="58" t="s">
        <v>84</v>
      </c>
      <c r="C105" s="59" t="s">
        <v>333</v>
      </c>
      <c r="D105" s="59" t="s">
        <v>86</v>
      </c>
      <c r="E105" s="58" t="s">
        <v>125</v>
      </c>
      <c r="F105" s="61">
        <v>45911</v>
      </c>
      <c r="G105" s="61">
        <v>45911</v>
      </c>
      <c r="H105" s="60">
        <v>0.33333333333333331</v>
      </c>
      <c r="I105" s="64"/>
      <c r="J105" s="64"/>
      <c r="K105" s="64"/>
      <c r="L105" s="64"/>
      <c r="M105" s="64"/>
      <c r="N105" s="64"/>
      <c r="O105" s="58" t="s">
        <v>48</v>
      </c>
      <c r="P105" s="58"/>
      <c r="Q105" s="13">
        <v>30</v>
      </c>
      <c r="R105" s="13">
        <v>1</v>
      </c>
      <c r="S105" s="13"/>
      <c r="T105" s="62"/>
      <c r="U105" s="13"/>
      <c r="V105" s="13"/>
      <c r="W105" s="13"/>
      <c r="X105" s="58"/>
      <c r="Y105" s="51">
        <f ca="1">Table29[[#This Row],[5/9/2025]]+2-TODAY()</f>
        <v>-331</v>
      </c>
      <c r="Z105" s="13">
        <f>IF(ISBLANK(Table29[[#This Row],[Roster Received By]]),1,0)</f>
        <v>1</v>
      </c>
      <c r="AA105" s="13">
        <f ca="1">IF(Table29[[#This Row],[5/5/2025]]&gt;TODAY(),1,)</f>
        <v>0</v>
      </c>
    </row>
    <row r="106" spans="1:27" s="46" customFormat="1" x14ac:dyDescent="0.25">
      <c r="A106" s="58" t="s">
        <v>334</v>
      </c>
      <c r="B106" s="58" t="s">
        <v>84</v>
      </c>
      <c r="C106" s="59" t="s">
        <v>333</v>
      </c>
      <c r="D106" s="59" t="s">
        <v>86</v>
      </c>
      <c r="E106" s="58" t="s">
        <v>54</v>
      </c>
      <c r="F106" s="61">
        <v>45923</v>
      </c>
      <c r="G106" s="61">
        <v>45923</v>
      </c>
      <c r="H106" s="60"/>
      <c r="I106" s="64">
        <v>8.3333333333333329E-2</v>
      </c>
      <c r="J106" s="60"/>
      <c r="K106" s="60"/>
      <c r="L106" s="60">
        <v>0.33333333333333331</v>
      </c>
      <c r="M106" s="60"/>
      <c r="N106" s="60"/>
      <c r="O106" s="58" t="s">
        <v>48</v>
      </c>
      <c r="P106" s="58"/>
      <c r="Q106" s="13">
        <v>30</v>
      </c>
      <c r="R106" s="13">
        <v>1</v>
      </c>
      <c r="S106" s="13"/>
      <c r="T106" s="62"/>
      <c r="U106" s="13"/>
      <c r="V106" s="13"/>
      <c r="W106" s="13"/>
      <c r="X106" s="58"/>
      <c r="Y106" s="51">
        <f ca="1">Table29[[#This Row],[5/9/2025]]+2-TODAY()</f>
        <v>-319</v>
      </c>
      <c r="Z106" s="13">
        <f>IF(ISBLANK(Table29[[#This Row],[Roster Received By]]),1,0)</f>
        <v>1</v>
      </c>
      <c r="AA106" s="13">
        <f ca="1">IF(Table29[[#This Row],[5/5/2025]]&gt;TODAY(),1,)</f>
        <v>0</v>
      </c>
    </row>
    <row r="107" spans="1:27" s="46" customFormat="1" x14ac:dyDescent="0.25">
      <c r="B107" s="58" t="s">
        <v>337</v>
      </c>
      <c r="C107" s="59" t="s">
        <v>338</v>
      </c>
      <c r="D107" s="59" t="s">
        <v>339</v>
      </c>
      <c r="E107" s="58" t="s">
        <v>81</v>
      </c>
      <c r="F107" s="61">
        <v>45678</v>
      </c>
      <c r="G107" s="61">
        <v>45679</v>
      </c>
      <c r="H107" s="60">
        <v>0.33333333333333331</v>
      </c>
      <c r="I107" s="60"/>
      <c r="J107" s="60"/>
      <c r="K107" s="60"/>
      <c r="L107" s="60"/>
      <c r="M107" s="60"/>
      <c r="N107" s="60"/>
      <c r="O107" s="58" t="s">
        <v>48</v>
      </c>
      <c r="P107" s="58"/>
      <c r="Q107" s="13">
        <v>30</v>
      </c>
      <c r="R107" s="13">
        <v>2</v>
      </c>
      <c r="S107" s="13"/>
      <c r="T107" s="62"/>
      <c r="U107" s="13"/>
      <c r="V107" s="13"/>
      <c r="W107" s="13"/>
      <c r="X107" s="58"/>
      <c r="Y107" s="51">
        <f ca="1">Table29[[#This Row],[5/9/2025]]+2-TODAY()</f>
        <v>-563</v>
      </c>
      <c r="Z107" s="13">
        <f>IF(ISBLANK(Table29[[#This Row],[Roster Received By]]),1,0)</f>
        <v>1</v>
      </c>
      <c r="AA107" s="13">
        <f ca="1">IF(Table29[[#This Row],[5/5/2025]]&gt;TODAY(),1,)</f>
        <v>0</v>
      </c>
    </row>
    <row r="108" spans="1:27" s="46" customFormat="1" x14ac:dyDescent="0.25">
      <c r="A108" s="46" t="s">
        <v>331</v>
      </c>
      <c r="B108" s="58" t="s">
        <v>337</v>
      </c>
      <c r="C108" s="59" t="s">
        <v>338</v>
      </c>
      <c r="D108" s="59" t="s">
        <v>339</v>
      </c>
      <c r="E108" s="58" t="s">
        <v>297</v>
      </c>
      <c r="F108" s="61">
        <v>45691</v>
      </c>
      <c r="G108" s="61">
        <v>45692</v>
      </c>
      <c r="H108" s="60">
        <v>0.33333333333333331</v>
      </c>
      <c r="I108" s="60"/>
      <c r="J108" s="60"/>
      <c r="K108" s="60"/>
      <c r="L108" s="60"/>
      <c r="M108" s="60"/>
      <c r="N108" s="60"/>
      <c r="O108" s="58" t="s">
        <v>48</v>
      </c>
      <c r="P108" s="58"/>
      <c r="Q108" s="13">
        <v>30</v>
      </c>
      <c r="R108" s="13">
        <v>2</v>
      </c>
      <c r="S108" s="13"/>
      <c r="T108" s="62"/>
      <c r="U108" s="13"/>
      <c r="V108" s="13"/>
      <c r="W108" s="13"/>
      <c r="X108" s="58"/>
      <c r="Y108" s="51">
        <f ca="1">Table29[[#This Row],[5/9/2025]]+2-TODAY()</f>
        <v>-550</v>
      </c>
      <c r="Z108" s="13">
        <f>IF(ISBLANK(Table29[[#This Row],[Roster Received By]]),1,0)</f>
        <v>1</v>
      </c>
      <c r="AA108" s="13">
        <f ca="1">IF(Table29[[#This Row],[5/5/2025]]&gt;TODAY(),1,)</f>
        <v>0</v>
      </c>
    </row>
    <row r="109" spans="1:27" s="46" customFormat="1" x14ac:dyDescent="0.25">
      <c r="B109" s="58" t="s">
        <v>337</v>
      </c>
      <c r="C109" s="59" t="s">
        <v>338</v>
      </c>
      <c r="D109" s="59" t="s">
        <v>339</v>
      </c>
      <c r="E109" s="58" t="s">
        <v>183</v>
      </c>
      <c r="F109" s="61">
        <v>45726</v>
      </c>
      <c r="G109" s="61">
        <v>45727</v>
      </c>
      <c r="H109" s="60">
        <v>0.33333333333333331</v>
      </c>
      <c r="I109" s="60"/>
      <c r="J109" s="60"/>
      <c r="K109" s="60"/>
      <c r="L109" s="60"/>
      <c r="M109" s="60"/>
      <c r="N109" s="60"/>
      <c r="O109" s="58" t="s">
        <v>48</v>
      </c>
      <c r="P109" s="58"/>
      <c r="Q109" s="13">
        <v>30</v>
      </c>
      <c r="R109" s="13">
        <v>2</v>
      </c>
      <c r="S109" s="13"/>
      <c r="T109" s="62"/>
      <c r="U109" s="13"/>
      <c r="V109" s="13"/>
      <c r="W109" s="13"/>
      <c r="X109" s="58"/>
      <c r="Y109" s="51">
        <f ca="1">Table29[[#This Row],[5/9/2025]]+2-TODAY()</f>
        <v>-515</v>
      </c>
      <c r="Z109" s="13">
        <f>IF(ISBLANK(Table29[[#This Row],[Roster Received By]]),1,0)</f>
        <v>1</v>
      </c>
      <c r="AA109" s="13">
        <f ca="1">IF(Table29[[#This Row],[5/5/2025]]&gt;TODAY(),1,)</f>
        <v>0</v>
      </c>
    </row>
    <row r="110" spans="1:27" s="46" customFormat="1" x14ac:dyDescent="0.25">
      <c r="A110" s="58"/>
      <c r="B110" s="58" t="s">
        <v>337</v>
      </c>
      <c r="C110" s="59" t="s">
        <v>338</v>
      </c>
      <c r="D110" s="59" t="s">
        <v>339</v>
      </c>
      <c r="E110" s="58" t="s">
        <v>51</v>
      </c>
      <c r="F110" s="61">
        <v>45733</v>
      </c>
      <c r="G110" s="61">
        <v>45734</v>
      </c>
      <c r="H110" s="60">
        <v>0.33333333333333331</v>
      </c>
      <c r="I110" s="60"/>
      <c r="J110" s="60"/>
      <c r="K110" s="60"/>
      <c r="L110" s="60"/>
      <c r="M110" s="60"/>
      <c r="N110" s="60"/>
      <c r="O110" s="58" t="s">
        <v>48</v>
      </c>
      <c r="P110" s="58"/>
      <c r="Q110" s="13">
        <v>30</v>
      </c>
      <c r="R110" s="13">
        <v>2</v>
      </c>
      <c r="S110" s="13"/>
      <c r="T110" s="62"/>
      <c r="U110" s="13"/>
      <c r="V110" s="13"/>
      <c r="W110" s="13"/>
      <c r="X110" s="58"/>
      <c r="Y110" s="51">
        <f ca="1">Table29[[#This Row],[5/9/2025]]+2-TODAY()</f>
        <v>-508</v>
      </c>
      <c r="Z110" s="13">
        <f>IF(ISBLANK(Table29[[#This Row],[Roster Received By]]),1,0)</f>
        <v>1</v>
      </c>
      <c r="AA110" s="13">
        <f ca="1">IF(Table29[[#This Row],[5/5/2025]]&gt;TODAY(),1,)</f>
        <v>0</v>
      </c>
    </row>
    <row r="111" spans="1:27" s="46" customFormat="1" x14ac:dyDescent="0.25">
      <c r="B111" s="58" t="s">
        <v>337</v>
      </c>
      <c r="C111" s="59" t="s">
        <v>338</v>
      </c>
      <c r="D111" s="59" t="s">
        <v>339</v>
      </c>
      <c r="E111" s="58" t="s">
        <v>300</v>
      </c>
      <c r="F111" s="61">
        <v>45754</v>
      </c>
      <c r="G111" s="61">
        <v>45755</v>
      </c>
      <c r="H111" s="60">
        <v>0.33333333333333331</v>
      </c>
      <c r="I111" s="64"/>
      <c r="J111" s="61"/>
      <c r="K111" s="61"/>
      <c r="L111" s="61"/>
      <c r="M111" s="61"/>
      <c r="N111" s="61"/>
      <c r="O111" s="58" t="s">
        <v>48</v>
      </c>
      <c r="P111" s="58"/>
      <c r="Q111" s="13">
        <v>30</v>
      </c>
      <c r="R111" s="13">
        <v>2</v>
      </c>
      <c r="S111" s="13"/>
      <c r="T111" s="62"/>
      <c r="U111" s="13"/>
      <c r="V111" s="13"/>
      <c r="W111" s="13"/>
      <c r="X111" s="58"/>
      <c r="Y111" s="51">
        <f ca="1">Table29[[#This Row],[5/9/2025]]+2-TODAY()</f>
        <v>-487</v>
      </c>
      <c r="Z111" s="13">
        <f>IF(ISBLANK(Table29[[#This Row],[Roster Received By]]),1,0)</f>
        <v>1</v>
      </c>
      <c r="AA111" s="13">
        <f ca="1">IF(Table29[[#This Row],[5/5/2025]]&gt;TODAY(),1,)</f>
        <v>0</v>
      </c>
    </row>
    <row r="112" spans="1:27" s="46" customFormat="1" x14ac:dyDescent="0.25">
      <c r="B112" s="58" t="s">
        <v>337</v>
      </c>
      <c r="C112" s="59" t="s">
        <v>338</v>
      </c>
      <c r="D112" s="59" t="s">
        <v>339</v>
      </c>
      <c r="E112" s="47" t="s">
        <v>75</v>
      </c>
      <c r="F112" s="49">
        <v>45761</v>
      </c>
      <c r="G112" s="49">
        <v>45762</v>
      </c>
      <c r="H112" s="60">
        <v>0.33333333333333331</v>
      </c>
      <c r="I112" s="60"/>
      <c r="J112" s="61"/>
      <c r="K112" s="61"/>
      <c r="L112" s="61"/>
      <c r="M112" s="61"/>
      <c r="N112" s="61"/>
      <c r="O112" s="58" t="s">
        <v>48</v>
      </c>
      <c r="P112" s="58"/>
      <c r="Q112" s="13">
        <v>30</v>
      </c>
      <c r="R112" s="13">
        <v>2</v>
      </c>
      <c r="S112" s="13"/>
      <c r="T112" s="62"/>
      <c r="U112" s="13"/>
      <c r="V112" s="13"/>
      <c r="W112" s="13"/>
      <c r="X112" s="58"/>
      <c r="Y112" s="51">
        <f ca="1">Table29[[#This Row],[5/9/2025]]+2-TODAY()</f>
        <v>-480</v>
      </c>
      <c r="Z112" s="13">
        <f>IF(ISBLANK(Table29[[#This Row],[Roster Received By]]),1,0)</f>
        <v>1</v>
      </c>
      <c r="AA112" s="13">
        <f ca="1">IF(Table29[[#This Row],[5/5/2025]]&gt;TODAY(),1,)</f>
        <v>0</v>
      </c>
    </row>
    <row r="113" spans="1:27" s="46" customFormat="1" ht="15.75" thickBot="1" x14ac:dyDescent="0.3">
      <c r="A113" s="137"/>
      <c r="B113" s="102" t="s">
        <v>337</v>
      </c>
      <c r="C113" s="59" t="s">
        <v>338</v>
      </c>
      <c r="D113" s="59" t="s">
        <v>339</v>
      </c>
      <c r="E113" s="70" t="s">
        <v>78</v>
      </c>
      <c r="F113" s="49">
        <v>45782</v>
      </c>
      <c r="G113" s="49">
        <v>45783</v>
      </c>
      <c r="H113" s="60">
        <v>0.33333333333333331</v>
      </c>
      <c r="I113" s="67" t="s">
        <v>340</v>
      </c>
      <c r="J113" s="104"/>
      <c r="K113" s="104"/>
      <c r="L113" s="104"/>
      <c r="M113" s="104"/>
      <c r="N113" s="104"/>
      <c r="O113" s="58" t="s">
        <v>48</v>
      </c>
      <c r="P113" s="58"/>
      <c r="Q113" s="13">
        <v>30</v>
      </c>
      <c r="R113" s="13">
        <v>2</v>
      </c>
      <c r="S113" s="138"/>
      <c r="T113" s="62"/>
      <c r="U113" s="13"/>
      <c r="V113" s="13"/>
      <c r="W113" s="13"/>
      <c r="X113" s="58"/>
      <c r="Y113" s="51">
        <f ca="1">Table29[[#This Row],[5/9/2025]]+2-TODAY()</f>
        <v>-459</v>
      </c>
      <c r="Z113" s="13">
        <f>IF(ISBLANK(Table29[[#This Row],[Roster Received By]]),1,0)</f>
        <v>1</v>
      </c>
      <c r="AA113" s="13">
        <f ca="1">IF(Table29[[#This Row],[5/5/2025]]&gt;TODAY(),1,)</f>
        <v>0</v>
      </c>
    </row>
    <row r="114" spans="1:27" s="46" customFormat="1" ht="15.75" thickTop="1" x14ac:dyDescent="0.25">
      <c r="B114" s="58" t="s">
        <v>337</v>
      </c>
      <c r="C114" s="59" t="s">
        <v>338</v>
      </c>
      <c r="D114" s="59" t="s">
        <v>339</v>
      </c>
      <c r="E114" s="58" t="s">
        <v>83</v>
      </c>
      <c r="F114" s="133">
        <v>45845</v>
      </c>
      <c r="G114" s="133">
        <v>45846</v>
      </c>
      <c r="H114" s="60">
        <v>0.33333333333333331</v>
      </c>
      <c r="I114" s="60"/>
      <c r="J114" s="60"/>
      <c r="K114" s="60"/>
      <c r="L114" s="60"/>
      <c r="M114" s="60"/>
      <c r="N114" s="60"/>
      <c r="O114" s="58" t="s">
        <v>48</v>
      </c>
      <c r="P114" s="58"/>
      <c r="Q114" s="13">
        <v>30</v>
      </c>
      <c r="R114" s="13">
        <v>2</v>
      </c>
      <c r="S114" s="13"/>
      <c r="T114" s="62"/>
      <c r="U114" s="13"/>
      <c r="V114" s="13"/>
      <c r="W114" s="59"/>
      <c r="X114" s="58"/>
      <c r="Y114" s="51">
        <f ca="1">Table29[[#This Row],[5/9/2025]]+2-TODAY()</f>
        <v>-396</v>
      </c>
      <c r="Z114" s="13">
        <f>IF(ISBLANK(Table29[[#This Row],[Roster Received By]]),1,0)</f>
        <v>1</v>
      </c>
      <c r="AA114" s="13">
        <f ca="1">IF(Table29[[#This Row],[5/5/2025]]&gt;TODAY(),1,)</f>
        <v>0</v>
      </c>
    </row>
    <row r="115" spans="1:27" x14ac:dyDescent="0.25">
      <c r="A115" s="46"/>
      <c r="B115" s="58" t="s">
        <v>337</v>
      </c>
      <c r="C115" s="59" t="s">
        <v>338</v>
      </c>
      <c r="D115" s="59" t="s">
        <v>339</v>
      </c>
      <c r="E115" s="58" t="s">
        <v>303</v>
      </c>
      <c r="F115" s="61">
        <v>45880</v>
      </c>
      <c r="G115" s="61">
        <v>45881</v>
      </c>
      <c r="H115" s="60">
        <v>0.33333333333333331</v>
      </c>
      <c r="I115" s="60"/>
      <c r="J115" s="60"/>
      <c r="K115" s="60"/>
      <c r="L115" s="60"/>
      <c r="M115" s="60"/>
      <c r="N115" s="60"/>
      <c r="O115" s="58" t="s">
        <v>48</v>
      </c>
      <c r="P115" s="58"/>
      <c r="Q115" s="13">
        <v>30</v>
      </c>
      <c r="R115" s="13">
        <v>2</v>
      </c>
      <c r="S115" s="13"/>
      <c r="T115" s="62"/>
      <c r="U115" s="13"/>
      <c r="V115" s="13"/>
      <c r="W115" s="63"/>
      <c r="X115" s="58"/>
      <c r="Y115" s="51">
        <f ca="1">Table29[[#This Row],[5/9/2025]]+2-TODAY()</f>
        <v>-361</v>
      </c>
      <c r="Z115" s="13">
        <f>IF(ISBLANK(Table29[[#This Row],[Roster Received By]]),1,0)</f>
        <v>1</v>
      </c>
      <c r="AA115" s="13">
        <f ca="1">IF(Table29[[#This Row],[5/5/2025]]&gt;TODAY(),1,)</f>
        <v>0</v>
      </c>
    </row>
    <row r="116" spans="1:27" x14ac:dyDescent="0.25">
      <c r="A116" s="46" t="s">
        <v>331</v>
      </c>
      <c r="B116" s="58" t="s">
        <v>341</v>
      </c>
      <c r="C116" s="59" t="s">
        <v>342</v>
      </c>
      <c r="D116" s="59" t="s">
        <v>343</v>
      </c>
      <c r="E116" s="58" t="s">
        <v>297</v>
      </c>
      <c r="F116" s="61">
        <v>45693</v>
      </c>
      <c r="G116" s="61">
        <v>45693</v>
      </c>
      <c r="H116" s="60">
        <v>0.33333333333333331</v>
      </c>
      <c r="I116" s="64"/>
      <c r="J116" s="61"/>
      <c r="K116" s="61"/>
      <c r="L116" s="61"/>
      <c r="M116" s="61"/>
      <c r="N116" s="61"/>
      <c r="O116" s="58" t="s">
        <v>48</v>
      </c>
      <c r="P116" s="58"/>
      <c r="Q116" s="13">
        <v>30</v>
      </c>
      <c r="R116" s="13">
        <v>1</v>
      </c>
      <c r="S116" s="13"/>
      <c r="T116" s="62"/>
      <c r="U116" s="13"/>
      <c r="V116" s="13"/>
      <c r="W116" s="13"/>
      <c r="X116" s="58"/>
      <c r="Y116" s="51">
        <f ca="1">Table29[[#This Row],[5/9/2025]]+2-TODAY()</f>
        <v>-549</v>
      </c>
      <c r="Z116" s="13">
        <f>IF(ISBLANK(Table29[[#This Row],[Roster Received By]]),1,0)</f>
        <v>1</v>
      </c>
      <c r="AA116" s="13">
        <f ca="1">IF(Table29[[#This Row],[5/5/2025]]&gt;TODAY(),1,)</f>
        <v>0</v>
      </c>
    </row>
    <row r="117" spans="1:27" x14ac:dyDescent="0.25">
      <c r="A117" s="46"/>
      <c r="B117" s="58" t="s">
        <v>341</v>
      </c>
      <c r="C117" s="59" t="s">
        <v>342</v>
      </c>
      <c r="D117" s="59" t="s">
        <v>343</v>
      </c>
      <c r="E117" s="58" t="s">
        <v>183</v>
      </c>
      <c r="F117" s="61">
        <v>45728</v>
      </c>
      <c r="G117" s="61">
        <v>45728</v>
      </c>
      <c r="H117" s="60">
        <v>0.33333333333333331</v>
      </c>
      <c r="I117" s="60"/>
      <c r="J117" s="60"/>
      <c r="K117" s="60"/>
      <c r="L117" s="60"/>
      <c r="M117" s="60"/>
      <c r="N117" s="60"/>
      <c r="O117" s="58" t="s">
        <v>48</v>
      </c>
      <c r="P117" s="58"/>
      <c r="Q117" s="13">
        <v>30</v>
      </c>
      <c r="R117" s="13">
        <v>1</v>
      </c>
      <c r="S117" s="13"/>
      <c r="T117" s="62"/>
      <c r="U117" s="13"/>
      <c r="V117" s="13"/>
      <c r="W117" s="13"/>
      <c r="X117" s="58"/>
      <c r="Y117" s="51">
        <f ca="1">Table29[[#This Row],[5/9/2025]]+2-TODAY()</f>
        <v>-514</v>
      </c>
      <c r="Z117" s="13">
        <f>IF(ISBLANK(Table29[[#This Row],[Roster Received By]]),1,0)</f>
        <v>1</v>
      </c>
      <c r="AA117" s="13">
        <f ca="1">IF(Table29[[#This Row],[5/5/2025]]&gt;TODAY(),1,)</f>
        <v>0</v>
      </c>
    </row>
    <row r="118" spans="1:27" x14ac:dyDescent="0.25">
      <c r="A118" s="46"/>
      <c r="B118" s="58" t="s">
        <v>341</v>
      </c>
      <c r="C118" s="59" t="s">
        <v>342</v>
      </c>
      <c r="D118" s="59" t="s">
        <v>343</v>
      </c>
      <c r="E118" s="58" t="s">
        <v>300</v>
      </c>
      <c r="F118" s="61">
        <v>45756</v>
      </c>
      <c r="G118" s="61">
        <v>45756</v>
      </c>
      <c r="H118" s="60">
        <v>0.33333333333333331</v>
      </c>
      <c r="I118" s="60"/>
      <c r="J118" s="60"/>
      <c r="K118" s="60"/>
      <c r="L118" s="60"/>
      <c r="M118" s="60"/>
      <c r="N118" s="60"/>
      <c r="O118" s="58" t="s">
        <v>48</v>
      </c>
      <c r="P118" s="58"/>
      <c r="Q118" s="13">
        <v>30</v>
      </c>
      <c r="R118" s="13">
        <v>1</v>
      </c>
      <c r="S118" s="13"/>
      <c r="T118" s="62"/>
      <c r="U118" s="13"/>
      <c r="V118" s="13"/>
      <c r="W118" s="13"/>
      <c r="X118" s="58"/>
      <c r="Y118" s="51">
        <f ca="1">Table29[[#This Row],[5/9/2025]]+2-TODAY()</f>
        <v>-486</v>
      </c>
      <c r="Z118" s="13">
        <f>IF(ISBLANK(Table29[[#This Row],[Roster Received By]]),1,0)</f>
        <v>1</v>
      </c>
      <c r="AA118" s="13">
        <f ca="1">IF(Table29[[#This Row],[5/5/2025]]&gt;TODAY(),1,)</f>
        <v>0</v>
      </c>
    </row>
    <row r="119" spans="1:27" x14ac:dyDescent="0.25">
      <c r="A119" s="46"/>
      <c r="B119" s="58" t="s">
        <v>341</v>
      </c>
      <c r="C119" s="59" t="s">
        <v>342</v>
      </c>
      <c r="D119" s="59" t="s">
        <v>343</v>
      </c>
      <c r="E119" s="58" t="s">
        <v>75</v>
      </c>
      <c r="F119" s="61">
        <v>45763</v>
      </c>
      <c r="G119" s="61">
        <v>45763</v>
      </c>
      <c r="H119" s="60">
        <v>0.33333333333333331</v>
      </c>
      <c r="I119" s="64"/>
      <c r="J119" s="61"/>
      <c r="K119" s="61"/>
      <c r="L119" s="61"/>
      <c r="M119" s="61"/>
      <c r="N119" s="61"/>
      <c r="O119" s="58" t="s">
        <v>48</v>
      </c>
      <c r="P119" s="58"/>
      <c r="Q119" s="13">
        <v>30</v>
      </c>
      <c r="R119" s="13">
        <v>1</v>
      </c>
      <c r="S119" s="13"/>
      <c r="T119" s="62"/>
      <c r="U119" s="13"/>
      <c r="V119" s="13"/>
      <c r="W119" s="13"/>
      <c r="X119" s="58"/>
      <c r="Y119" s="51">
        <f ca="1">Table29[[#This Row],[5/9/2025]]+2-TODAY()</f>
        <v>-479</v>
      </c>
      <c r="Z119" s="13">
        <f>IF(ISBLANK(Table29[[#This Row],[Roster Received By]]),1,0)</f>
        <v>1</v>
      </c>
      <c r="AA119" s="13">
        <f ca="1">IF(Table29[[#This Row],[5/5/2025]]&gt;TODAY(),1,)</f>
        <v>0</v>
      </c>
    </row>
    <row r="120" spans="1:27" x14ac:dyDescent="0.25">
      <c r="A120" s="58"/>
      <c r="B120" s="58" t="s">
        <v>341</v>
      </c>
      <c r="C120" s="59" t="s">
        <v>342</v>
      </c>
      <c r="D120" s="59" t="s">
        <v>343</v>
      </c>
      <c r="E120" s="58" t="s">
        <v>78</v>
      </c>
      <c r="F120" s="61">
        <v>45784</v>
      </c>
      <c r="G120" s="61">
        <v>45784</v>
      </c>
      <c r="H120" s="60">
        <v>0.33333333333333331</v>
      </c>
      <c r="I120" s="60"/>
      <c r="J120" s="60"/>
      <c r="K120" s="60"/>
      <c r="L120" s="60"/>
      <c r="M120" s="60"/>
      <c r="N120" s="60"/>
      <c r="O120" s="58" t="s">
        <v>48</v>
      </c>
      <c r="P120" s="58"/>
      <c r="Q120" s="13">
        <v>30</v>
      </c>
      <c r="R120" s="13">
        <v>1</v>
      </c>
      <c r="S120" s="13"/>
      <c r="T120" s="62"/>
      <c r="U120" s="13"/>
      <c r="V120" s="13"/>
      <c r="W120" s="13"/>
      <c r="X120" s="58"/>
      <c r="Y120" s="51">
        <f ca="1">Table29[[#This Row],[5/9/2025]]+2-TODAY()</f>
        <v>-458</v>
      </c>
      <c r="Z120" s="13">
        <f>IF(ISBLANK(Table29[[#This Row],[Roster Received By]]),1,0)</f>
        <v>1</v>
      </c>
      <c r="AA120" s="13">
        <f ca="1">IF(Table29[[#This Row],[5/5/2025]]&gt;TODAY(),1,)</f>
        <v>0</v>
      </c>
    </row>
    <row r="121" spans="1:27" x14ac:dyDescent="0.25">
      <c r="A121" s="46"/>
      <c r="B121" s="58" t="s">
        <v>341</v>
      </c>
      <c r="C121" s="59" t="s">
        <v>342</v>
      </c>
      <c r="D121" s="59" t="s">
        <v>343</v>
      </c>
      <c r="E121" s="58" t="s">
        <v>103</v>
      </c>
      <c r="F121" s="133">
        <v>45811</v>
      </c>
      <c r="G121" s="133">
        <v>45811</v>
      </c>
      <c r="H121" s="60">
        <v>0.33333333333333331</v>
      </c>
      <c r="I121" s="64"/>
      <c r="J121" s="61"/>
      <c r="K121" s="61"/>
      <c r="L121" s="61"/>
      <c r="M121" s="61"/>
      <c r="N121" s="61"/>
      <c r="O121" s="58" t="s">
        <v>48</v>
      </c>
      <c r="P121" s="58"/>
      <c r="Q121" s="13">
        <v>30</v>
      </c>
      <c r="R121" s="13">
        <v>1</v>
      </c>
      <c r="S121" s="13"/>
      <c r="T121" s="62"/>
      <c r="U121" s="13"/>
      <c r="V121" s="13"/>
      <c r="W121" s="13"/>
      <c r="X121" s="58"/>
      <c r="Y121" s="51">
        <f ca="1">Table29[[#This Row],[5/9/2025]]+2-TODAY()</f>
        <v>-431</v>
      </c>
      <c r="Z121" s="13">
        <f>IF(ISBLANK(Table29[[#This Row],[Roster Received By]]),1,0)</f>
        <v>1</v>
      </c>
      <c r="AA121" s="13">
        <f ca="1">IF(Table29[[#This Row],[5/5/2025]]&gt;TODAY(),1,)</f>
        <v>0</v>
      </c>
    </row>
    <row r="122" spans="1:27" x14ac:dyDescent="0.25">
      <c r="A122" s="46"/>
      <c r="B122" s="58" t="s">
        <v>341</v>
      </c>
      <c r="C122" s="59" t="s">
        <v>342</v>
      </c>
      <c r="D122" s="59" t="s">
        <v>343</v>
      </c>
      <c r="E122" s="100" t="s">
        <v>125</v>
      </c>
      <c r="F122" s="139">
        <v>45813</v>
      </c>
      <c r="G122" s="139">
        <v>45813</v>
      </c>
      <c r="H122" s="60">
        <v>0.33333333333333331</v>
      </c>
      <c r="I122" s="64"/>
      <c r="J122" s="61"/>
      <c r="K122" s="61"/>
      <c r="L122" s="61"/>
      <c r="M122" s="61"/>
      <c r="N122" s="61"/>
      <c r="O122" s="58" t="s">
        <v>48</v>
      </c>
      <c r="P122" s="58"/>
      <c r="Q122" s="13">
        <v>30</v>
      </c>
      <c r="R122" s="13">
        <v>1</v>
      </c>
      <c r="S122" s="13"/>
      <c r="T122" s="62"/>
      <c r="U122" s="13"/>
      <c r="V122" s="13"/>
      <c r="W122" s="59"/>
      <c r="X122" s="58"/>
      <c r="Y122" s="51">
        <f ca="1">Table29[[#This Row],[5/9/2025]]+2-TODAY()</f>
        <v>-429</v>
      </c>
      <c r="Z122" s="13">
        <f>IF(ISBLANK(Table29[[#This Row],[Roster Received By]]),1,0)</f>
        <v>1</v>
      </c>
      <c r="AA122" s="13">
        <f ca="1">IF(Table29[[#This Row],[5/5/2025]]&gt;TODAY(),1,)</f>
        <v>0</v>
      </c>
    </row>
    <row r="123" spans="1:27" x14ac:dyDescent="0.25">
      <c r="A123" s="46"/>
      <c r="B123" s="58" t="s">
        <v>341</v>
      </c>
      <c r="C123" s="59" t="s">
        <v>342</v>
      </c>
      <c r="D123" s="59" t="s">
        <v>343</v>
      </c>
      <c r="E123" s="58" t="s">
        <v>130</v>
      </c>
      <c r="F123" s="133">
        <v>45817</v>
      </c>
      <c r="G123" s="133">
        <v>45817</v>
      </c>
      <c r="H123" s="60">
        <v>0.33333333333333331</v>
      </c>
      <c r="I123" s="60"/>
      <c r="J123" s="60"/>
      <c r="K123" s="60"/>
      <c r="L123" s="60"/>
      <c r="M123" s="60"/>
      <c r="N123" s="60"/>
      <c r="O123" s="58" t="s">
        <v>48</v>
      </c>
      <c r="P123" s="58"/>
      <c r="Q123" s="13">
        <v>30</v>
      </c>
      <c r="R123" s="13">
        <v>1</v>
      </c>
      <c r="S123" s="13"/>
      <c r="T123" s="62"/>
      <c r="U123" s="13"/>
      <c r="V123" s="13"/>
      <c r="W123" s="13"/>
      <c r="X123" s="58"/>
      <c r="Y123" s="51">
        <f ca="1">Table29[[#This Row],[5/9/2025]]+2-TODAY()</f>
        <v>-425</v>
      </c>
      <c r="Z123" s="13">
        <f>IF(ISBLANK(Table29[[#This Row],[Roster Received By]]),1,0)</f>
        <v>1</v>
      </c>
      <c r="AA123" s="13">
        <f ca="1">IF(Table29[[#This Row],[5/5/2025]]&gt;TODAY(),1,)</f>
        <v>0</v>
      </c>
    </row>
    <row r="124" spans="1:27" x14ac:dyDescent="0.25">
      <c r="A124" s="46"/>
      <c r="B124" s="58" t="s">
        <v>341</v>
      </c>
      <c r="C124" s="59" t="s">
        <v>342</v>
      </c>
      <c r="D124" s="59" t="s">
        <v>343</v>
      </c>
      <c r="E124" s="58" t="s">
        <v>112</v>
      </c>
      <c r="F124" s="61">
        <v>45838</v>
      </c>
      <c r="G124" s="61">
        <v>45838</v>
      </c>
      <c r="H124" s="60">
        <v>0.33333333333333331</v>
      </c>
      <c r="I124" s="64"/>
      <c r="J124" s="61"/>
      <c r="K124" s="61"/>
      <c r="L124" s="61"/>
      <c r="M124" s="61"/>
      <c r="N124" s="61"/>
      <c r="O124" s="58" t="s">
        <v>48</v>
      </c>
      <c r="P124" s="58"/>
      <c r="Q124" s="13">
        <v>30</v>
      </c>
      <c r="R124" s="13">
        <v>1</v>
      </c>
      <c r="S124" s="13"/>
      <c r="T124" s="62"/>
      <c r="U124" s="13"/>
      <c r="V124" s="13"/>
      <c r="W124" s="13"/>
      <c r="X124" s="58"/>
      <c r="Y124" s="51">
        <f ca="1">Table29[[#This Row],[5/9/2025]]+2-TODAY()</f>
        <v>-404</v>
      </c>
      <c r="Z124" s="13">
        <f>IF(ISBLANK(Table29[[#This Row],[Roster Received By]]),1,0)</f>
        <v>1</v>
      </c>
      <c r="AA124" s="13">
        <f ca="1">IF(Table29[[#This Row],[5/5/2025]]&gt;TODAY(),1,)</f>
        <v>0</v>
      </c>
    </row>
    <row r="125" spans="1:27" x14ac:dyDescent="0.25">
      <c r="A125" s="46"/>
      <c r="B125" s="58" t="s">
        <v>341</v>
      </c>
      <c r="C125" s="59" t="s">
        <v>342</v>
      </c>
      <c r="D125" s="59" t="s">
        <v>343</v>
      </c>
      <c r="E125" s="58" t="s">
        <v>76</v>
      </c>
      <c r="F125" s="133">
        <v>45845</v>
      </c>
      <c r="G125" s="133">
        <v>45845</v>
      </c>
      <c r="H125" s="60">
        <v>0.33333333333333331</v>
      </c>
      <c r="I125" s="64"/>
      <c r="J125" s="64"/>
      <c r="K125" s="64"/>
      <c r="L125" s="64"/>
      <c r="M125" s="64"/>
      <c r="N125" s="61"/>
      <c r="O125" s="58" t="s">
        <v>48</v>
      </c>
      <c r="P125" s="58"/>
      <c r="Q125" s="13">
        <v>30</v>
      </c>
      <c r="R125" s="13">
        <v>1</v>
      </c>
      <c r="S125" s="13"/>
      <c r="T125" s="62"/>
      <c r="U125" s="13"/>
      <c r="V125" s="13"/>
      <c r="W125" s="13"/>
      <c r="X125" s="58"/>
      <c r="Y125" s="51">
        <f ca="1">Table29[[#This Row],[5/9/2025]]+2-TODAY()</f>
        <v>-397</v>
      </c>
      <c r="Z125" s="13">
        <f>IF(ISBLANK(Table29[[#This Row],[Roster Received By]]),1,0)</f>
        <v>1</v>
      </c>
      <c r="AA125" s="13">
        <f ca="1">IF(Table29[[#This Row],[5/5/2025]]&gt;TODAY(),1,)</f>
        <v>0</v>
      </c>
    </row>
    <row r="126" spans="1:27" x14ac:dyDescent="0.25">
      <c r="A126" s="46"/>
      <c r="B126" s="58" t="s">
        <v>341</v>
      </c>
      <c r="C126" s="59" t="s">
        <v>342</v>
      </c>
      <c r="D126" s="59" t="s">
        <v>343</v>
      </c>
      <c r="E126" s="47" t="s">
        <v>74</v>
      </c>
      <c r="F126" s="49">
        <v>45847</v>
      </c>
      <c r="G126" s="49">
        <v>45847</v>
      </c>
      <c r="H126" s="60">
        <v>0.33333333333333331</v>
      </c>
      <c r="I126" s="60"/>
      <c r="J126" s="61"/>
      <c r="K126" s="61"/>
      <c r="L126" s="61"/>
      <c r="M126" s="61"/>
      <c r="N126" s="61"/>
      <c r="O126" s="58" t="s">
        <v>48</v>
      </c>
      <c r="P126" s="58"/>
      <c r="Q126" s="13">
        <v>30</v>
      </c>
      <c r="R126" s="13">
        <v>1</v>
      </c>
      <c r="S126" s="13"/>
      <c r="T126" s="62"/>
      <c r="U126" s="13"/>
      <c r="V126" s="13"/>
      <c r="W126" s="13"/>
      <c r="X126" s="58"/>
      <c r="Y126" s="51">
        <f ca="1">Table29[[#This Row],[5/9/2025]]+2-TODAY()</f>
        <v>-395</v>
      </c>
      <c r="Z126" s="13">
        <f>IF(ISBLANK(Table29[[#This Row],[Roster Received By]]),1,0)</f>
        <v>1</v>
      </c>
      <c r="AA126" s="13">
        <f ca="1">IF(Table29[[#This Row],[5/5/2025]]&gt;TODAY(),1,)</f>
        <v>0</v>
      </c>
    </row>
    <row r="127" spans="1:27" x14ac:dyDescent="0.25">
      <c r="A127" s="46"/>
      <c r="B127" s="58" t="s">
        <v>341</v>
      </c>
      <c r="C127" s="59" t="s">
        <v>342</v>
      </c>
      <c r="D127" s="59" t="s">
        <v>343</v>
      </c>
      <c r="E127" s="58" t="s">
        <v>127</v>
      </c>
      <c r="F127" s="139">
        <v>45873</v>
      </c>
      <c r="G127" s="139">
        <v>45873</v>
      </c>
      <c r="H127" s="60">
        <v>0.33333333333333331</v>
      </c>
      <c r="I127" s="60"/>
      <c r="J127" s="60"/>
      <c r="K127" s="60"/>
      <c r="L127" s="60"/>
      <c r="M127" s="60"/>
      <c r="N127" s="60"/>
      <c r="O127" s="58" t="s">
        <v>48</v>
      </c>
      <c r="P127" s="58"/>
      <c r="Q127" s="13">
        <v>30</v>
      </c>
      <c r="R127" s="13">
        <v>1</v>
      </c>
      <c r="S127" s="13"/>
      <c r="T127" s="62"/>
      <c r="U127" s="13"/>
      <c r="V127" s="13"/>
      <c r="W127" s="13"/>
      <c r="X127" s="58"/>
      <c r="Y127" s="51">
        <f ca="1">Table29[[#This Row],[5/9/2025]]+2-TODAY()</f>
        <v>-369</v>
      </c>
      <c r="Z127" s="13">
        <f>IF(ISBLANK(Table29[[#This Row],[Roster Received By]]),1,0)</f>
        <v>1</v>
      </c>
      <c r="AA127" s="13">
        <f ca="1">IF(Table29[[#This Row],[5/5/2025]]&gt;TODAY(),1,)</f>
        <v>0</v>
      </c>
    </row>
    <row r="128" spans="1:27" x14ac:dyDescent="0.25">
      <c r="A128" s="46"/>
      <c r="B128" s="58" t="s">
        <v>341</v>
      </c>
      <c r="C128" s="59" t="s">
        <v>342</v>
      </c>
      <c r="D128" s="59" t="s">
        <v>343</v>
      </c>
      <c r="E128" s="58" t="s">
        <v>46</v>
      </c>
      <c r="F128" s="61">
        <v>45875</v>
      </c>
      <c r="G128" s="61">
        <v>45875</v>
      </c>
      <c r="H128" s="60">
        <v>0.33333333333333331</v>
      </c>
      <c r="I128" s="64"/>
      <c r="J128" s="64"/>
      <c r="K128" s="64"/>
      <c r="L128" s="64"/>
      <c r="M128" s="64"/>
      <c r="N128" s="61"/>
      <c r="O128" s="58" t="s">
        <v>48</v>
      </c>
      <c r="P128" s="58"/>
      <c r="Q128" s="13">
        <v>30</v>
      </c>
      <c r="R128" s="13">
        <v>1</v>
      </c>
      <c r="S128" s="13"/>
      <c r="T128" s="62"/>
      <c r="U128" s="13"/>
      <c r="V128" s="13"/>
      <c r="W128" s="13"/>
      <c r="X128" s="58"/>
      <c r="Y128" s="51">
        <f ca="1">Table29[[#This Row],[5/9/2025]]+2-TODAY()</f>
        <v>-367</v>
      </c>
      <c r="Z128" s="13">
        <f>IF(ISBLANK(Table29[[#This Row],[Roster Received By]]),1,0)</f>
        <v>1</v>
      </c>
      <c r="AA128" s="13">
        <f ca="1">IF(Table29[[#This Row],[5/5/2025]]&gt;TODAY(),1,)</f>
        <v>0</v>
      </c>
    </row>
    <row r="129" spans="1:27" x14ac:dyDescent="0.25">
      <c r="A129" s="46"/>
      <c r="B129" s="58" t="s">
        <v>341</v>
      </c>
      <c r="C129" s="59" t="s">
        <v>342</v>
      </c>
      <c r="D129" s="59" t="s">
        <v>343</v>
      </c>
      <c r="E129" s="58" t="s">
        <v>129</v>
      </c>
      <c r="F129" s="61">
        <v>45883</v>
      </c>
      <c r="G129" s="61">
        <v>45883</v>
      </c>
      <c r="H129" s="60">
        <v>0.33333333333333331</v>
      </c>
      <c r="I129" s="64"/>
      <c r="J129" s="61"/>
      <c r="K129" s="61"/>
      <c r="L129" s="61"/>
      <c r="M129" s="61"/>
      <c r="N129" s="61"/>
      <c r="O129" s="58" t="s">
        <v>48</v>
      </c>
      <c r="P129" s="58"/>
      <c r="Q129" s="13">
        <v>30</v>
      </c>
      <c r="R129" s="13">
        <v>1</v>
      </c>
      <c r="S129" s="13"/>
      <c r="T129" s="62"/>
      <c r="U129" s="13"/>
      <c r="V129" s="13"/>
      <c r="W129" s="13"/>
      <c r="X129" s="58"/>
      <c r="Y129" s="51">
        <f ca="1">Table29[[#This Row],[5/9/2025]]+2-TODAY()</f>
        <v>-359</v>
      </c>
      <c r="Z129" s="13">
        <f>IF(ISBLANK(Table29[[#This Row],[Roster Received By]]),1,0)</f>
        <v>1</v>
      </c>
      <c r="AA129" s="13">
        <f ca="1">IF(Table29[[#This Row],[5/5/2025]]&gt;TODAY(),1,)</f>
        <v>0</v>
      </c>
    </row>
    <row r="130" spans="1:27" x14ac:dyDescent="0.25">
      <c r="A130" s="46"/>
      <c r="B130" s="58" t="s">
        <v>341</v>
      </c>
      <c r="C130" s="59" t="s">
        <v>342</v>
      </c>
      <c r="D130" s="59" t="s">
        <v>343</v>
      </c>
      <c r="E130" s="58" t="s">
        <v>114</v>
      </c>
      <c r="F130" s="61">
        <v>45894</v>
      </c>
      <c r="G130" s="61">
        <v>45894</v>
      </c>
      <c r="H130" s="60">
        <v>0.33333333333333331</v>
      </c>
      <c r="I130" s="60"/>
      <c r="J130" s="60"/>
      <c r="K130" s="60"/>
      <c r="L130" s="60"/>
      <c r="M130" s="60"/>
      <c r="N130" s="60"/>
      <c r="O130" s="58" t="s">
        <v>48</v>
      </c>
      <c r="P130" s="58"/>
      <c r="Q130" s="13">
        <v>30</v>
      </c>
      <c r="R130" s="13">
        <v>1</v>
      </c>
      <c r="S130" s="13"/>
      <c r="T130" s="62"/>
      <c r="U130" s="13"/>
      <c r="V130" s="13"/>
      <c r="W130" s="13"/>
      <c r="X130" s="58"/>
      <c r="Y130" s="51">
        <f ca="1">Table29[[#This Row],[5/9/2025]]+2-TODAY()</f>
        <v>-348</v>
      </c>
      <c r="Z130" s="13">
        <f>IF(ISBLANK(Table29[[#This Row],[Roster Received By]]),1,0)</f>
        <v>1</v>
      </c>
      <c r="AA130" s="13">
        <f ca="1">IF(Table29[[#This Row],[5/5/2025]]&gt;TODAY(),1,)</f>
        <v>0</v>
      </c>
    </row>
    <row r="131" spans="1:27" x14ac:dyDescent="0.25">
      <c r="A131" s="46"/>
      <c r="B131" s="58" t="s">
        <v>344</v>
      </c>
      <c r="C131" s="59" t="s">
        <v>345</v>
      </c>
      <c r="D131" s="59" t="s">
        <v>346</v>
      </c>
      <c r="E131" s="58" t="s">
        <v>81</v>
      </c>
      <c r="F131" s="61">
        <v>45680</v>
      </c>
      <c r="G131" s="61">
        <v>45680</v>
      </c>
      <c r="H131" s="60">
        <v>0.33333333333333331</v>
      </c>
      <c r="I131" s="60"/>
      <c r="J131" s="60"/>
      <c r="K131" s="60"/>
      <c r="L131" s="60"/>
      <c r="M131" s="60"/>
      <c r="N131" s="60"/>
      <c r="O131" s="58" t="s">
        <v>48</v>
      </c>
      <c r="P131" s="58"/>
      <c r="Q131" s="13">
        <v>30</v>
      </c>
      <c r="R131" s="13">
        <v>1</v>
      </c>
      <c r="S131" s="13"/>
      <c r="T131" s="62"/>
      <c r="U131" s="13"/>
      <c r="V131" s="13"/>
      <c r="W131" s="13"/>
      <c r="X131" s="58"/>
      <c r="Y131" s="51">
        <f ca="1">Table29[[#This Row],[5/9/2025]]+2-TODAY()</f>
        <v>-562</v>
      </c>
      <c r="Z131" s="13">
        <f>IF(ISBLANK(Table29[[#This Row],[Roster Received By]]),1,0)</f>
        <v>1</v>
      </c>
      <c r="AA131" s="13">
        <f ca="1">IF(Table29[[#This Row],[5/5/2025]]&gt;TODAY(),1,)</f>
        <v>0</v>
      </c>
    </row>
    <row r="132" spans="1:27" x14ac:dyDescent="0.25">
      <c r="A132" s="46" t="s">
        <v>331</v>
      </c>
      <c r="B132" s="58" t="s">
        <v>344</v>
      </c>
      <c r="C132" s="59" t="s">
        <v>345</v>
      </c>
      <c r="D132" s="59" t="s">
        <v>346</v>
      </c>
      <c r="E132" s="58" t="s">
        <v>297</v>
      </c>
      <c r="F132" s="61">
        <v>45694</v>
      </c>
      <c r="G132" s="61">
        <v>45694</v>
      </c>
      <c r="H132" s="60">
        <v>0.33333333333333331</v>
      </c>
      <c r="I132" s="60"/>
      <c r="J132" s="60"/>
      <c r="K132" s="60"/>
      <c r="L132" s="60"/>
      <c r="M132" s="60"/>
      <c r="N132" s="60"/>
      <c r="O132" s="58" t="s">
        <v>48</v>
      </c>
      <c r="P132" s="58"/>
      <c r="Q132" s="13">
        <v>30</v>
      </c>
      <c r="R132" s="13">
        <v>1</v>
      </c>
      <c r="S132" s="13"/>
      <c r="T132" s="62"/>
      <c r="U132" s="13"/>
      <c r="V132" s="13"/>
      <c r="W132" s="13"/>
      <c r="X132" s="58"/>
      <c r="Y132" s="51">
        <f ca="1">Table29[[#This Row],[5/9/2025]]+2-TODAY()</f>
        <v>-548</v>
      </c>
      <c r="Z132" s="13">
        <f>IF(ISBLANK(Table29[[#This Row],[Roster Received By]]),1,0)</f>
        <v>1</v>
      </c>
      <c r="AA132" s="13">
        <f ca="1">IF(Table29[[#This Row],[5/5/2025]]&gt;TODAY(),1,)</f>
        <v>0</v>
      </c>
    </row>
    <row r="133" spans="1:27" x14ac:dyDescent="0.25">
      <c r="A133" t="s">
        <v>347</v>
      </c>
      <c r="B133" s="58" t="s">
        <v>344</v>
      </c>
      <c r="C133" s="59" t="s">
        <v>345</v>
      </c>
      <c r="D133" s="59" t="s">
        <v>346</v>
      </c>
      <c r="E133" s="71" t="s">
        <v>126</v>
      </c>
      <c r="F133" s="61">
        <v>45698</v>
      </c>
      <c r="G133" s="61">
        <v>45698</v>
      </c>
      <c r="H133" s="60">
        <v>0.33333333333333331</v>
      </c>
      <c r="I133" s="60"/>
      <c r="J133" s="60"/>
      <c r="K133" s="60"/>
      <c r="L133" s="60"/>
      <c r="M133" s="60"/>
      <c r="N133" s="60"/>
      <c r="O133" s="58" t="s">
        <v>48</v>
      </c>
      <c r="P133" s="58"/>
      <c r="Q133" s="13">
        <v>30</v>
      </c>
      <c r="R133" s="13">
        <v>1</v>
      </c>
      <c r="S133" s="13"/>
      <c r="T133" s="62"/>
      <c r="U133" s="13"/>
      <c r="V133" s="13"/>
      <c r="W133" s="13"/>
      <c r="X133" s="58"/>
      <c r="Y133" s="51">
        <f ca="1">Table29[[#This Row],[5/9/2025]]+2-TODAY()</f>
        <v>-544</v>
      </c>
      <c r="Z133" s="13">
        <f>IF(ISBLANK(Table29[[#This Row],[Roster Received By]]),1,0)</f>
        <v>1</v>
      </c>
      <c r="AA133" s="13">
        <f ca="1">IF(Table29[[#This Row],[5/5/2025]]&gt;TODAY(),1,)</f>
        <v>0</v>
      </c>
    </row>
    <row r="134" spans="1:27" x14ac:dyDescent="0.25">
      <c r="A134" s="46"/>
      <c r="B134" s="58" t="s">
        <v>344</v>
      </c>
      <c r="C134" s="59" t="s">
        <v>345</v>
      </c>
      <c r="D134" s="59" t="s">
        <v>346</v>
      </c>
      <c r="E134" s="58" t="s">
        <v>183</v>
      </c>
      <c r="F134" s="61">
        <v>45729</v>
      </c>
      <c r="G134" s="61">
        <v>45729</v>
      </c>
      <c r="H134" s="60">
        <v>0.33333333333333331</v>
      </c>
      <c r="I134" s="64"/>
      <c r="J134" s="61"/>
      <c r="K134" s="61"/>
      <c r="L134" s="61"/>
      <c r="M134" s="61"/>
      <c r="N134" s="61"/>
      <c r="O134" s="58" t="s">
        <v>48</v>
      </c>
      <c r="P134" s="58"/>
      <c r="Q134" s="13">
        <v>30</v>
      </c>
      <c r="R134" s="13">
        <v>1</v>
      </c>
      <c r="S134" s="13"/>
      <c r="T134" s="62"/>
      <c r="U134" s="13"/>
      <c r="V134" s="13"/>
      <c r="W134" s="13"/>
      <c r="X134" s="58"/>
      <c r="Y134" s="51">
        <f ca="1">Table29[[#This Row],[5/9/2025]]+2-TODAY()</f>
        <v>-513</v>
      </c>
      <c r="Z134" s="13">
        <f>IF(ISBLANK(Table29[[#This Row],[Roster Received By]]),1,0)</f>
        <v>1</v>
      </c>
      <c r="AA134" s="13">
        <f ca="1">IF(Table29[[#This Row],[5/5/2025]]&gt;TODAY(),1,)</f>
        <v>0</v>
      </c>
    </row>
    <row r="135" spans="1:27" x14ac:dyDescent="0.25">
      <c r="A135" s="46"/>
      <c r="B135" s="58" t="s">
        <v>344</v>
      </c>
      <c r="C135" s="59" t="s">
        <v>345</v>
      </c>
      <c r="D135" s="59" t="s">
        <v>346</v>
      </c>
      <c r="E135" s="58" t="s">
        <v>51</v>
      </c>
      <c r="F135" s="61">
        <v>45735</v>
      </c>
      <c r="G135" s="61">
        <v>45735</v>
      </c>
      <c r="H135" s="60">
        <v>0.33333333333333331</v>
      </c>
      <c r="I135" s="64"/>
      <c r="J135" s="61"/>
      <c r="K135" s="61"/>
      <c r="L135" s="61"/>
      <c r="M135" s="61"/>
      <c r="N135" s="61"/>
      <c r="O135" s="58" t="s">
        <v>48</v>
      </c>
      <c r="P135" s="58"/>
      <c r="Q135" s="13">
        <v>30</v>
      </c>
      <c r="R135" s="13">
        <v>1</v>
      </c>
      <c r="S135" s="13"/>
      <c r="T135" s="62"/>
      <c r="U135" s="13"/>
      <c r="V135" s="13"/>
      <c r="W135" s="66"/>
      <c r="X135" s="58"/>
      <c r="Y135" s="51">
        <f ca="1">Table29[[#This Row],[5/9/2025]]+2-TODAY()</f>
        <v>-507</v>
      </c>
      <c r="Z135" s="13">
        <f>IF(ISBLANK(Table29[[#This Row],[Roster Received By]]),1,0)</f>
        <v>1</v>
      </c>
      <c r="AA135" s="13">
        <f ca="1">IF(Table29[[#This Row],[5/5/2025]]&gt;TODAY(),1,)</f>
        <v>0</v>
      </c>
    </row>
    <row r="136" spans="1:27" x14ac:dyDescent="0.25">
      <c r="A136" s="46"/>
      <c r="B136" s="58" t="s">
        <v>344</v>
      </c>
      <c r="C136" s="59" t="s">
        <v>345</v>
      </c>
      <c r="D136" s="59" t="s">
        <v>346</v>
      </c>
      <c r="E136" s="58" t="s">
        <v>300</v>
      </c>
      <c r="F136" s="61">
        <v>45757</v>
      </c>
      <c r="G136" s="61">
        <v>45757</v>
      </c>
      <c r="H136" s="60">
        <v>0.33333333333333331</v>
      </c>
      <c r="I136" s="60"/>
      <c r="J136" s="60"/>
      <c r="K136" s="60"/>
      <c r="L136" s="60"/>
      <c r="M136" s="60"/>
      <c r="N136" s="60"/>
      <c r="O136" s="58" t="s">
        <v>48</v>
      </c>
      <c r="P136" s="58"/>
      <c r="Q136" s="13">
        <v>30</v>
      </c>
      <c r="R136" s="13">
        <v>1</v>
      </c>
      <c r="S136" s="13"/>
      <c r="T136" s="62"/>
      <c r="U136" s="13"/>
      <c r="V136" s="13"/>
      <c r="W136" s="13"/>
      <c r="X136" s="58"/>
      <c r="Y136" s="51">
        <f ca="1">Table29[[#This Row],[5/9/2025]]+2-TODAY()</f>
        <v>-485</v>
      </c>
      <c r="Z136" s="13">
        <f>IF(ISBLANK(Table29[[#This Row],[Roster Received By]]),1,0)</f>
        <v>1</v>
      </c>
      <c r="AA136" s="13">
        <f ca="1">IF(Table29[[#This Row],[5/5/2025]]&gt;TODAY(),1,)</f>
        <v>0</v>
      </c>
    </row>
    <row r="137" spans="1:27" x14ac:dyDescent="0.25">
      <c r="A137" s="46"/>
      <c r="B137" s="58" t="s">
        <v>344</v>
      </c>
      <c r="C137" s="59" t="s">
        <v>345</v>
      </c>
      <c r="D137" s="59" t="s">
        <v>346</v>
      </c>
      <c r="E137" s="58" t="s">
        <v>75</v>
      </c>
      <c r="F137" s="61">
        <v>45764</v>
      </c>
      <c r="G137" s="61">
        <v>45764</v>
      </c>
      <c r="H137" s="60">
        <v>0.33333333333333331</v>
      </c>
      <c r="I137" s="60"/>
      <c r="J137" s="60"/>
      <c r="K137" s="60"/>
      <c r="L137" s="60"/>
      <c r="M137" s="60"/>
      <c r="N137" s="60"/>
      <c r="O137" s="58" t="s">
        <v>48</v>
      </c>
      <c r="P137" s="58"/>
      <c r="Q137" s="13">
        <v>30</v>
      </c>
      <c r="R137" s="13">
        <v>1</v>
      </c>
      <c r="S137" s="13"/>
      <c r="T137" s="62"/>
      <c r="U137" s="13"/>
      <c r="V137" s="13"/>
      <c r="W137" s="59"/>
      <c r="X137" s="58"/>
      <c r="Y137" s="51">
        <f ca="1">Table29[[#This Row],[5/9/2025]]+2-TODAY()</f>
        <v>-478</v>
      </c>
      <c r="Z137" s="13">
        <f>IF(ISBLANK(Table29[[#This Row],[Roster Received By]]),1,0)</f>
        <v>1</v>
      </c>
      <c r="AA137" s="13">
        <f ca="1">IF(Table29[[#This Row],[5/5/2025]]&gt;TODAY(),1,)</f>
        <v>0</v>
      </c>
    </row>
    <row r="138" spans="1:27" x14ac:dyDescent="0.25">
      <c r="A138" s="58"/>
      <c r="B138" s="58" t="s">
        <v>344</v>
      </c>
      <c r="C138" s="59" t="s">
        <v>345</v>
      </c>
      <c r="D138" s="59" t="s">
        <v>346</v>
      </c>
      <c r="E138" s="58" t="s">
        <v>78</v>
      </c>
      <c r="F138" s="61">
        <v>45785</v>
      </c>
      <c r="G138" s="61">
        <v>45785</v>
      </c>
      <c r="H138" s="60">
        <v>0.33333333333333331</v>
      </c>
      <c r="I138" s="64"/>
      <c r="J138" s="61"/>
      <c r="K138" s="61"/>
      <c r="L138" s="61"/>
      <c r="M138" s="61"/>
      <c r="N138" s="61"/>
      <c r="O138" s="58" t="s">
        <v>48</v>
      </c>
      <c r="P138" s="58"/>
      <c r="Q138" s="13">
        <v>30</v>
      </c>
      <c r="R138" s="13">
        <v>1</v>
      </c>
      <c r="S138" s="13"/>
      <c r="T138" s="62"/>
      <c r="U138" s="13"/>
      <c r="V138" s="13"/>
      <c r="W138" s="13"/>
      <c r="X138" s="58"/>
      <c r="Y138" s="51">
        <f ca="1">Table29[[#This Row],[5/9/2025]]+2-TODAY()</f>
        <v>-457</v>
      </c>
      <c r="Z138" s="13">
        <f>IF(ISBLANK(Table29[[#This Row],[Roster Received By]]),1,0)</f>
        <v>1</v>
      </c>
      <c r="AA138" s="13">
        <f ca="1">IF(Table29[[#This Row],[5/5/2025]]&gt;TODAY(),1,)</f>
        <v>0</v>
      </c>
    </row>
    <row r="139" spans="1:27" x14ac:dyDescent="0.25">
      <c r="A139" s="46"/>
      <c r="B139" s="58" t="s">
        <v>99</v>
      </c>
      <c r="C139" s="59" t="s">
        <v>348</v>
      </c>
      <c r="D139" s="59" t="s">
        <v>100</v>
      </c>
      <c r="E139" s="58" t="s">
        <v>81</v>
      </c>
      <c r="F139" s="133">
        <v>45681</v>
      </c>
      <c r="G139" s="133">
        <v>45681</v>
      </c>
      <c r="H139" s="60">
        <v>0.33333333333333331</v>
      </c>
      <c r="I139" s="60"/>
      <c r="J139" s="60"/>
      <c r="K139" s="60"/>
      <c r="L139" s="60"/>
      <c r="M139" s="60"/>
      <c r="N139" s="60"/>
      <c r="O139" s="58" t="s">
        <v>48</v>
      </c>
      <c r="P139" s="58"/>
      <c r="Q139" s="13">
        <v>30</v>
      </c>
      <c r="R139" s="13">
        <v>1</v>
      </c>
      <c r="S139" s="13"/>
      <c r="T139" s="62"/>
      <c r="U139" s="13"/>
      <c r="V139" s="13"/>
      <c r="W139" s="13"/>
      <c r="X139" s="58"/>
      <c r="Y139" s="51">
        <f ca="1">Table29[[#This Row],[5/9/2025]]+2-TODAY()</f>
        <v>-561</v>
      </c>
      <c r="Z139" s="13">
        <f>IF(ISBLANK(Table29[[#This Row],[Roster Received By]]),1,0)</f>
        <v>1</v>
      </c>
      <c r="AA139" s="13">
        <f ca="1">IF(Table29[[#This Row],[5/5/2025]]&gt;TODAY(),1,)</f>
        <v>0</v>
      </c>
    </row>
    <row r="140" spans="1:27" x14ac:dyDescent="0.25">
      <c r="A140" s="46" t="s">
        <v>331</v>
      </c>
      <c r="B140" s="58" t="s">
        <v>99</v>
      </c>
      <c r="C140" s="59" t="s">
        <v>348</v>
      </c>
      <c r="D140" s="59" t="s">
        <v>100</v>
      </c>
      <c r="E140" s="58" t="s">
        <v>297</v>
      </c>
      <c r="F140" s="61">
        <v>45695</v>
      </c>
      <c r="G140" s="61">
        <v>45695</v>
      </c>
      <c r="H140" s="60">
        <v>0.33333333333333331</v>
      </c>
      <c r="I140" s="60"/>
      <c r="J140" s="60"/>
      <c r="K140" s="60"/>
      <c r="L140" s="60"/>
      <c r="M140" s="60"/>
      <c r="N140" s="60"/>
      <c r="O140" s="58" t="s">
        <v>48</v>
      </c>
      <c r="P140" s="58"/>
      <c r="Q140" s="13">
        <v>30</v>
      </c>
      <c r="R140" s="13">
        <v>1</v>
      </c>
      <c r="S140" s="13"/>
      <c r="T140" s="62"/>
      <c r="U140" s="13"/>
      <c r="V140" s="13"/>
      <c r="W140" s="13"/>
      <c r="X140" s="58"/>
      <c r="Y140" s="51">
        <f ca="1">Table29[[#This Row],[5/9/2025]]+2-TODAY()</f>
        <v>-547</v>
      </c>
      <c r="Z140" s="13">
        <f>IF(ISBLANK(Table29[[#This Row],[Roster Received By]]),1,0)</f>
        <v>1</v>
      </c>
      <c r="AA140" s="13">
        <f ca="1">IF(Table29[[#This Row],[5/5/2025]]&gt;TODAY(),1,)</f>
        <v>0</v>
      </c>
    </row>
    <row r="141" spans="1:27" x14ac:dyDescent="0.25">
      <c r="A141" s="46" t="s">
        <v>347</v>
      </c>
      <c r="B141" s="58" t="s">
        <v>99</v>
      </c>
      <c r="C141" s="59" t="s">
        <v>348</v>
      </c>
      <c r="D141" s="59" t="s">
        <v>100</v>
      </c>
      <c r="E141" s="71" t="s">
        <v>126</v>
      </c>
      <c r="F141" s="49">
        <v>45699</v>
      </c>
      <c r="G141" s="49">
        <v>45699</v>
      </c>
      <c r="H141" s="60">
        <v>0.33333333333333331</v>
      </c>
      <c r="I141" s="64"/>
      <c r="J141" s="61"/>
      <c r="K141" s="61"/>
      <c r="L141" s="61"/>
      <c r="M141" s="61"/>
      <c r="N141" s="61"/>
      <c r="O141" s="58" t="s">
        <v>48</v>
      </c>
      <c r="P141" s="58"/>
      <c r="Q141" s="13">
        <v>30</v>
      </c>
      <c r="R141" s="13">
        <v>1</v>
      </c>
      <c r="S141" s="13"/>
      <c r="T141" s="62"/>
      <c r="U141" s="13"/>
      <c r="V141" s="13"/>
      <c r="W141" s="59"/>
      <c r="X141" s="58"/>
      <c r="Y141" s="68">
        <f ca="1">Table29[[#This Row],[5/9/2025]]+2-TODAY()</f>
        <v>-543</v>
      </c>
      <c r="Z141" s="13">
        <f>IF(ISBLANK(Table29[[#This Row],[Roster Received By]]),1,0)</f>
        <v>1</v>
      </c>
      <c r="AA141" s="59">
        <f ca="1">IF(Table29[[#This Row],[5/5/2025]]&gt;TODAY(),1,)</f>
        <v>0</v>
      </c>
    </row>
    <row r="142" spans="1:27" x14ac:dyDescent="0.25">
      <c r="A142" s="46"/>
      <c r="B142" s="58" t="s">
        <v>99</v>
      </c>
      <c r="C142" s="59" t="s">
        <v>348</v>
      </c>
      <c r="D142" s="59" t="s">
        <v>100</v>
      </c>
      <c r="E142" s="58" t="s">
        <v>183</v>
      </c>
      <c r="F142" s="61">
        <v>45730</v>
      </c>
      <c r="G142" s="61">
        <v>45730</v>
      </c>
      <c r="H142" s="60">
        <v>0.33333333333333331</v>
      </c>
      <c r="I142" s="64"/>
      <c r="J142" s="61"/>
      <c r="K142" s="61"/>
      <c r="L142" s="61"/>
      <c r="M142" s="61"/>
      <c r="N142" s="61"/>
      <c r="O142" s="58" t="s">
        <v>48</v>
      </c>
      <c r="P142" s="58"/>
      <c r="Q142" s="13">
        <v>30</v>
      </c>
      <c r="R142" s="13">
        <v>1</v>
      </c>
      <c r="S142" s="13"/>
      <c r="T142" s="62"/>
      <c r="U142" s="13"/>
      <c r="V142" s="13"/>
      <c r="W142" s="13"/>
      <c r="X142" s="58"/>
      <c r="Y142" s="51">
        <f ca="1">Table29[[#This Row],[5/9/2025]]+2-TODAY()</f>
        <v>-512</v>
      </c>
      <c r="Z142" s="13">
        <f>IF(ISBLANK(Table29[[#This Row],[Roster Received By]]),1,0)</f>
        <v>1</v>
      </c>
      <c r="AA142" s="13">
        <f ca="1">IF(Table29[[#This Row],[5/5/2025]]&gt;TODAY(),1,)</f>
        <v>0</v>
      </c>
    </row>
    <row r="143" spans="1:27" x14ac:dyDescent="0.25">
      <c r="A143" s="46"/>
      <c r="B143" s="58" t="s">
        <v>99</v>
      </c>
      <c r="C143" s="59" t="s">
        <v>348</v>
      </c>
      <c r="D143" s="59" t="s">
        <v>100</v>
      </c>
      <c r="E143" s="58" t="s">
        <v>51</v>
      </c>
      <c r="F143" s="49">
        <v>45736</v>
      </c>
      <c r="G143" s="49">
        <v>45736</v>
      </c>
      <c r="H143" s="60">
        <v>0.33333333333333331</v>
      </c>
      <c r="I143" s="60"/>
      <c r="J143" s="60"/>
      <c r="K143" s="60"/>
      <c r="L143" s="60"/>
      <c r="M143" s="60"/>
      <c r="N143" s="60"/>
      <c r="O143" s="58" t="s">
        <v>48</v>
      </c>
      <c r="P143" s="58"/>
      <c r="Q143" s="13">
        <v>30</v>
      </c>
      <c r="R143" s="13">
        <v>1</v>
      </c>
      <c r="S143" s="13"/>
      <c r="T143" s="62"/>
      <c r="U143" s="13"/>
      <c r="V143" s="13"/>
      <c r="W143" s="13"/>
      <c r="X143" s="58"/>
      <c r="Y143" s="51">
        <f ca="1">Table29[[#This Row],[5/9/2025]]+2-TODAY()</f>
        <v>-506</v>
      </c>
      <c r="Z143" s="13">
        <f>IF(ISBLANK(Table29[[#This Row],[Roster Received By]]),1,0)</f>
        <v>1</v>
      </c>
      <c r="AA143" s="13">
        <f ca="1">IF(Table29[[#This Row],[5/5/2025]]&gt;TODAY(),1,)</f>
        <v>0</v>
      </c>
    </row>
    <row r="144" spans="1:27" x14ac:dyDescent="0.25">
      <c r="A144" s="46"/>
      <c r="B144" s="58" t="s">
        <v>99</v>
      </c>
      <c r="C144" s="59" t="s">
        <v>348</v>
      </c>
      <c r="D144" s="59" t="s">
        <v>100</v>
      </c>
      <c r="E144" s="58" t="s">
        <v>300</v>
      </c>
      <c r="F144" s="133">
        <v>45758</v>
      </c>
      <c r="G144" s="61">
        <v>45758</v>
      </c>
      <c r="H144" s="60">
        <v>0.33333333333333331</v>
      </c>
      <c r="I144" s="60"/>
      <c r="J144" s="60"/>
      <c r="K144" s="60"/>
      <c r="L144" s="60"/>
      <c r="M144" s="60"/>
      <c r="N144" s="60"/>
      <c r="O144" s="58" t="s">
        <v>48</v>
      </c>
      <c r="P144" s="58"/>
      <c r="Q144" s="13">
        <v>30</v>
      </c>
      <c r="R144" s="13">
        <v>1</v>
      </c>
      <c r="S144" s="13"/>
      <c r="T144" s="62"/>
      <c r="U144" s="13"/>
      <c r="V144" s="13"/>
      <c r="W144" s="13"/>
      <c r="X144" s="58"/>
      <c r="Y144" s="51">
        <f ca="1">Table29[[#This Row],[5/9/2025]]+2-TODAY()</f>
        <v>-484</v>
      </c>
      <c r="Z144" s="13">
        <f>IF(ISBLANK(Table29[[#This Row],[Roster Received By]]),1,0)</f>
        <v>1</v>
      </c>
      <c r="AA144" s="13">
        <f ca="1">IF(Table29[[#This Row],[5/5/2025]]&gt;TODAY(),1,)</f>
        <v>0</v>
      </c>
    </row>
    <row r="145" spans="1:27" x14ac:dyDescent="0.25">
      <c r="A145" s="58"/>
      <c r="B145" s="58" t="s">
        <v>99</v>
      </c>
      <c r="C145" s="59" t="s">
        <v>348</v>
      </c>
      <c r="D145" s="59" t="s">
        <v>100</v>
      </c>
      <c r="E145" s="58" t="s">
        <v>75</v>
      </c>
      <c r="F145" s="133">
        <v>45765</v>
      </c>
      <c r="G145" s="133">
        <v>45765</v>
      </c>
      <c r="H145" s="60">
        <v>0.33333333333333331</v>
      </c>
      <c r="I145" s="64"/>
      <c r="J145" s="61"/>
      <c r="K145" s="61"/>
      <c r="L145" s="61"/>
      <c r="M145" s="61"/>
      <c r="N145" s="61"/>
      <c r="O145" s="58" t="s">
        <v>48</v>
      </c>
      <c r="P145" s="58"/>
      <c r="Q145" s="62">
        <v>30</v>
      </c>
      <c r="R145" s="63">
        <v>1</v>
      </c>
      <c r="S145" s="62"/>
      <c r="T145" s="62"/>
      <c r="U145" s="13"/>
      <c r="V145" s="13"/>
      <c r="W145" s="13"/>
      <c r="X145" s="58"/>
      <c r="Y145" s="51">
        <f ca="1">Table29[[#This Row],[5/9/2025]]+2-TODAY()</f>
        <v>-477</v>
      </c>
      <c r="Z145" s="13">
        <f>IF(ISBLANK(Table29[[#This Row],[Roster Received By]]),1,0)</f>
        <v>1</v>
      </c>
      <c r="AA145" s="13">
        <f ca="1">IF(Table29[[#This Row],[5/5/2025]]&gt;TODAY(),1,)</f>
        <v>0</v>
      </c>
    </row>
    <row r="146" spans="1:27" x14ac:dyDescent="0.25">
      <c r="A146" s="46"/>
      <c r="B146" s="58" t="s">
        <v>99</v>
      </c>
      <c r="C146" s="59" t="s">
        <v>348</v>
      </c>
      <c r="D146" s="59" t="s">
        <v>100</v>
      </c>
      <c r="E146" s="58" t="s">
        <v>78</v>
      </c>
      <c r="F146" s="61">
        <v>45786</v>
      </c>
      <c r="G146" s="61">
        <v>45786</v>
      </c>
      <c r="H146" s="60">
        <v>0.33333333333333331</v>
      </c>
      <c r="I146" s="64"/>
      <c r="J146" s="61"/>
      <c r="K146" s="61"/>
      <c r="L146" s="61"/>
      <c r="M146" s="61"/>
      <c r="N146" s="61"/>
      <c r="O146" s="58" t="s">
        <v>48</v>
      </c>
      <c r="P146" s="58"/>
      <c r="Q146" s="13">
        <v>30</v>
      </c>
      <c r="R146" s="13">
        <v>1</v>
      </c>
      <c r="S146" s="13"/>
      <c r="T146" s="62"/>
      <c r="U146" s="13"/>
      <c r="V146" s="13"/>
      <c r="W146" s="59"/>
      <c r="X146" s="58"/>
      <c r="Y146" s="51">
        <f ca="1">Table29[[#This Row],[5/9/2025]]+2-TODAY()</f>
        <v>-456</v>
      </c>
      <c r="Z146" s="13">
        <f>IF(ISBLANK(Table29[[#This Row],[Roster Received By]]),1,0)</f>
        <v>1</v>
      </c>
      <c r="AA146" s="13">
        <f ca="1">IF(Table29[[#This Row],[5/5/2025]]&gt;TODAY(),1,)</f>
        <v>0</v>
      </c>
    </row>
    <row r="147" spans="1:27" x14ac:dyDescent="0.25">
      <c r="A147" s="58"/>
      <c r="B147" s="58" t="s">
        <v>99</v>
      </c>
      <c r="C147" s="59" t="s">
        <v>348</v>
      </c>
      <c r="D147" s="59" t="s">
        <v>100</v>
      </c>
      <c r="E147" s="58" t="s">
        <v>103</v>
      </c>
      <c r="F147" s="133">
        <v>45812</v>
      </c>
      <c r="G147" s="133">
        <v>45812</v>
      </c>
      <c r="H147" s="60">
        <v>0.33333333333333331</v>
      </c>
      <c r="I147" s="67"/>
      <c r="J147" s="61"/>
      <c r="K147" s="61"/>
      <c r="L147" s="61"/>
      <c r="M147" s="61"/>
      <c r="N147" s="61"/>
      <c r="O147" s="58" t="s">
        <v>48</v>
      </c>
      <c r="P147" s="58"/>
      <c r="Q147" s="13">
        <v>30</v>
      </c>
      <c r="R147" s="13">
        <v>1</v>
      </c>
      <c r="S147" s="13"/>
      <c r="T147" s="62"/>
      <c r="U147" s="13"/>
      <c r="V147" s="13"/>
      <c r="W147" s="59"/>
      <c r="X147" s="58"/>
      <c r="Y147" s="51">
        <f ca="1">Table29[[#This Row],[5/9/2025]]+2-TODAY()</f>
        <v>-430</v>
      </c>
      <c r="Z147" s="13">
        <f>IF(ISBLANK(Table29[[#This Row],[Roster Received By]]),1,0)</f>
        <v>1</v>
      </c>
      <c r="AA147" s="13">
        <f ca="1">IF(Table29[[#This Row],[5/5/2025]]&gt;TODAY(),1,)</f>
        <v>0</v>
      </c>
    </row>
    <row r="148" spans="1:27" x14ac:dyDescent="0.25">
      <c r="A148" s="46"/>
      <c r="B148" s="58" t="s">
        <v>99</v>
      </c>
      <c r="C148" s="59" t="s">
        <v>348</v>
      </c>
      <c r="D148" s="59" t="s">
        <v>100</v>
      </c>
      <c r="E148" s="58" t="s">
        <v>125</v>
      </c>
      <c r="F148" s="133">
        <v>45814</v>
      </c>
      <c r="G148" s="133">
        <v>45814</v>
      </c>
      <c r="H148" s="60">
        <v>0.33333333333333331</v>
      </c>
      <c r="I148" s="60"/>
      <c r="J148" s="60"/>
      <c r="K148" s="60"/>
      <c r="L148" s="60"/>
      <c r="M148" s="60"/>
      <c r="N148" s="60"/>
      <c r="O148" s="58" t="s">
        <v>48</v>
      </c>
      <c r="P148" s="58"/>
      <c r="Q148" s="13">
        <v>30</v>
      </c>
      <c r="R148" s="13">
        <v>1</v>
      </c>
      <c r="S148" s="13"/>
      <c r="T148" s="62"/>
      <c r="U148" s="13"/>
      <c r="V148" s="13"/>
      <c r="W148" s="13"/>
      <c r="X148" s="58"/>
      <c r="Y148" s="51">
        <f ca="1">Table29[[#This Row],[5/9/2025]]+2-TODAY()</f>
        <v>-428</v>
      </c>
      <c r="Z148" s="13">
        <f>IF(ISBLANK(Table29[[#This Row],[Roster Received By]]),1,0)</f>
        <v>1</v>
      </c>
      <c r="AA148" s="13">
        <f ca="1">IF(Table29[[#This Row],[5/5/2025]]&gt;TODAY(),1,)</f>
        <v>0</v>
      </c>
    </row>
    <row r="149" spans="1:27" x14ac:dyDescent="0.25">
      <c r="A149" s="46"/>
      <c r="B149" s="58" t="s">
        <v>99</v>
      </c>
      <c r="C149" s="59" t="s">
        <v>348</v>
      </c>
      <c r="D149" s="59" t="s">
        <v>100</v>
      </c>
      <c r="E149" s="58" t="s">
        <v>130</v>
      </c>
      <c r="F149" s="133">
        <v>45818</v>
      </c>
      <c r="G149" s="133">
        <v>45818</v>
      </c>
      <c r="H149" s="60">
        <v>0.33333333333333331</v>
      </c>
      <c r="I149" s="60"/>
      <c r="J149" s="60"/>
      <c r="K149" s="60"/>
      <c r="L149" s="60"/>
      <c r="M149" s="60"/>
      <c r="N149" s="60"/>
      <c r="O149" s="58" t="s">
        <v>48</v>
      </c>
      <c r="P149" s="58"/>
      <c r="Q149" s="13">
        <v>30</v>
      </c>
      <c r="R149" s="13">
        <v>1</v>
      </c>
      <c r="S149" s="13"/>
      <c r="T149" s="62"/>
      <c r="U149" s="13"/>
      <c r="V149" s="13"/>
      <c r="W149" s="13"/>
      <c r="X149" s="58"/>
      <c r="Y149" s="51">
        <f ca="1">Table29[[#This Row],[5/9/2025]]+2-TODAY()</f>
        <v>-424</v>
      </c>
      <c r="Z149" s="13">
        <f>IF(ISBLANK(Table29[[#This Row],[Roster Received By]]),1,0)</f>
        <v>1</v>
      </c>
      <c r="AA149" s="13">
        <f ca="1">IF(Table29[[#This Row],[5/5/2025]]&gt;TODAY(),1,)</f>
        <v>0</v>
      </c>
    </row>
    <row r="150" spans="1:27" x14ac:dyDescent="0.25">
      <c r="A150" s="46"/>
      <c r="B150" s="58" t="s">
        <v>99</v>
      </c>
      <c r="C150" s="59" t="s">
        <v>348</v>
      </c>
      <c r="D150" s="59" t="s">
        <v>100</v>
      </c>
      <c r="E150" s="58" t="s">
        <v>124</v>
      </c>
      <c r="F150" s="133">
        <v>45819</v>
      </c>
      <c r="G150" s="133">
        <v>45819</v>
      </c>
      <c r="H150" s="60">
        <v>0.33333333333333331</v>
      </c>
      <c r="I150" s="60"/>
      <c r="J150" s="60"/>
      <c r="K150" s="60"/>
      <c r="L150" s="60"/>
      <c r="M150" s="60"/>
      <c r="N150" s="60"/>
      <c r="O150" s="58" t="s">
        <v>48</v>
      </c>
      <c r="P150" s="58"/>
      <c r="Q150" s="13">
        <v>30</v>
      </c>
      <c r="R150" s="13">
        <v>1</v>
      </c>
      <c r="S150" s="13"/>
      <c r="T150" s="62"/>
      <c r="U150" s="13"/>
      <c r="V150" s="13"/>
      <c r="W150" s="13"/>
      <c r="X150" s="58"/>
      <c r="Y150" s="51">
        <f ca="1">Table29[[#This Row],[5/9/2025]]+2-TODAY()</f>
        <v>-423</v>
      </c>
      <c r="Z150" s="13">
        <f>IF(ISBLANK(Table29[[#This Row],[Roster Received By]]),1,0)</f>
        <v>1</v>
      </c>
      <c r="AA150" s="13">
        <f ca="1">IF(Table29[[#This Row],[5/5/2025]]&gt;TODAY(),1,)</f>
        <v>0</v>
      </c>
    </row>
    <row r="151" spans="1:27" x14ac:dyDescent="0.25">
      <c r="A151" s="58" t="s">
        <v>349</v>
      </c>
      <c r="B151" s="58" t="s">
        <v>99</v>
      </c>
      <c r="C151" s="59" t="s">
        <v>348</v>
      </c>
      <c r="D151" s="59" t="s">
        <v>100</v>
      </c>
      <c r="E151" s="47" t="s">
        <v>123</v>
      </c>
      <c r="F151" s="133">
        <v>45820</v>
      </c>
      <c r="G151" s="133">
        <v>45820</v>
      </c>
      <c r="H151" s="60">
        <v>0.33333333333333331</v>
      </c>
      <c r="I151" s="64"/>
      <c r="J151" s="61"/>
      <c r="K151" s="61"/>
      <c r="L151" s="61"/>
      <c r="M151" s="61"/>
      <c r="N151" s="61"/>
      <c r="O151" s="58" t="s">
        <v>48</v>
      </c>
      <c r="P151" s="58"/>
      <c r="Q151" s="13">
        <v>30</v>
      </c>
      <c r="R151" s="13">
        <v>1</v>
      </c>
      <c r="S151" s="13"/>
      <c r="T151" s="62"/>
      <c r="U151" s="13"/>
      <c r="V151" s="13"/>
      <c r="W151" s="13"/>
      <c r="X151" s="58"/>
      <c r="Y151" s="51">
        <f ca="1">Table29[[#This Row],[5/9/2025]]+2-TODAY()</f>
        <v>-422</v>
      </c>
      <c r="Z151" s="13">
        <f>IF(ISBLANK(Table29[[#This Row],[Roster Received By]]),1,0)</f>
        <v>1</v>
      </c>
      <c r="AA151" s="13">
        <f ca="1">IF(Table29[[#This Row],[5/5/2025]]&gt;TODAY(),1,)</f>
        <v>0</v>
      </c>
    </row>
    <row r="152" spans="1:27" x14ac:dyDescent="0.25">
      <c r="A152" s="46"/>
      <c r="B152" s="58" t="s">
        <v>99</v>
      </c>
      <c r="C152" s="59" t="s">
        <v>348</v>
      </c>
      <c r="D152" s="59" t="s">
        <v>100</v>
      </c>
      <c r="E152" s="58" t="s">
        <v>112</v>
      </c>
      <c r="F152" s="133">
        <v>45839</v>
      </c>
      <c r="G152" s="133">
        <v>45839</v>
      </c>
      <c r="H152" s="60">
        <v>0.33333333333333331</v>
      </c>
      <c r="I152" s="60"/>
      <c r="J152" s="60"/>
      <c r="K152" s="60"/>
      <c r="L152" s="60"/>
      <c r="M152" s="60"/>
      <c r="N152" s="60"/>
      <c r="O152" s="58" t="s">
        <v>48</v>
      </c>
      <c r="P152" s="58"/>
      <c r="Q152" s="13">
        <v>30</v>
      </c>
      <c r="R152" s="13">
        <v>1</v>
      </c>
      <c r="S152" s="13"/>
      <c r="T152" s="62"/>
      <c r="U152" s="13"/>
      <c r="V152" s="13"/>
      <c r="W152" s="13"/>
      <c r="X152" s="58"/>
      <c r="Y152" s="51">
        <f ca="1">Table29[[#This Row],[5/9/2025]]+2-TODAY()</f>
        <v>-403</v>
      </c>
      <c r="Z152" s="13">
        <f>IF(ISBLANK(Table29[[#This Row],[Roster Received By]]),1,0)</f>
        <v>1</v>
      </c>
      <c r="AA152" s="13">
        <f ca="1">IF(Table29[[#This Row],[5/5/2025]]&gt;TODAY(),1,)</f>
        <v>0</v>
      </c>
    </row>
    <row r="153" spans="1:27" x14ac:dyDescent="0.25">
      <c r="A153" s="58"/>
      <c r="B153" s="58" t="s">
        <v>99</v>
      </c>
      <c r="C153" s="59" t="s">
        <v>348</v>
      </c>
      <c r="D153" s="59" t="s">
        <v>100</v>
      </c>
      <c r="E153" s="58" t="s">
        <v>76</v>
      </c>
      <c r="F153" s="133">
        <v>45846</v>
      </c>
      <c r="G153" s="133">
        <v>45846</v>
      </c>
      <c r="H153" s="60">
        <v>0.33333333333333331</v>
      </c>
      <c r="I153" s="67"/>
      <c r="J153" s="61"/>
      <c r="K153" s="61"/>
      <c r="L153" s="61"/>
      <c r="M153" s="61"/>
      <c r="N153" s="61"/>
      <c r="O153" s="58" t="s">
        <v>48</v>
      </c>
      <c r="P153" s="58"/>
      <c r="Q153" s="62">
        <v>30</v>
      </c>
      <c r="R153" s="63">
        <v>1</v>
      </c>
      <c r="S153" s="62"/>
      <c r="T153" s="62"/>
      <c r="U153" s="13"/>
      <c r="V153" s="13"/>
      <c r="W153" s="59"/>
      <c r="X153" s="58"/>
      <c r="Y153" s="51">
        <f ca="1">Table29[[#This Row],[5/9/2025]]+2-TODAY()</f>
        <v>-396</v>
      </c>
      <c r="Z153" s="13">
        <f>IF(ISBLANK(Table29[[#This Row],[Roster Received By]]),1,0)</f>
        <v>1</v>
      </c>
      <c r="AA153" s="13">
        <f ca="1">IF(Table29[[#This Row],[5/5/2025]]&gt;TODAY(),1,)</f>
        <v>0</v>
      </c>
    </row>
    <row r="154" spans="1:27" x14ac:dyDescent="0.25">
      <c r="A154" s="58"/>
      <c r="B154" s="58" t="s">
        <v>99</v>
      </c>
      <c r="C154" s="59" t="s">
        <v>348</v>
      </c>
      <c r="D154" s="59" t="s">
        <v>100</v>
      </c>
      <c r="E154" s="58" t="s">
        <v>83</v>
      </c>
      <c r="F154" s="133">
        <v>45847</v>
      </c>
      <c r="G154" s="133">
        <v>45847</v>
      </c>
      <c r="H154" s="60">
        <v>0.33333333333333331</v>
      </c>
      <c r="I154" s="60"/>
      <c r="J154" s="60"/>
      <c r="K154" s="60"/>
      <c r="L154" s="60"/>
      <c r="M154" s="60"/>
      <c r="N154" s="60"/>
      <c r="O154" s="58" t="s">
        <v>48</v>
      </c>
      <c r="P154" s="58"/>
      <c r="Q154" s="13">
        <v>30</v>
      </c>
      <c r="R154" s="13">
        <v>1</v>
      </c>
      <c r="S154" s="13"/>
      <c r="T154" s="62"/>
      <c r="U154" s="13"/>
      <c r="V154" s="13"/>
      <c r="W154" s="13"/>
      <c r="X154" s="58"/>
      <c r="Y154" s="51">
        <f ca="1">Table29[[#This Row],[5/9/2025]]+2-TODAY()</f>
        <v>-395</v>
      </c>
      <c r="Z154" s="13">
        <f>IF(ISBLANK(Table29[[#This Row],[Roster Received By]]),1,0)</f>
        <v>1</v>
      </c>
      <c r="AA154" s="13">
        <f ca="1">IF(Table29[[#This Row],[5/5/2025]]&gt;TODAY(),1,)</f>
        <v>0</v>
      </c>
    </row>
    <row r="155" spans="1:27" x14ac:dyDescent="0.25">
      <c r="A155" s="58"/>
      <c r="B155" s="58" t="s">
        <v>99</v>
      </c>
      <c r="C155" s="59" t="s">
        <v>348</v>
      </c>
      <c r="D155" s="59" t="s">
        <v>100</v>
      </c>
      <c r="E155" s="58" t="s">
        <v>74</v>
      </c>
      <c r="F155" s="61">
        <v>45848</v>
      </c>
      <c r="G155" s="61">
        <v>45848</v>
      </c>
      <c r="H155" s="60">
        <v>0.33333333333333331</v>
      </c>
      <c r="I155" s="67"/>
      <c r="J155" s="61"/>
      <c r="K155" s="61"/>
      <c r="L155" s="61"/>
      <c r="M155" s="61"/>
      <c r="N155" s="61"/>
      <c r="O155" s="58" t="s">
        <v>48</v>
      </c>
      <c r="P155" s="58"/>
      <c r="Q155" s="62">
        <v>30</v>
      </c>
      <c r="R155" s="63">
        <v>1</v>
      </c>
      <c r="S155" s="62"/>
      <c r="T155" s="62"/>
      <c r="U155" s="13"/>
      <c r="V155" s="13"/>
      <c r="W155" s="59"/>
      <c r="X155" s="58"/>
      <c r="Y155" s="51">
        <f ca="1">Table29[[#This Row],[5/9/2025]]+2-TODAY()</f>
        <v>-394</v>
      </c>
      <c r="Z155" s="13">
        <f>IF(ISBLANK(Table29[[#This Row],[Roster Received By]]),1,0)</f>
        <v>1</v>
      </c>
      <c r="AA155" s="13">
        <f ca="1">IF(Table29[[#This Row],[5/5/2025]]&gt;TODAY(),1,)</f>
        <v>0</v>
      </c>
    </row>
    <row r="156" spans="1:27" x14ac:dyDescent="0.25">
      <c r="A156" s="46"/>
      <c r="B156" s="58" t="s">
        <v>99</v>
      </c>
      <c r="C156" s="59" t="s">
        <v>348</v>
      </c>
      <c r="D156" s="59" t="s">
        <v>100</v>
      </c>
      <c r="E156" s="58" t="s">
        <v>127</v>
      </c>
      <c r="F156" s="61">
        <v>45874</v>
      </c>
      <c r="G156" s="61">
        <v>45874</v>
      </c>
      <c r="H156" s="60">
        <v>0.33333333333333331</v>
      </c>
      <c r="I156" s="64"/>
      <c r="J156" s="61"/>
      <c r="K156" s="61"/>
      <c r="L156" s="61"/>
      <c r="M156" s="61"/>
      <c r="N156" s="61"/>
      <c r="O156" s="58" t="s">
        <v>48</v>
      </c>
      <c r="P156" s="58"/>
      <c r="Q156" s="62">
        <v>30</v>
      </c>
      <c r="R156" s="63">
        <v>1</v>
      </c>
      <c r="S156" s="62"/>
      <c r="T156" s="62"/>
      <c r="U156" s="13"/>
      <c r="V156" s="13"/>
      <c r="W156" s="13"/>
      <c r="X156" s="58"/>
      <c r="Y156" s="51">
        <f ca="1">Table29[[#This Row],[5/9/2025]]+2-TODAY()</f>
        <v>-368</v>
      </c>
      <c r="Z156" s="13">
        <f>IF(ISBLANK(Table29[[#This Row],[Roster Received By]]),1,0)</f>
        <v>1</v>
      </c>
      <c r="AA156" s="13">
        <f ca="1">IF(Table29[[#This Row],[5/5/2025]]&gt;TODAY(),1,)</f>
        <v>0</v>
      </c>
    </row>
    <row r="157" spans="1:27" x14ac:dyDescent="0.25">
      <c r="A157" s="58"/>
      <c r="B157" s="58" t="s">
        <v>99</v>
      </c>
      <c r="C157" s="59" t="s">
        <v>348</v>
      </c>
      <c r="D157" s="59" t="s">
        <v>100</v>
      </c>
      <c r="E157" s="58" t="s">
        <v>46</v>
      </c>
      <c r="F157" s="61">
        <v>45876</v>
      </c>
      <c r="G157" s="61">
        <v>45876</v>
      </c>
      <c r="H157" s="60">
        <v>0.33333333333333331</v>
      </c>
      <c r="I157" s="67"/>
      <c r="J157" s="61"/>
      <c r="K157" s="61"/>
      <c r="L157" s="61"/>
      <c r="M157" s="61"/>
      <c r="N157" s="61"/>
      <c r="O157" s="58" t="s">
        <v>48</v>
      </c>
      <c r="P157" s="58"/>
      <c r="Q157" s="62">
        <v>30</v>
      </c>
      <c r="R157" s="63">
        <v>1</v>
      </c>
      <c r="S157" s="62"/>
      <c r="T157" s="62"/>
      <c r="U157" s="13"/>
      <c r="V157" s="13"/>
      <c r="W157" s="59"/>
      <c r="X157" s="58"/>
      <c r="Y157" s="51">
        <f ca="1">Table29[[#This Row],[5/9/2025]]+2-TODAY()</f>
        <v>-366</v>
      </c>
      <c r="Z157" s="13">
        <f>IF(ISBLANK(Table29[[#This Row],[Roster Received By]]),1,0)</f>
        <v>1</v>
      </c>
      <c r="AA157" s="13">
        <f ca="1">IF(Table29[[#This Row],[5/5/2025]]&gt;TODAY(),1,)</f>
        <v>0</v>
      </c>
    </row>
    <row r="158" spans="1:27" x14ac:dyDescent="0.25">
      <c r="A158" s="58"/>
      <c r="B158" s="58" t="s">
        <v>99</v>
      </c>
      <c r="C158" s="59" t="s">
        <v>348</v>
      </c>
      <c r="D158" s="59" t="s">
        <v>100</v>
      </c>
      <c r="E158" s="58" t="s">
        <v>303</v>
      </c>
      <c r="F158" s="61">
        <v>45882</v>
      </c>
      <c r="G158" s="61">
        <v>45882</v>
      </c>
      <c r="H158" s="60">
        <v>0.33333333333333331</v>
      </c>
      <c r="I158" s="67"/>
      <c r="J158" s="61"/>
      <c r="K158" s="61"/>
      <c r="L158" s="61"/>
      <c r="M158" s="61"/>
      <c r="N158" s="61"/>
      <c r="O158" s="58" t="s">
        <v>48</v>
      </c>
      <c r="P158" s="58"/>
      <c r="Q158" s="62">
        <v>30</v>
      </c>
      <c r="R158" s="63">
        <v>1</v>
      </c>
      <c r="S158" s="62"/>
      <c r="T158" s="62"/>
      <c r="U158" s="13"/>
      <c r="V158" s="13"/>
      <c r="W158" s="59"/>
      <c r="X158" s="58"/>
      <c r="Y158" s="51">
        <f ca="1">Table29[[#This Row],[5/9/2025]]+2-TODAY()</f>
        <v>-360</v>
      </c>
      <c r="Z158" s="13">
        <f>IF(ISBLANK(Table29[[#This Row],[Roster Received By]]),1,0)</f>
        <v>1</v>
      </c>
      <c r="AA158" s="13">
        <f ca="1">IF(Table29[[#This Row],[5/5/2025]]&gt;TODAY(),1,)</f>
        <v>0</v>
      </c>
    </row>
    <row r="159" spans="1:27" x14ac:dyDescent="0.25">
      <c r="A159" s="46"/>
      <c r="B159" s="58" t="s">
        <v>99</v>
      </c>
      <c r="C159" s="59" t="s">
        <v>348</v>
      </c>
      <c r="D159" s="59" t="s">
        <v>100</v>
      </c>
      <c r="E159" s="58" t="s">
        <v>129</v>
      </c>
      <c r="F159" s="139">
        <v>45884</v>
      </c>
      <c r="G159" s="139">
        <v>45884</v>
      </c>
      <c r="H159" s="60">
        <v>0.33333333333333331</v>
      </c>
      <c r="I159" s="60"/>
      <c r="J159" s="60"/>
      <c r="K159" s="60"/>
      <c r="L159" s="60"/>
      <c r="M159" s="60"/>
      <c r="N159" s="60"/>
      <c r="O159" s="58" t="s">
        <v>48</v>
      </c>
      <c r="P159" s="58"/>
      <c r="Q159" s="13">
        <v>30</v>
      </c>
      <c r="R159" s="13">
        <v>1</v>
      </c>
      <c r="S159" s="13"/>
      <c r="T159" s="62"/>
      <c r="U159" s="13"/>
      <c r="V159" s="13"/>
      <c r="W159" s="13"/>
      <c r="X159" s="58"/>
      <c r="Y159" s="51">
        <f ca="1">Table29[[#This Row],[5/9/2025]]+2-TODAY()</f>
        <v>-358</v>
      </c>
      <c r="Z159" s="13">
        <f>IF(ISBLANK(Table29[[#This Row],[Roster Received By]]),1,0)</f>
        <v>1</v>
      </c>
      <c r="AA159" s="13">
        <f ca="1">IF(Table29[[#This Row],[5/5/2025]]&gt;TODAY(),1,)</f>
        <v>0</v>
      </c>
    </row>
    <row r="160" spans="1:27" x14ac:dyDescent="0.25">
      <c r="A160" s="46"/>
      <c r="B160" s="58" t="s">
        <v>99</v>
      </c>
      <c r="C160" s="59" t="s">
        <v>348</v>
      </c>
      <c r="D160" s="59" t="s">
        <v>100</v>
      </c>
      <c r="E160" s="58" t="s">
        <v>114</v>
      </c>
      <c r="F160" s="133">
        <v>45895</v>
      </c>
      <c r="G160" s="133">
        <v>45895</v>
      </c>
      <c r="H160" s="60">
        <v>0.33333333333333331</v>
      </c>
      <c r="I160" s="60"/>
      <c r="J160" s="60"/>
      <c r="K160" s="60"/>
      <c r="L160" s="60"/>
      <c r="M160" s="60"/>
      <c r="N160" s="60"/>
      <c r="O160" s="58" t="s">
        <v>48</v>
      </c>
      <c r="P160" s="58"/>
      <c r="Q160" s="13">
        <v>30</v>
      </c>
      <c r="R160" s="13">
        <v>1</v>
      </c>
      <c r="S160" s="13"/>
      <c r="T160" s="62"/>
      <c r="U160" s="13"/>
      <c r="V160" s="13"/>
      <c r="W160" s="62"/>
      <c r="X160" s="58"/>
      <c r="Y160" s="51">
        <f ca="1">Table29[[#This Row],[5/9/2025]]+2-TODAY()</f>
        <v>-347</v>
      </c>
      <c r="Z160" s="13">
        <f>IF(ISBLANK(Table29[[#This Row],[Roster Received By]]),1,0)</f>
        <v>1</v>
      </c>
      <c r="AA160" s="13">
        <f ca="1">IF(Table29[[#This Row],[5/5/2025]]&gt;TODAY(),1,)</f>
        <v>0</v>
      </c>
    </row>
    <row r="161" spans="1:27" x14ac:dyDescent="0.25">
      <c r="A161" s="58"/>
      <c r="B161" s="111" t="s">
        <v>85</v>
      </c>
      <c r="C161" s="113" t="s">
        <v>350</v>
      </c>
      <c r="D161" s="113" t="s">
        <v>95</v>
      </c>
      <c r="E161" s="140" t="s">
        <v>281</v>
      </c>
      <c r="F161" s="114">
        <v>45726</v>
      </c>
      <c r="G161" s="114">
        <v>45730</v>
      </c>
      <c r="H161" s="115">
        <v>0.33333333333333331</v>
      </c>
      <c r="I161" s="64"/>
      <c r="J161" s="61"/>
      <c r="K161" s="61"/>
      <c r="L161" s="61"/>
      <c r="M161" s="61"/>
      <c r="N161" s="61"/>
      <c r="O161" s="58" t="s">
        <v>48</v>
      </c>
      <c r="P161" s="58"/>
      <c r="Q161" s="13">
        <v>25</v>
      </c>
      <c r="R161" s="13">
        <v>2</v>
      </c>
      <c r="S161" s="13"/>
      <c r="T161" s="62"/>
      <c r="U161" s="13"/>
      <c r="V161" s="13"/>
      <c r="W161" s="13"/>
      <c r="X161" s="58"/>
      <c r="Y161" s="51">
        <f ca="1">Table29[[#This Row],[5/9/2025]]+2-TODAY()</f>
        <v>-512</v>
      </c>
      <c r="Z161" s="13">
        <f>IF(ISBLANK(Table29[[#This Row],[Roster Received By]]),1,0)</f>
        <v>1</v>
      </c>
      <c r="AA161" s="13">
        <f ca="1">IF(Table29[[#This Row],[5/5/2025]]&gt;TODAY(),1,)</f>
        <v>0</v>
      </c>
    </row>
    <row r="162" spans="1:27" x14ac:dyDescent="0.25">
      <c r="A162" s="46"/>
      <c r="B162" s="111" t="s">
        <v>85</v>
      </c>
      <c r="C162" s="113" t="s">
        <v>350</v>
      </c>
      <c r="D162" s="113" t="s">
        <v>95</v>
      </c>
      <c r="E162" s="111" t="s">
        <v>183</v>
      </c>
      <c r="F162" s="114">
        <v>45810</v>
      </c>
      <c r="G162" s="114">
        <v>45814</v>
      </c>
      <c r="H162" s="115">
        <v>0.33333333333333331</v>
      </c>
      <c r="I162" s="60"/>
      <c r="J162" s="60"/>
      <c r="K162" s="60"/>
      <c r="L162" s="60"/>
      <c r="M162" s="60"/>
      <c r="N162" s="60"/>
      <c r="O162" s="58" t="s">
        <v>48</v>
      </c>
      <c r="P162" s="58"/>
      <c r="Q162" s="13">
        <v>25</v>
      </c>
      <c r="R162" s="13">
        <v>2</v>
      </c>
      <c r="S162" s="13"/>
      <c r="T162" s="62"/>
      <c r="U162" s="13"/>
      <c r="V162" s="13"/>
      <c r="W162" s="13"/>
      <c r="X162" s="58"/>
      <c r="Y162" s="51">
        <f ca="1">Table29[[#This Row],[5/9/2025]]+2-TODAY()</f>
        <v>-428</v>
      </c>
      <c r="Z162" s="13">
        <f>IF(ISBLANK(Table29[[#This Row],[Roster Received By]]),1,0)</f>
        <v>1</v>
      </c>
      <c r="AA162" s="13">
        <f ca="1">IF(Table29[[#This Row],[5/5/2025]]&gt;TODAY(),1,)</f>
        <v>0</v>
      </c>
    </row>
    <row r="163" spans="1:27" x14ac:dyDescent="0.25">
      <c r="A163" s="128" t="s">
        <v>243</v>
      </c>
      <c r="B163" s="128">
        <f>SUBTOTAL(103,Table29[Course Title])</f>
        <v>159</v>
      </c>
      <c r="C163" s="128"/>
      <c r="D163" s="128"/>
      <c r="E163" s="128"/>
      <c r="F163" s="129"/>
      <c r="G163" s="129"/>
      <c r="H163" s="128"/>
      <c r="I163" s="128"/>
      <c r="J163" s="128"/>
      <c r="K163" s="128"/>
      <c r="L163" s="128"/>
      <c r="M163" s="128"/>
      <c r="N163" s="128"/>
      <c r="O163" s="128"/>
      <c r="P163" s="128"/>
      <c r="Q163" s="130">
        <f>SUBTOTAL(109,Q4:Q162)</f>
        <v>5315</v>
      </c>
      <c r="R163" s="130">
        <f>SUBTOTAL(109,Table29[Course Length (Days)])</f>
        <v>398</v>
      </c>
      <c r="S163" s="130">
        <f>SUBTOTAL(109,S4:S162)</f>
        <v>0</v>
      </c>
      <c r="T163" s="130">
        <f>SUBTOTAL(109,T4:T162)</f>
        <v>0</v>
      </c>
      <c r="U163" s="130">
        <f>SUBTOTAL(109,U4:U162)</f>
        <v>0</v>
      </c>
      <c r="V163" s="130">
        <f>SUBTOTAL(109,V4:V162)</f>
        <v>0</v>
      </c>
      <c r="W163" s="130">
        <f>SUBTOTAL(109,W4:W162)</f>
        <v>0</v>
      </c>
      <c r="X163" s="128">
        <f>SUBTOTAL(103,Table29[Roster Received By])</f>
        <v>0</v>
      </c>
      <c r="Y163" s="131"/>
      <c r="Z163" s="128"/>
      <c r="AA163" s="128"/>
    </row>
  </sheetData>
  <protectedRanges>
    <protectedRange algorithmName="SHA-512" hashValue="n6K25g9uzAcpntxjqTQaPVdKX1eij75CLB1gBuUNBybVL5B3VaxVW/Tcen54TXijIel0fCN9KO3xZiLZCJMSZw==" saltValue="89UdTK4UUElaUoKBccfOYw==" spinCount="100000" sqref="C3:D3" name="CIN CDP"/>
    <protectedRange algorithmName="SHA-512" hashValue="n6K25g9uzAcpntxjqTQaPVdKX1eij75CLB1gBuUNBybVL5B3VaxVW/Tcen54TXijIel0fCN9KO3xZiLZCJMSZw==" saltValue="89UdTK4UUElaUoKBccfOYw==" spinCount="100000" sqref="C4:D162" name="CIN CDP_1"/>
  </protectedRanges>
  <conditionalFormatting sqref="A11:A23">
    <cfRule type="expression" dxfId="954" priority="1">
      <formula>$T11="Benzick, Sue"</formula>
    </cfRule>
    <cfRule type="expression" dxfId="953" priority="2">
      <formula>$T11="Jenne, Richard"</formula>
    </cfRule>
    <cfRule type="expression" dxfId="952" priority="3">
      <formula>$T11="McQueen, Jennifer"</formula>
    </cfRule>
  </conditionalFormatting>
  <conditionalFormatting sqref="A51">
    <cfRule type="expression" dxfId="951" priority="4">
      <formula>$T51="Benzick, Sue"</formula>
    </cfRule>
    <cfRule type="expression" dxfId="950" priority="5">
      <formula>$T51="Jenne, Richard"</formula>
    </cfRule>
    <cfRule type="expression" dxfId="949" priority="6">
      <formula>$T51="McQueen, Jennifer"</formula>
    </cfRule>
  </conditionalFormatting>
  <conditionalFormatting sqref="E44 F80:G80 F82:G84 F101:G101 F103">
    <cfRule type="expression" dxfId="948" priority="229">
      <formula>$R44="Benzick, Sue"</formula>
    </cfRule>
    <cfRule type="expression" dxfId="947" priority="230">
      <formula>$R44="Jenne, Richard"</formula>
    </cfRule>
    <cfRule type="expression" dxfId="946" priority="231">
      <formula>$R44="McQueen, Jennifer"</formula>
    </cfRule>
  </conditionalFormatting>
  <conditionalFormatting sqref="E64">
    <cfRule type="expression" dxfId="945" priority="221">
      <formula>#REF!="Jenne, Richard"</formula>
    </cfRule>
    <cfRule type="expression" dxfId="944" priority="220">
      <formula>#REF!="Benzick, Sue"</formula>
    </cfRule>
    <cfRule type="expression" dxfId="943" priority="222">
      <formula>#REF!="McQueen, Jennifer"</formula>
    </cfRule>
  </conditionalFormatting>
  <conditionalFormatting sqref="E58:G61 F62:G62">
    <cfRule type="expression" dxfId="942" priority="225">
      <formula>#REF!="McQueen, Jennifer"</formula>
    </cfRule>
    <cfRule type="expression" dxfId="941" priority="224">
      <formula>#REF!="Jenne, Richard"</formula>
    </cfRule>
    <cfRule type="expression" dxfId="940" priority="223">
      <formula>#REF!="Benzick, Sue"</formula>
    </cfRule>
  </conditionalFormatting>
  <conditionalFormatting sqref="E65:G72">
    <cfRule type="expression" dxfId="939" priority="199">
      <formula>#REF!="Benzick, Sue"</formula>
    </cfRule>
    <cfRule type="expression" dxfId="938" priority="200">
      <formula>#REF!="Jenne, Richard"</formula>
    </cfRule>
    <cfRule type="expression" dxfId="937" priority="201">
      <formula>#REF!="McQueen, Jennifer"</formula>
    </cfRule>
  </conditionalFormatting>
  <conditionalFormatting sqref="E75:G75 F76:G76 I76:I84 E77:G77 I88:I97 I99:I100 H105 H109:H112">
    <cfRule type="expression" dxfId="936" priority="205">
      <formula>#REF!="Benzick, Sue"</formula>
    </cfRule>
    <cfRule type="expression" dxfId="935" priority="206">
      <formula>#REF!="Jenne, Richard"</formula>
    </cfRule>
    <cfRule type="expression" dxfId="934" priority="207">
      <formula>#REF!="McQueen, Jennifer"</formula>
    </cfRule>
  </conditionalFormatting>
  <conditionalFormatting sqref="E113:G113">
    <cfRule type="expression" dxfId="933" priority="193">
      <formula>#REF!="Benzick, Sue"</formula>
    </cfRule>
    <cfRule type="expression" dxfId="932" priority="194">
      <formula>#REF!="Jenne, Richard"</formula>
    </cfRule>
    <cfRule type="expression" dxfId="931" priority="195">
      <formula>#REF!="McQueen, Jennifer"</formula>
    </cfRule>
  </conditionalFormatting>
  <conditionalFormatting sqref="F15:F18">
    <cfRule type="expression" dxfId="930" priority="180">
      <formula>$T15="McQueen, Jennifer"</formula>
    </cfRule>
    <cfRule type="expression" dxfId="929" priority="178">
      <formula>$T15="Benzick, Sue"</formula>
    </cfRule>
    <cfRule type="expression" dxfId="928" priority="179">
      <formula>$T15="Jenne, Richard"</formula>
    </cfRule>
  </conditionalFormatting>
  <conditionalFormatting sqref="F23">
    <cfRule type="expression" dxfId="927" priority="174">
      <formula>$T23="McQueen, Jennifer"</formula>
    </cfRule>
    <cfRule type="expression" dxfId="926" priority="173">
      <formula>$T23="Jenne, Richard"</formula>
    </cfRule>
    <cfRule type="expression" dxfId="925" priority="172">
      <formula>$T23="Benzick, Sue"</formula>
    </cfRule>
  </conditionalFormatting>
  <conditionalFormatting sqref="F44:F45">
    <cfRule type="expression" dxfId="924" priority="167">
      <formula>$T44="Jenne, Richard"</formula>
    </cfRule>
    <cfRule type="expression" dxfId="923" priority="166">
      <formula>$T44="Benzick, Sue"</formula>
    </cfRule>
    <cfRule type="expression" dxfId="922" priority="168">
      <formula>$T44="McQueen, Jennifer"</formula>
    </cfRule>
  </conditionalFormatting>
  <conditionalFormatting sqref="F64">
    <cfRule type="expression" dxfId="921" priority="23">
      <formula>$S64="Jenne, Richard"</formula>
    </cfRule>
    <cfRule type="expression" dxfId="920" priority="22">
      <formula>$S64="Benzick, Sue"</formula>
    </cfRule>
    <cfRule type="expression" dxfId="919" priority="24">
      <formula>$S64="McQueen, Jennifer"</formula>
    </cfRule>
  </conditionalFormatting>
  <conditionalFormatting sqref="F104 F110:F111">
    <cfRule type="expression" dxfId="918" priority="192">
      <formula>$S105="McQueen, Jennifer"</formula>
    </cfRule>
    <cfRule type="expression" dxfId="917" priority="191">
      <formula>$S105="Jenne, Richard"</formula>
    </cfRule>
    <cfRule type="expression" dxfId="916" priority="190">
      <formula>$S105="Benzick, Sue"</formula>
    </cfRule>
  </conditionalFormatting>
  <conditionalFormatting sqref="F105:F106">
    <cfRule type="expression" dxfId="915" priority="187">
      <formula>$S107="Benzick, Sue"</formula>
    </cfRule>
    <cfRule type="expression" dxfId="914" priority="188">
      <formula>$S107="Jenne, Richard"</formula>
    </cfRule>
    <cfRule type="expression" dxfId="913" priority="189">
      <formula>$S107="McQueen, Jennifer"</formula>
    </cfRule>
  </conditionalFormatting>
  <conditionalFormatting sqref="F10:G11 F13:G14 J18:N24 E25 E28 A29:A41 E30 E33:E34 F33:G35 J35:N35 E36:F36 F37:G37 F39:G40 E39:E42 F43:G43 A43:A45 A49 A59:A60 A69:A73 A75:A86 A88:A90 J92:N92 A92:A102 J94:N95 E97:E100 J99:N100 B103 E103 A104:B112 J109:N112">
    <cfRule type="expression" dxfId="912" priority="232">
      <formula>$T10="Benzick, Sue"</formula>
    </cfRule>
    <cfRule type="expression" dxfId="911" priority="233">
      <formula>$T10="Jenne, Richard"</formula>
    </cfRule>
    <cfRule type="expression" dxfId="910" priority="234">
      <formula>$T10="McQueen, Jennifer"</formula>
    </cfRule>
  </conditionalFormatting>
  <conditionalFormatting sqref="F19:G22 E48:G56 E57">
    <cfRule type="expression" dxfId="909" priority="210">
      <formula>#REF!="McQueen, Jennifer"</formula>
    </cfRule>
    <cfRule type="expression" dxfId="908" priority="208">
      <formula>#REF!="Benzick, Sue"</formula>
    </cfRule>
    <cfRule type="expression" dxfId="907" priority="209">
      <formula>#REF!="Jenne, Richard"</formula>
    </cfRule>
  </conditionalFormatting>
  <conditionalFormatting sqref="F31:G32">
    <cfRule type="expression" dxfId="906" priority="171">
      <formula>#REF!="McQueen, Jennifer"</formula>
    </cfRule>
    <cfRule type="expression" dxfId="905" priority="169">
      <formula>#REF!="Benzick, Sue"</formula>
    </cfRule>
    <cfRule type="expression" dxfId="904" priority="170">
      <formula>#REF!="Jenne, Richard"</formula>
    </cfRule>
  </conditionalFormatting>
  <conditionalFormatting sqref="F46:G47">
    <cfRule type="expression" dxfId="903" priority="154">
      <formula>$R46="Benzick, Sue"</formula>
    </cfRule>
    <cfRule type="expression" dxfId="902" priority="156">
      <formula>$R46="McQueen, Jennifer"</formula>
    </cfRule>
    <cfRule type="expression" dxfId="901" priority="155">
      <formula>$R46="Jenne, Richard"</formula>
    </cfRule>
  </conditionalFormatting>
  <conditionalFormatting sqref="F57:G57">
    <cfRule type="expression" dxfId="900" priority="16">
      <formula>#REF!="Benzick, Sue"</formula>
    </cfRule>
    <cfRule type="expression" dxfId="899" priority="17">
      <formula>#REF!="Jenne, Richard"</formula>
    </cfRule>
    <cfRule type="expression" dxfId="898" priority="18">
      <formula>#REF!="McQueen, Jennifer"</formula>
    </cfRule>
  </conditionalFormatting>
  <conditionalFormatting sqref="G7:G8 F9:G9">
    <cfRule type="expression" dxfId="897" priority="181">
      <formula>#REF!="Benzick, Sue"</formula>
    </cfRule>
    <cfRule type="expression" dxfId="896" priority="182">
      <formula>#REF!="Jenne, Richard"</formula>
    </cfRule>
    <cfRule type="expression" dxfId="895" priority="183">
      <formula>#REF!="McQueen, Jennifer"</formula>
    </cfRule>
  </conditionalFormatting>
  <conditionalFormatting sqref="G12">
    <cfRule type="expression" dxfId="894" priority="175">
      <formula>#REF!="Benzick, Sue"</formula>
    </cfRule>
    <cfRule type="expression" dxfId="893" priority="177">
      <formula>#REF!="McQueen, Jennifer"</formula>
    </cfRule>
    <cfRule type="expression" dxfId="892" priority="176">
      <formula>#REF!="Jenne, Richard"</formula>
    </cfRule>
  </conditionalFormatting>
  <conditionalFormatting sqref="G38">
    <cfRule type="expression" dxfId="891" priority="163">
      <formula>#REF!="Benzick, Sue"</formula>
    </cfRule>
    <cfRule type="expression" dxfId="890" priority="165">
      <formula>#REF!="McQueen, Jennifer"</formula>
    </cfRule>
    <cfRule type="expression" dxfId="889" priority="164">
      <formula>#REF!="Jenne, Richard"</formula>
    </cfRule>
  </conditionalFormatting>
  <conditionalFormatting sqref="G44:G45">
    <cfRule type="expression" dxfId="888" priority="158">
      <formula>$T44="Jenne, Richard"</formula>
    </cfRule>
    <cfRule type="expression" dxfId="887" priority="159">
      <formula>$T44="McQueen, Jennifer"</formula>
    </cfRule>
    <cfRule type="expression" dxfId="886" priority="157">
      <formula>$T44="Benzick, Sue"</formula>
    </cfRule>
  </conditionalFormatting>
  <conditionalFormatting sqref="G64">
    <cfRule type="expression" dxfId="885" priority="19">
      <formula>$S64="Benzick, Sue"</formula>
    </cfRule>
    <cfRule type="expression" dxfId="884" priority="20">
      <formula>$S64="Jenne, Richard"</formula>
    </cfRule>
    <cfRule type="expression" dxfId="883" priority="21">
      <formula>$S64="McQueen, Jennifer"</formula>
    </cfRule>
  </conditionalFormatting>
  <conditionalFormatting sqref="G98">
    <cfRule type="expression" dxfId="882" priority="27">
      <formula>$S98="McQueen, Jennifer"</formula>
    </cfRule>
    <cfRule type="expression" dxfId="881" priority="25">
      <formula>$S98="Benzick, Sue"</formula>
    </cfRule>
    <cfRule type="expression" dxfId="880" priority="26">
      <formula>$S98="Jenne, Richard"</formula>
    </cfRule>
  </conditionalFormatting>
  <conditionalFormatting sqref="H4:H28">
    <cfRule type="expression" dxfId="879" priority="11">
      <formula>$S4="Jenne, Richard"</formula>
    </cfRule>
    <cfRule type="expression" dxfId="878" priority="10">
      <formula>$S4="Benzick, Sue"</formula>
    </cfRule>
    <cfRule type="expression" dxfId="877" priority="12">
      <formula>$S4="McQueen, Jennifer"</formula>
    </cfRule>
  </conditionalFormatting>
  <conditionalFormatting sqref="H30:H103">
    <cfRule type="expression" dxfId="876" priority="86">
      <formula>$S30="Jenne, Richard"</formula>
    </cfRule>
    <cfRule type="expression" dxfId="875" priority="87">
      <formula>$S30="McQueen, Jennifer"</formula>
    </cfRule>
    <cfRule type="expression" dxfId="874" priority="85">
      <formula>$S30="Benzick, Sue"</formula>
    </cfRule>
  </conditionalFormatting>
  <conditionalFormatting sqref="I4:I14 I18:I25 G28:G30 I38 I42:I50 I51:N51 I61:N61 I62:I63 E63:G63 I64:N65 I68:N69 I71:N72 I75:N75 I85:N86 I98:N98 I101:N103 J104:N104 J106:N108 H113:I113">
    <cfRule type="expression" dxfId="873" priority="226">
      <formula>#REF!="Benzick, Sue"</formula>
    </cfRule>
    <cfRule type="expression" dxfId="872" priority="227">
      <formula>#REF!="Jenne, Richard"</formula>
    </cfRule>
    <cfRule type="expression" dxfId="871" priority="228">
      <formula>#REF!="McQueen, Jennifer"</formula>
    </cfRule>
  </conditionalFormatting>
  <conditionalFormatting sqref="I17">
    <cfRule type="expression" dxfId="870" priority="126">
      <formula>$S17="McQueen, Jennifer"</formula>
    </cfRule>
    <cfRule type="expression" dxfId="869" priority="125">
      <formula>$S17="Jenne, Richard"</formula>
    </cfRule>
    <cfRule type="expression" dxfId="868" priority="124">
      <formula>$S17="Benzick, Sue"</formula>
    </cfRule>
  </conditionalFormatting>
  <conditionalFormatting sqref="I26:I27">
    <cfRule type="expression" dxfId="867" priority="51">
      <formula>$S26="McQueen, Jennifer"</formula>
    </cfRule>
    <cfRule type="expression" dxfId="866" priority="50">
      <formula>$S26="Jenne, Richard"</formula>
    </cfRule>
    <cfRule type="expression" dxfId="865" priority="49">
      <formula>$S26="Benzick, Sue"</formula>
    </cfRule>
  </conditionalFormatting>
  <conditionalFormatting sqref="I31">
    <cfRule type="expression" dxfId="864" priority="32">
      <formula>$S31="Jenne, Richard"</formula>
    </cfRule>
    <cfRule type="expression" dxfId="863" priority="31">
      <formula>$S31="Benzick, Sue"</formula>
    </cfRule>
    <cfRule type="expression" dxfId="862" priority="33">
      <formula>$S31="McQueen, Jennifer"</formula>
    </cfRule>
  </conditionalFormatting>
  <conditionalFormatting sqref="I33">
    <cfRule type="expression" dxfId="861" priority="40">
      <formula>$S33="Benzick, Sue"</formula>
    </cfRule>
    <cfRule type="expression" dxfId="860" priority="41">
      <formula>$S33="Jenne, Richard"</formula>
    </cfRule>
    <cfRule type="expression" dxfId="859" priority="42">
      <formula>$S33="McQueen, Jennifer"</formula>
    </cfRule>
  </conditionalFormatting>
  <conditionalFormatting sqref="I39">
    <cfRule type="expression" dxfId="858" priority="97">
      <formula>$S39="Benzick, Sue"</formula>
    </cfRule>
    <cfRule type="expression" dxfId="857" priority="98">
      <formula>$S39="Jenne, Richard"</formula>
    </cfRule>
    <cfRule type="expression" dxfId="856" priority="99">
      <formula>$S39="McQueen, Jennifer"</formula>
    </cfRule>
  </conditionalFormatting>
  <conditionalFormatting sqref="I41">
    <cfRule type="expression" dxfId="855" priority="30">
      <formula>$S41="McQueen, Jennifer"</formula>
    </cfRule>
    <cfRule type="expression" dxfId="854" priority="28">
      <formula>$S41="Benzick, Sue"</formula>
    </cfRule>
    <cfRule type="expression" dxfId="853" priority="29">
      <formula>$S41="Jenne, Richard"</formula>
    </cfRule>
  </conditionalFormatting>
  <conditionalFormatting sqref="I52:I53 I58:I60">
    <cfRule type="expression" dxfId="852" priority="213">
      <formula>#REF!="McQueen, Jennifer"</formula>
    </cfRule>
    <cfRule type="expression" dxfId="851" priority="211">
      <formula>#REF!="Benzick, Sue"</formula>
    </cfRule>
    <cfRule type="expression" dxfId="850" priority="212">
      <formula>#REF!="Jenne, Richard"</formula>
    </cfRule>
  </conditionalFormatting>
  <conditionalFormatting sqref="I66:I67 I70 I73:I74">
    <cfRule type="expression" dxfId="849" priority="196">
      <formula>#REF!="Benzick, Sue"</formula>
    </cfRule>
    <cfRule type="expression" dxfId="848" priority="198">
      <formula>#REF!="McQueen, Jennifer"</formula>
    </cfRule>
    <cfRule type="expression" dxfId="847" priority="197">
      <formula>#REF!="Jenne, Richard"</formula>
    </cfRule>
  </conditionalFormatting>
  <conditionalFormatting sqref="I28:M29 I30 K34:N34 I34:I36">
    <cfRule type="expression" dxfId="846" priority="57">
      <formula>#REF!="McQueen, Jennifer"</formula>
    </cfRule>
    <cfRule type="expression" dxfId="845" priority="56">
      <formula>#REF!="Jenne, Richard"</formula>
    </cfRule>
    <cfRule type="expression" dxfId="844" priority="55">
      <formula>#REF!="Benzick, Sue"</formula>
    </cfRule>
  </conditionalFormatting>
  <conditionalFormatting sqref="I15:N15 I16 I37:M37 J43:N43 K45:N47">
    <cfRule type="expression" dxfId="843" priority="147">
      <formula>#REF!="McQueen, Jennifer"</formula>
    </cfRule>
    <cfRule type="expression" dxfId="842" priority="146">
      <formula>#REF!="Jenne, Richard"</formula>
    </cfRule>
    <cfRule type="expression" dxfId="841" priority="145">
      <formula>#REF!="Benzick, Sue"</formula>
    </cfRule>
  </conditionalFormatting>
  <conditionalFormatting sqref="I54:N57">
    <cfRule type="expression" dxfId="840" priority="184">
      <formula>#REF!="Benzick, Sue"</formula>
    </cfRule>
    <cfRule type="expression" dxfId="839" priority="185">
      <formula>#REF!="Jenne, Richard"</formula>
    </cfRule>
    <cfRule type="expression" dxfId="838" priority="186">
      <formula>#REF!="McQueen, Jennifer"</formula>
    </cfRule>
  </conditionalFormatting>
  <conditionalFormatting sqref="J9">
    <cfRule type="expression" dxfId="837" priority="7">
      <formula>$S9="Benzick, Sue"</formula>
    </cfRule>
    <cfRule type="expression" dxfId="836" priority="9">
      <formula>$S9="McQueen, Jennifer"</formula>
    </cfRule>
    <cfRule type="expression" dxfId="835" priority="8">
      <formula>$S9="Jenne, Richard"</formula>
    </cfRule>
  </conditionalFormatting>
  <conditionalFormatting sqref="J34">
    <cfRule type="expression" dxfId="834" priority="37">
      <formula>$S34="Benzick, Sue"</formula>
    </cfRule>
    <cfRule type="expression" dxfId="833" priority="38">
      <formula>$S34="Jenne, Richard"</formula>
    </cfRule>
    <cfRule type="expression" dxfId="832" priority="39">
      <formula>$S34="McQueen, Jennifer"</formula>
    </cfRule>
  </conditionalFormatting>
  <conditionalFormatting sqref="J41">
    <cfRule type="expression" dxfId="831" priority="143">
      <formula>#REF!="Jenne, Richard"</formula>
    </cfRule>
    <cfRule type="expression" dxfId="830" priority="142">
      <formula>#REF!="Benzick, Sue"</formula>
    </cfRule>
    <cfRule type="expression" dxfId="829" priority="144">
      <formula>#REF!="McQueen, Jennifer"</formula>
    </cfRule>
  </conditionalFormatting>
  <conditionalFormatting sqref="J45:J47">
    <cfRule type="expression" dxfId="828" priority="34">
      <formula>$S45="Benzick, Sue"</formula>
    </cfRule>
    <cfRule type="expression" dxfId="827" priority="35">
      <formula>$S45="Jenne, Richard"</formula>
    </cfRule>
    <cfRule type="expression" dxfId="826" priority="36">
      <formula>$S45="McQueen, Jennifer"</formula>
    </cfRule>
  </conditionalFormatting>
  <conditionalFormatting sqref="J4:N6 J8:N8 K9:N9">
    <cfRule type="expression" dxfId="825" priority="150">
      <formula>$S4="McQueen, Jennifer"</formula>
    </cfRule>
    <cfRule type="expression" dxfId="824" priority="149">
      <formula>$S4="Jenne, Richard"</formula>
    </cfRule>
    <cfRule type="expression" dxfId="823" priority="148">
      <formula>$S4="Benzick, Sue"</formula>
    </cfRule>
  </conditionalFormatting>
  <conditionalFormatting sqref="J16:N16">
    <cfRule type="expression" dxfId="822" priority="127">
      <formula>$S16="Benzick, Sue"</formula>
    </cfRule>
    <cfRule type="expression" dxfId="821" priority="128">
      <formula>$S16="Jenne, Richard"</formula>
    </cfRule>
    <cfRule type="expression" dxfId="820" priority="129">
      <formula>$S16="McQueen, Jennifer"</formula>
    </cfRule>
  </conditionalFormatting>
  <conditionalFormatting sqref="J17:N17">
    <cfRule type="expression" dxfId="819" priority="152">
      <formula>$X17="Jenne, Richard"</formula>
    </cfRule>
    <cfRule type="expression" dxfId="818" priority="151">
      <formula>$X17="Benzick, Sue"</formula>
    </cfRule>
    <cfRule type="expression" dxfId="817" priority="153">
      <formula>$X17="McQueen, Jennifer"</formula>
    </cfRule>
  </conditionalFormatting>
  <conditionalFormatting sqref="J25:N25">
    <cfRule type="expression" dxfId="816" priority="58">
      <formula>$S25="Benzick, Sue"</formula>
    </cfRule>
    <cfRule type="expression" dxfId="815" priority="59">
      <formula>$S25="Jenne, Richard"</formula>
    </cfRule>
    <cfRule type="expression" dxfId="814" priority="60">
      <formula>$S25="McQueen, Jennifer"</formula>
    </cfRule>
  </conditionalFormatting>
  <conditionalFormatting sqref="J26:N27">
    <cfRule type="expression" dxfId="813" priority="53">
      <formula>$X26="Jenne, Richard"</formula>
    </cfRule>
    <cfRule type="expression" dxfId="812" priority="52">
      <formula>$X26="Benzick, Sue"</formula>
    </cfRule>
    <cfRule type="expression" dxfId="811" priority="54">
      <formula>$X26="McQueen, Jennifer"</formula>
    </cfRule>
  </conditionalFormatting>
  <conditionalFormatting sqref="K41">
    <cfRule type="expression" dxfId="810" priority="141">
      <formula>#REF!="McQueen, Jennifer"</formula>
    </cfRule>
    <cfRule type="expression" dxfId="809" priority="140">
      <formula>#REF!="Jenne, Richard"</formula>
    </cfRule>
    <cfRule type="expression" dxfId="808" priority="139">
      <formula>#REF!="Benzick, Sue"</formula>
    </cfRule>
  </conditionalFormatting>
  <conditionalFormatting sqref="L30:L31">
    <cfRule type="expression" dxfId="807" priority="46">
      <formula>$S30="Benzick, Sue"</formula>
    </cfRule>
    <cfRule type="expression" dxfId="806" priority="47">
      <formula>$S30="Jenne, Richard"</formula>
    </cfRule>
    <cfRule type="expression" dxfId="805" priority="48">
      <formula>$S30="McQueen, Jennifer"</formula>
    </cfRule>
  </conditionalFormatting>
  <conditionalFormatting sqref="L41">
    <cfRule type="expression" dxfId="804" priority="138">
      <formula>#REF!="McQueen, Jennifer"</formula>
    </cfRule>
    <cfRule type="expression" dxfId="803" priority="137">
      <formula>#REF!="Jenne, Richard"</formula>
    </cfRule>
    <cfRule type="expression" dxfId="802" priority="136">
      <formula>#REF!="Benzick, Sue"</formula>
    </cfRule>
  </conditionalFormatting>
  <conditionalFormatting sqref="M32">
    <cfRule type="expression" dxfId="801" priority="44">
      <formula>$S32="Jenne, Richard"</formula>
    </cfRule>
    <cfRule type="expression" dxfId="800" priority="45">
      <formula>$S32="McQueen, Jennifer"</formula>
    </cfRule>
    <cfRule type="expression" dxfId="799" priority="43">
      <formula>$S32="Benzick, Sue"</formula>
    </cfRule>
  </conditionalFormatting>
  <conditionalFormatting sqref="M41">
    <cfRule type="expression" dxfId="798" priority="135">
      <formula>#REF!="McQueen, Jennifer"</formula>
    </cfRule>
    <cfRule type="expression" dxfId="797" priority="133">
      <formula>#REF!="Benzick, Sue"</formula>
    </cfRule>
    <cfRule type="expression" dxfId="796" priority="134">
      <formula>#REF!="Jenne, Richard"</formula>
    </cfRule>
  </conditionalFormatting>
  <conditionalFormatting sqref="N37">
    <cfRule type="expression" dxfId="795" priority="101">
      <formula>$S37="Jenne, Richard"</formula>
    </cfRule>
    <cfRule type="expression" dxfId="794" priority="102">
      <formula>$S37="McQueen, Jennifer"</formula>
    </cfRule>
    <cfRule type="expression" dxfId="793" priority="100">
      <formula>$S37="Benzick, Sue"</formula>
    </cfRule>
  </conditionalFormatting>
  <conditionalFormatting sqref="N40">
    <cfRule type="expression" dxfId="792" priority="94">
      <formula>$S40="Benzick, Sue"</formula>
    </cfRule>
    <cfRule type="expression" dxfId="791" priority="95">
      <formula>$S40="Jenne, Richard"</formula>
    </cfRule>
    <cfRule type="expression" dxfId="790" priority="96">
      <formula>$S40="McQueen, Jennifer"</formula>
    </cfRule>
  </conditionalFormatting>
  <conditionalFormatting sqref="N41">
    <cfRule type="expression" dxfId="789" priority="131">
      <formula>#REF!="Jenne, Richard"</formula>
    </cfRule>
    <cfRule type="expression" dxfId="788" priority="132">
      <formula>#REF!="McQueen, Jennifer"</formula>
    </cfRule>
    <cfRule type="expression" dxfId="787" priority="130">
      <formula>#REF!="Benzick, Sue"</formula>
    </cfRule>
  </conditionalFormatting>
  <conditionalFormatting sqref="T4:T47 K7:N7 A10 J10:N14 S10:S15 S17:S28 A28 N28 H29:I29 S31:S43 E35 L36 L38 L42 S45:S47 E46:E47 A48 S48:T67 J49:N49 J52:N52 J58:N60 J62:N62 T68 S69:T86 A74 J79:N79 E85:G86 E88:G88 S88:T88 J88:N89 E89 S89:S90 T89:T96 F90:G90 K90 M90:N90 F92:G96 S92:S96 J96:N97 F97:F98 S97:T112 E102:F102 E104:E112 I104:I112 T113">
    <cfRule type="expression" dxfId="786" priority="235">
      <formula>$S4="Benzick, Sue"</formula>
    </cfRule>
    <cfRule type="expression" dxfId="785" priority="236">
      <formula>$S4="Jenne, Richard"</formula>
    </cfRule>
    <cfRule type="expression" dxfId="784" priority="237">
      <formula>$S4="McQueen, Jennifer"</formula>
    </cfRule>
  </conditionalFormatting>
  <conditionalFormatting sqref="W4:W15 Y4:Y86 W17:W28 W31:W43 W45:W67 W69:W86 W88:W108 Y88:Y113">
    <cfRule type="expression" dxfId="783" priority="238">
      <formula>$X4="Benzick, Sue"</formula>
    </cfRule>
    <cfRule type="expression" dxfId="782" priority="239">
      <formula>$X4="Jenne, Richard"</formula>
    </cfRule>
    <cfRule type="expression" dxfId="781" priority="240">
      <formula>$X4="McQueen, Jennifer"</formula>
    </cfRule>
  </conditionalFormatting>
  <dataValidations count="3">
    <dataValidation allowBlank="1" showInputMessage="1" showErrorMessage="1" sqref="S88:S113 S4:S86" xr:uid="{F53FA255-9224-4ADF-A230-E84DC8EC89C5}"/>
    <dataValidation type="list" allowBlank="1" showInputMessage="1" showErrorMessage="1" sqref="B164:B170 B172:B442 B4:B162" xr:uid="{73CB25B1-9935-4559-84D6-2CD89F18B02A}">
      <formula1>Class</formula1>
    </dataValidation>
    <dataValidation type="list" allowBlank="1" showInputMessage="1" showErrorMessage="1" sqref="O164:O386" xr:uid="{FFCAD722-D837-4CC2-9C77-BDB70A788B8F}">
      <formula1>Instructor</formula1>
    </dataValidation>
  </dataValidations>
  <printOptions horizontalCentered="1" verticalCentered="1"/>
  <pageMargins left="0.7" right="0.7" top="0.75" bottom="0.75" header="0.3" footer="0.3"/>
  <pageSetup paperSize="5" scale="58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t V x k X A Y q j Q u k A A A A 9 g A A A B I A H A B D b 2 5 m a W c v U G F j a 2 F n Z S 5 4 b W w g o h g A K K A U A A A A A A A A A A A A A A A A A A A A A A A A A A A A h Y 8 x D o I w G I W v Q r r T l q r R k F I G V 0 l M i M a 1 K R U a 4 c f Q Y r m b g 0 f y C m I U d X N 8 3 / u G 9 + 7 X G 0 + H p g 4 u u r O m h Q R F m K J A g 2 o L A 2 W C e n c M V y g V f C v V S Z Y 6 G G W w 8 W C L B F X O n W N C v P f Y z 3 D b l Y R R G p F D t s l V p R u J P r L 5 L 4 c G r J O g N B J 8 / x o j G I 4 W F M / Z E l N O J s g z A 1 + B j X u f 7 Q / k 6 7 5 2 f a e F h n C X c z J F T t 4 f x A N Q S w M E F A A C A A g A t V x k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L V c Z F w o i k e 4 D g A A A B E A A A A T A B w A R m 9 y b X V s Y X M v U 2 V j d G l v b j E u b S C i G A A o o B Q A A A A A A A A A A A A A A A A A A A A A A A A A A A A r T k 0 u y c z P U w i G 0 I b W A F B L A Q I t A B Q A A g A I A L V c Z F w G K o 0 L p A A A A P Y A A A A S A A A A A A A A A A A A A A A A A A A A A A B D b 2 5 m a W c v U G F j a 2 F n Z S 5 4 b W x Q S w E C L Q A U A A I A C A C 1 X G R c D 8 r p q 6 Q A A A D p A A A A E w A A A A A A A A A A A A A A A A D w A A A A W 0 N v b n R l b n R f V H l w Z X N d L n h t b F B L A Q I t A B Q A A g A I A L V c Z F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s h L K Z u m j 0 S L 6 i S v N N 5 r f 2 A A A A A A I A A A A A A B B m A A A A A Q A A I A A A A L Q K L G P k / 8 q i d f l I z / e + z d p o 0 D t / T 3 j Y F + d a d v N Q j X S 7 A A A A A A 6 A A A A A A g A A I A A A A K W p c 7 q Z l k b v A v w 1 1 3 l S X 9 T L d i a h 7 o 2 W S 8 q Z q u d f Q R y u U A A A A B R c K 5 + C p W b K F 1 a J M t r 3 9 a V C S t 0 v d r 1 m P 1 e 5 f 6 I w m 2 m s V h i m D 4 p 6 t q u V q E f e 5 3 Z G m T m k 2 n j X f B E P O g K b N S E X J u p a l Y Q 1 U 4 2 j a q 5 A o Y A h D d K y Q A A A A O + r 5 v h W 3 G B f j o e L d 0 v r M 5 a N A r 9 Z z c j k c F M Z x f H c i K S h 7 x F z c j 0 5 v Y c x S 9 0 O C 2 U U L u E 6 A D 9 O p c n C H 0 E C t 8 t R I v M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14C7FA5466C94E8517B32B1AE5CACC" ma:contentTypeVersion="8" ma:contentTypeDescription="Create a new document." ma:contentTypeScope="" ma:versionID="cbcd2ab4d3e4b6953de57625263afca6">
  <xsd:schema xmlns:xsd="http://www.w3.org/2001/XMLSchema" xmlns:xs="http://www.w3.org/2001/XMLSchema" xmlns:p="http://schemas.microsoft.com/office/2006/metadata/properties" xmlns:ns2="3898f6d4-6cb0-4920-8d93-0dc904493100" targetNamespace="http://schemas.microsoft.com/office/2006/metadata/properties" ma:root="true" ma:fieldsID="6cad904b9953497bf2308fd7340725e6" ns2:_="">
    <xsd:import namespace="3898f6d4-6cb0-4920-8d93-0dc9044931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98f6d4-6cb0-4920-8d93-0dc9044931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6D13F62-B810-41AF-860C-FF9164431432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30EDE3BB-2413-4D9F-8905-B371BEEA3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98f6d4-6cb0-4920-8d93-0dc9044931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7AA037-0C6E-4E4C-AEA2-4C281CFC06C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CBEE3DD-688F-43CC-82E9-CDBAA99AEC77}">
  <ds:schemaRefs>
    <ds:schemaRef ds:uri="3898f6d4-6cb0-4920-8d93-0dc904493100"/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571beb23-8ea8-44b3-ba27-9e8ead2039ca}" enabled="1" method="Privileged" siteId="{e3333e00-c877-4b87-b6ad-45e942de175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13</vt:i4>
      </vt:variant>
    </vt:vector>
  </HeadingPairs>
  <TitlesOfParts>
    <vt:vector size="39" baseType="lpstr">
      <vt:lpstr>TSD-%</vt:lpstr>
      <vt:lpstr>TSD- FY26 Canceled Courses</vt:lpstr>
      <vt:lpstr>Detail1</vt:lpstr>
      <vt:lpstr>Detail2</vt:lpstr>
      <vt:lpstr>Detail3</vt:lpstr>
      <vt:lpstr>FLT</vt:lpstr>
      <vt:lpstr>OH</vt:lpstr>
      <vt:lpstr>SAF</vt:lpstr>
      <vt:lpstr>ENV</vt:lpstr>
      <vt:lpstr>Detail4</vt:lpstr>
      <vt:lpstr>Planned vs Need by Course</vt:lpstr>
      <vt:lpstr>FY26 Status</vt:lpstr>
      <vt:lpstr>FY 2026 Schedule</vt:lpstr>
      <vt:lpstr>TSD-Data</vt:lpstr>
      <vt:lpstr>Detail10</vt:lpstr>
      <vt:lpstr>FY26 Needs Assessment Dashboard</vt:lpstr>
      <vt:lpstr>FY26 SOH Global Online All</vt:lpstr>
      <vt:lpstr>FY26  SOH Resident Courses All</vt:lpstr>
      <vt:lpstr>FY26 SAF USE</vt:lpstr>
      <vt:lpstr>FY26 EEM Resident Courses All</vt:lpstr>
      <vt:lpstr>FY26 EEM Online Courses All</vt:lpstr>
      <vt:lpstr>FY26 EEM Use</vt:lpstr>
      <vt:lpstr>Detail5</vt:lpstr>
      <vt:lpstr>Detail6</vt:lpstr>
      <vt:lpstr>Detail7</vt:lpstr>
      <vt:lpstr>Detail8</vt:lpstr>
      <vt:lpstr>CIN</vt:lpstr>
      <vt:lpstr>Class</vt:lpstr>
      <vt:lpstr>Courses</vt:lpstr>
      <vt:lpstr>Instructor</vt:lpstr>
      <vt:lpstr>Location</vt:lpstr>
      <vt:lpstr>ENV!Print_Area</vt:lpstr>
      <vt:lpstr>FLT!Print_Area</vt:lpstr>
      <vt:lpstr>'FY 2026 Schedule'!Print_Area</vt:lpstr>
      <vt:lpstr>'FY26 Needs Assessment Dashboard'!Print_Area</vt:lpstr>
      <vt:lpstr>'FY26 Status'!Print_Area</vt:lpstr>
      <vt:lpstr>OH!Print_Area</vt:lpstr>
      <vt:lpstr>SAF!Print_Area</vt:lpstr>
      <vt:lpstr>Roster</vt:lpstr>
    </vt:vector>
  </TitlesOfParts>
  <Manager/>
  <Company>HPES NMCI NGEN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McQueen, Jennifer A CIV NAVOSHENVTRACEN, N7TS4</dc:creator>
  <cp:keywords/>
  <dc:description/>
  <cp:lastModifiedBy>Carter, Amanda R CIV USN NAVSAFENVTRACEN NOR (USA)</cp:lastModifiedBy>
  <cp:revision/>
  <dcterms:created xsi:type="dcterms:W3CDTF">2020-09-15T15:26:38Z</dcterms:created>
  <dcterms:modified xsi:type="dcterms:W3CDTF">2026-08-10T09:57:41Z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0x0101000514C7FA5466C94E8517B32B1AE5CACC</vt:lpwstr>
  </property>
</Properties>
</file>